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's Project\GitHub_files\"/>
    </mc:Choice>
  </mc:AlternateContent>
  <xr:revisionPtr revIDLastSave="0" documentId="13_ncr:1_{7DAE8E29-0485-4F54-A997-AF61BAC1CF06}" xr6:coauthVersionLast="47" xr6:coauthVersionMax="47" xr10:uidLastSave="{00000000-0000-0000-0000-000000000000}"/>
  <bookViews>
    <workbookView xWindow="-120" yWindow="-120" windowWidth="29040" windowHeight="15840" xr2:uid="{9A577BC8-DCD9-4CE4-80AD-6D2918A1C8F9}"/>
  </bookViews>
  <sheets>
    <sheet name="Isotherm List" sheetId="1" r:id="rId1"/>
    <sheet name="Average" sheetId="6" r:id="rId2"/>
    <sheet name="no outliers" sheetId="13" r:id="rId3"/>
    <sheet name="001" sheetId="2" r:id="rId4"/>
    <sheet name="003" sheetId="3" r:id="rId5"/>
    <sheet name="006" sheetId="4" r:id="rId6"/>
    <sheet name="007" sheetId="5" r:id="rId7"/>
    <sheet name="012" sheetId="7" r:id="rId8"/>
    <sheet name="013" sheetId="8" r:id="rId9"/>
  </sheets>
  <definedNames>
    <definedName name="CIQWBGuid" hidden="1">"c4ec286d-51f5-40b7-a8bb-26e8426b5630"</definedName>
    <definedName name="CIQWBInfo" hidden="1">"{ ""CIQVersion"":""9.50.2716.4594"" }"</definedName>
    <definedName name="solver_adj" localSheetId="3" hidden="1">'001'!$N$2:$P$2</definedName>
    <definedName name="solver_adj" localSheetId="4" hidden="1">'003'!$N$2:$P$2</definedName>
    <definedName name="solver_adj" localSheetId="5" hidden="1">'006'!$N$2:$P$2</definedName>
    <definedName name="solver_adj" localSheetId="6" hidden="1">'007'!$N$2:$P$2</definedName>
    <definedName name="solver_adj" localSheetId="7" hidden="1">'012'!$N$2:$P$2</definedName>
    <definedName name="solver_adj" localSheetId="8" hidden="1">'013'!$N$2:$P$2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3" hidden="1">'001'!$L$2</definedName>
    <definedName name="solver_opt" localSheetId="4" hidden="1">'003'!$L$2</definedName>
    <definedName name="solver_opt" localSheetId="5" hidden="1">'006'!$L$2</definedName>
    <definedName name="solver_opt" localSheetId="6" hidden="1">'007'!$L$2</definedName>
    <definedName name="solver_opt" localSheetId="7" hidden="1">'012'!$L$2</definedName>
    <definedName name="solver_opt" localSheetId="8" hidden="1">'013'!$L$2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A71" i="13"/>
  <c r="A68" i="13"/>
  <c r="A65" i="13"/>
  <c r="A62" i="13"/>
  <c r="A59" i="13"/>
  <c r="A56" i="13"/>
  <c r="A53" i="13"/>
  <c r="A50" i="13"/>
  <c r="A47" i="13"/>
  <c r="A44" i="13"/>
  <c r="A41" i="13"/>
  <c r="A38" i="13"/>
  <c r="A35" i="13"/>
  <c r="A32" i="13"/>
  <c r="A29" i="13"/>
  <c r="A26" i="13"/>
  <c r="M23" i="13"/>
  <c r="M22" i="13"/>
  <c r="E4" i="13"/>
  <c r="D4" i="13"/>
  <c r="B4" i="13"/>
  <c r="B4" i="6" l="1"/>
  <c r="E4" i="6"/>
  <c r="D4" i="6"/>
  <c r="C4" i="6"/>
  <c r="M23" i="6" l="1"/>
  <c r="A71" i="6"/>
  <c r="A68" i="6"/>
  <c r="A65" i="6"/>
  <c r="A62" i="6"/>
  <c r="A59" i="6"/>
  <c r="A56" i="6"/>
  <c r="A53" i="6"/>
  <c r="A50" i="6"/>
  <c r="A47" i="6"/>
  <c r="A44" i="6"/>
  <c r="A41" i="6"/>
  <c r="A38" i="6"/>
  <c r="A35" i="6"/>
  <c r="A32" i="6"/>
  <c r="A29" i="6"/>
  <c r="A26" i="6"/>
  <c r="M22" i="6" l="1"/>
  <c r="I17" i="8" l="1"/>
  <c r="I18" i="8"/>
  <c r="O20" i="8"/>
  <c r="O19" i="8"/>
  <c r="O18" i="8"/>
  <c r="O17" i="8"/>
  <c r="O16" i="8"/>
  <c r="I16" i="8"/>
  <c r="O15" i="8"/>
  <c r="J15" i="8"/>
  <c r="I15" i="8"/>
  <c r="O14" i="8"/>
  <c r="I14" i="8"/>
  <c r="O13" i="8"/>
  <c r="I13" i="8"/>
  <c r="H13" i="8"/>
  <c r="K13" i="8" s="1"/>
  <c r="O12" i="8"/>
  <c r="I12" i="8"/>
  <c r="O11" i="8"/>
  <c r="J11" i="8"/>
  <c r="I11" i="8"/>
  <c r="O10" i="8"/>
  <c r="I10" i="8"/>
  <c r="O9" i="8"/>
  <c r="I9" i="8"/>
  <c r="H9" i="8"/>
  <c r="K9" i="8" s="1"/>
  <c r="O8" i="8"/>
  <c r="I8" i="8"/>
  <c r="O7" i="8"/>
  <c r="J7" i="8"/>
  <c r="I7" i="8"/>
  <c r="O6" i="8"/>
  <c r="I6" i="8"/>
  <c r="O5" i="8"/>
  <c r="I5" i="8"/>
  <c r="D5" i="8"/>
  <c r="J6" i="8" s="1"/>
  <c r="D6" i="8"/>
  <c r="D7" i="8"/>
  <c r="J8" i="8" s="1"/>
  <c r="D8" i="8"/>
  <c r="J9" i="8" s="1"/>
  <c r="D9" i="8"/>
  <c r="J10" i="8" s="1"/>
  <c r="D10" i="8"/>
  <c r="D11" i="8"/>
  <c r="J12" i="8" s="1"/>
  <c r="D12" i="8"/>
  <c r="J13" i="8" s="1"/>
  <c r="D13" i="8"/>
  <c r="J14" i="8" s="1"/>
  <c r="D14" i="8"/>
  <c r="D15" i="8"/>
  <c r="J16" i="8" s="1"/>
  <c r="D16" i="8"/>
  <c r="J17" i="8" s="1"/>
  <c r="D17" i="8"/>
  <c r="J18" i="8" s="1"/>
  <c r="D4" i="8"/>
  <c r="J5" i="8" s="1"/>
  <c r="B5" i="8"/>
  <c r="H6" i="8" s="1"/>
  <c r="K6" i="8" s="1"/>
  <c r="B6" i="8"/>
  <c r="H7" i="8" s="1"/>
  <c r="K7" i="8" s="1"/>
  <c r="L7" i="8" s="1"/>
  <c r="B7" i="8"/>
  <c r="H8" i="8" s="1"/>
  <c r="K8" i="8" s="1"/>
  <c r="B8" i="8"/>
  <c r="B9" i="8"/>
  <c r="H10" i="8" s="1"/>
  <c r="K10" i="8" s="1"/>
  <c r="B10" i="8"/>
  <c r="H11" i="8" s="1"/>
  <c r="K11" i="8" s="1"/>
  <c r="L11" i="8" s="1"/>
  <c r="B11" i="8"/>
  <c r="H12" i="8" s="1"/>
  <c r="K12" i="8" s="1"/>
  <c r="B12" i="8"/>
  <c r="B13" i="8"/>
  <c r="H14" i="8" s="1"/>
  <c r="K14" i="8" s="1"/>
  <c r="B14" i="8"/>
  <c r="H15" i="8" s="1"/>
  <c r="K15" i="8" s="1"/>
  <c r="L15" i="8" s="1"/>
  <c r="B15" i="8"/>
  <c r="H16" i="8" s="1"/>
  <c r="K16" i="8" s="1"/>
  <c r="B16" i="8"/>
  <c r="H17" i="8" s="1"/>
  <c r="K17" i="8" s="1"/>
  <c r="B17" i="8"/>
  <c r="H18" i="8" s="1"/>
  <c r="K18" i="8" s="1"/>
  <c r="B4" i="8"/>
  <c r="H5" i="8" s="1"/>
  <c r="K5" i="8" s="1"/>
  <c r="L5" i="8" s="1"/>
  <c r="O21" i="7"/>
  <c r="I14" i="7"/>
  <c r="J14" i="7"/>
  <c r="I15" i="7"/>
  <c r="J15" i="7"/>
  <c r="I16" i="7"/>
  <c r="I6" i="7"/>
  <c r="J6" i="7"/>
  <c r="I7" i="7"/>
  <c r="I8" i="7"/>
  <c r="I9" i="7"/>
  <c r="I10" i="7"/>
  <c r="J10" i="7"/>
  <c r="I11" i="7"/>
  <c r="I12" i="7"/>
  <c r="I13" i="7"/>
  <c r="I5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D5" i="7"/>
  <c r="D6" i="7"/>
  <c r="J7" i="7" s="1"/>
  <c r="D7" i="7"/>
  <c r="J8" i="7" s="1"/>
  <c r="D8" i="7"/>
  <c r="J9" i="7" s="1"/>
  <c r="D9" i="7"/>
  <c r="D10" i="7"/>
  <c r="J11" i="7" s="1"/>
  <c r="D11" i="7"/>
  <c r="J12" i="7" s="1"/>
  <c r="D12" i="7"/>
  <c r="J13" i="7" s="1"/>
  <c r="D13" i="7"/>
  <c r="D14" i="7"/>
  <c r="D15" i="7"/>
  <c r="J16" i="7" s="1"/>
  <c r="D4" i="7"/>
  <c r="J5" i="7" s="1"/>
  <c r="B5" i="7"/>
  <c r="H6" i="7" s="1"/>
  <c r="K6" i="7" s="1"/>
  <c r="B6" i="7"/>
  <c r="H7" i="7" s="1"/>
  <c r="K7" i="7" s="1"/>
  <c r="L7" i="7" s="1"/>
  <c r="B7" i="7"/>
  <c r="H8" i="7" s="1"/>
  <c r="K8" i="7" s="1"/>
  <c r="L8" i="7" s="1"/>
  <c r="B8" i="7"/>
  <c r="H9" i="7" s="1"/>
  <c r="K9" i="7" s="1"/>
  <c r="B9" i="7"/>
  <c r="H10" i="7" s="1"/>
  <c r="K10" i="7" s="1"/>
  <c r="B10" i="7"/>
  <c r="H11" i="7" s="1"/>
  <c r="K11" i="7" s="1"/>
  <c r="B11" i="7"/>
  <c r="H12" i="7" s="1"/>
  <c r="K12" i="7" s="1"/>
  <c r="B12" i="7"/>
  <c r="H13" i="7" s="1"/>
  <c r="K13" i="7" s="1"/>
  <c r="L13" i="7" s="1"/>
  <c r="B13" i="7"/>
  <c r="H14" i="7" s="1"/>
  <c r="K14" i="7" s="1"/>
  <c r="B14" i="7"/>
  <c r="H15" i="7" s="1"/>
  <c r="K15" i="7" s="1"/>
  <c r="L15" i="7" s="1"/>
  <c r="B15" i="7"/>
  <c r="H16" i="7" s="1"/>
  <c r="K16" i="7" s="1"/>
  <c r="L16" i="7" s="1"/>
  <c r="B4" i="7"/>
  <c r="H5" i="7" s="1"/>
  <c r="K5" i="7" s="1"/>
  <c r="E6" i="13" l="1"/>
  <c r="E6" i="6"/>
  <c r="E10" i="13"/>
  <c r="E10" i="6"/>
  <c r="E14" i="13"/>
  <c r="E14" i="6"/>
  <c r="E7" i="13"/>
  <c r="E7" i="6"/>
  <c r="E11" i="13"/>
  <c r="E11" i="6"/>
  <c r="E15" i="13"/>
  <c r="E15" i="6"/>
  <c r="E19" i="13"/>
  <c r="E19" i="6"/>
  <c r="L18" i="8"/>
  <c r="L14" i="8"/>
  <c r="L10" i="8"/>
  <c r="L6" i="8"/>
  <c r="L14" i="7"/>
  <c r="L10" i="7"/>
  <c r="L6" i="7"/>
  <c r="E8" i="13"/>
  <c r="E8" i="6"/>
  <c r="E12" i="13"/>
  <c r="E12" i="6"/>
  <c r="E16" i="13"/>
  <c r="E16" i="6"/>
  <c r="E20" i="13"/>
  <c r="E20" i="6"/>
  <c r="E18" i="13"/>
  <c r="E18" i="6"/>
  <c r="E5" i="13"/>
  <c r="E5" i="6"/>
  <c r="E9" i="13"/>
  <c r="E9" i="6"/>
  <c r="E13" i="13"/>
  <c r="E13" i="6"/>
  <c r="E17" i="13"/>
  <c r="E17" i="6"/>
  <c r="E21" i="13"/>
  <c r="E21" i="6"/>
  <c r="L9" i="8"/>
  <c r="L17" i="8"/>
  <c r="L16" i="8"/>
  <c r="L12" i="8"/>
  <c r="L2" i="8" s="1"/>
  <c r="L8" i="8"/>
  <c r="L13" i="8"/>
  <c r="L11" i="7"/>
  <c r="L12" i="7"/>
  <c r="L9" i="7"/>
  <c r="L5" i="7"/>
  <c r="L2" i="7" l="1"/>
  <c r="O20" i="5"/>
  <c r="O19" i="5"/>
  <c r="O18" i="5"/>
  <c r="O17" i="5"/>
  <c r="O16" i="5"/>
  <c r="O15" i="5"/>
  <c r="O14" i="5"/>
  <c r="O13" i="5"/>
  <c r="H13" i="5"/>
  <c r="K13" i="5" s="1"/>
  <c r="O12" i="5"/>
  <c r="O11" i="5"/>
  <c r="O10" i="5"/>
  <c r="O9" i="5"/>
  <c r="O8" i="5"/>
  <c r="H8" i="5"/>
  <c r="K8" i="5" s="1"/>
  <c r="O7" i="5"/>
  <c r="O6" i="5"/>
  <c r="O5" i="5"/>
  <c r="D5" i="5"/>
  <c r="I6" i="5" s="1"/>
  <c r="D6" i="5"/>
  <c r="E6" i="5" s="1"/>
  <c r="J7" i="5" s="1"/>
  <c r="D7" i="5"/>
  <c r="I8" i="5" s="1"/>
  <c r="D8" i="5"/>
  <c r="I9" i="5" s="1"/>
  <c r="D9" i="5"/>
  <c r="I10" i="5" s="1"/>
  <c r="D10" i="5"/>
  <c r="E10" i="5" s="1"/>
  <c r="J11" i="5" s="1"/>
  <c r="D11" i="5"/>
  <c r="I12" i="5" s="1"/>
  <c r="D12" i="5"/>
  <c r="I13" i="5" s="1"/>
  <c r="D4" i="5"/>
  <c r="E4" i="5" s="1"/>
  <c r="J5" i="5" s="1"/>
  <c r="B5" i="5"/>
  <c r="H6" i="5" s="1"/>
  <c r="K6" i="5" s="1"/>
  <c r="B6" i="5"/>
  <c r="H7" i="5" s="1"/>
  <c r="K7" i="5" s="1"/>
  <c r="B7" i="5"/>
  <c r="B8" i="5"/>
  <c r="H9" i="5" s="1"/>
  <c r="K9" i="5" s="1"/>
  <c r="B9" i="5"/>
  <c r="H10" i="5" s="1"/>
  <c r="K10" i="5" s="1"/>
  <c r="B10" i="5"/>
  <c r="H11" i="5" s="1"/>
  <c r="K11" i="5" s="1"/>
  <c r="B11" i="5"/>
  <c r="H12" i="5" s="1"/>
  <c r="K12" i="5" s="1"/>
  <c r="B12" i="5"/>
  <c r="B4" i="5"/>
  <c r="H5" i="5" s="1"/>
  <c r="K5" i="5" s="1"/>
  <c r="D10" i="13" l="1"/>
  <c r="D10" i="6"/>
  <c r="D8" i="13"/>
  <c r="D8" i="6"/>
  <c r="D13" i="13"/>
  <c r="D13" i="6"/>
  <c r="D17" i="13"/>
  <c r="D17" i="6"/>
  <c r="D20" i="13"/>
  <c r="D20" i="6"/>
  <c r="D5" i="13"/>
  <c r="D5" i="6"/>
  <c r="D11" i="13"/>
  <c r="D11" i="6"/>
  <c r="E12" i="5"/>
  <c r="J13" i="5" s="1"/>
  <c r="D6" i="13"/>
  <c r="D6" i="6"/>
  <c r="D14" i="13"/>
  <c r="D14" i="6"/>
  <c r="D18" i="13"/>
  <c r="D18" i="6"/>
  <c r="D16" i="13"/>
  <c r="D16" i="6"/>
  <c r="E8" i="5"/>
  <c r="J9" i="5" s="1"/>
  <c r="L9" i="5" s="1"/>
  <c r="D7" i="13"/>
  <c r="D7" i="6"/>
  <c r="D9" i="13"/>
  <c r="D9" i="6"/>
  <c r="D12" i="13"/>
  <c r="D12" i="6"/>
  <c r="D15" i="13"/>
  <c r="D15" i="6"/>
  <c r="D19" i="13"/>
  <c r="D19" i="6"/>
  <c r="L11" i="5"/>
  <c r="L13" i="5"/>
  <c r="E11" i="5"/>
  <c r="J12" i="5" s="1"/>
  <c r="I11" i="5"/>
  <c r="I7" i="5"/>
  <c r="I5" i="5"/>
  <c r="E7" i="5"/>
  <c r="J8" i="5" s="1"/>
  <c r="L8" i="5" s="1"/>
  <c r="E9" i="5"/>
  <c r="J10" i="5" s="1"/>
  <c r="L10" i="5" s="1"/>
  <c r="E5" i="5"/>
  <c r="J6" i="5" s="1"/>
  <c r="L6" i="5"/>
  <c r="L7" i="5"/>
  <c r="L12" i="5"/>
  <c r="L5" i="5"/>
  <c r="L2" i="5" l="1"/>
  <c r="O18" i="3" l="1"/>
  <c r="O19" i="3"/>
  <c r="O20" i="3"/>
  <c r="O21" i="3"/>
  <c r="O22" i="3"/>
  <c r="O23" i="3"/>
  <c r="O21" i="4"/>
  <c r="O18" i="4"/>
  <c r="O19" i="4"/>
  <c r="O20" i="4"/>
  <c r="O17" i="4"/>
  <c r="O16" i="4"/>
  <c r="O15" i="4"/>
  <c r="O14" i="4"/>
  <c r="I14" i="4"/>
  <c r="O13" i="4"/>
  <c r="I13" i="4"/>
  <c r="O12" i="4"/>
  <c r="I12" i="4"/>
  <c r="O11" i="4"/>
  <c r="I11" i="4"/>
  <c r="O10" i="4"/>
  <c r="I10" i="4"/>
  <c r="O9" i="4"/>
  <c r="I9" i="4"/>
  <c r="O8" i="4"/>
  <c r="I8" i="4"/>
  <c r="O7" i="4"/>
  <c r="J7" i="4"/>
  <c r="I7" i="4"/>
  <c r="O6" i="4"/>
  <c r="I6" i="4"/>
  <c r="O5" i="4"/>
  <c r="I5" i="4"/>
  <c r="D13" i="4"/>
  <c r="J14" i="4" s="1"/>
  <c r="D5" i="4"/>
  <c r="J6" i="4" s="1"/>
  <c r="D6" i="4"/>
  <c r="D7" i="4"/>
  <c r="J8" i="4" s="1"/>
  <c r="D8" i="4"/>
  <c r="J9" i="4" s="1"/>
  <c r="D9" i="4"/>
  <c r="J10" i="4" s="1"/>
  <c r="D10" i="4"/>
  <c r="J11" i="4" s="1"/>
  <c r="D11" i="4"/>
  <c r="J12" i="4" s="1"/>
  <c r="D12" i="4"/>
  <c r="J13" i="4" s="1"/>
  <c r="D4" i="4"/>
  <c r="J5" i="4" s="1"/>
  <c r="B5" i="4"/>
  <c r="H6" i="4" s="1"/>
  <c r="K6" i="4" s="1"/>
  <c r="B6" i="4"/>
  <c r="H7" i="4" s="1"/>
  <c r="K7" i="4" s="1"/>
  <c r="B7" i="4"/>
  <c r="H8" i="4" s="1"/>
  <c r="K8" i="4" s="1"/>
  <c r="L8" i="4" s="1"/>
  <c r="B8" i="4"/>
  <c r="H9" i="4" s="1"/>
  <c r="K9" i="4" s="1"/>
  <c r="B9" i="4"/>
  <c r="H10" i="4" s="1"/>
  <c r="K10" i="4" s="1"/>
  <c r="B10" i="4"/>
  <c r="H11" i="4" s="1"/>
  <c r="K11" i="4" s="1"/>
  <c r="L11" i="4" s="1"/>
  <c r="B11" i="4"/>
  <c r="H12" i="4" s="1"/>
  <c r="K12" i="4" s="1"/>
  <c r="L12" i="4" s="1"/>
  <c r="B12" i="4"/>
  <c r="H13" i="4" s="1"/>
  <c r="K13" i="4" s="1"/>
  <c r="L13" i="4" s="1"/>
  <c r="B13" i="4"/>
  <c r="H14" i="4" s="1"/>
  <c r="K14" i="4" s="1"/>
  <c r="B4" i="4"/>
  <c r="H5" i="4" s="1"/>
  <c r="K5" i="4" s="1"/>
  <c r="I21" i="3"/>
  <c r="I22" i="3"/>
  <c r="I23" i="3"/>
  <c r="I13" i="3"/>
  <c r="I14" i="3"/>
  <c r="I15" i="3"/>
  <c r="I16" i="3"/>
  <c r="I17" i="3"/>
  <c r="I18" i="3"/>
  <c r="I19" i="3"/>
  <c r="I20" i="3"/>
  <c r="O10" i="3"/>
  <c r="O11" i="3"/>
  <c r="O12" i="3"/>
  <c r="O13" i="3"/>
  <c r="O14" i="3"/>
  <c r="O15" i="3"/>
  <c r="O16" i="3"/>
  <c r="O17" i="3"/>
  <c r="I6" i="3"/>
  <c r="I7" i="3"/>
  <c r="I8" i="3"/>
  <c r="I9" i="3"/>
  <c r="I10" i="3"/>
  <c r="I11" i="3"/>
  <c r="I12" i="3"/>
  <c r="I5" i="3"/>
  <c r="O9" i="3"/>
  <c r="O8" i="3"/>
  <c r="O7" i="3"/>
  <c r="O6" i="3"/>
  <c r="O5" i="3"/>
  <c r="D5" i="3"/>
  <c r="J6" i="3" s="1"/>
  <c r="D6" i="3"/>
  <c r="J7" i="3" s="1"/>
  <c r="D7" i="3"/>
  <c r="J8" i="3" s="1"/>
  <c r="D8" i="3"/>
  <c r="J9" i="3" s="1"/>
  <c r="D9" i="3"/>
  <c r="J10" i="3" s="1"/>
  <c r="D10" i="3"/>
  <c r="J11" i="3" s="1"/>
  <c r="D11" i="3"/>
  <c r="J12" i="3" s="1"/>
  <c r="D12" i="3"/>
  <c r="J13" i="3" s="1"/>
  <c r="D13" i="3"/>
  <c r="J14" i="3" s="1"/>
  <c r="D14" i="3"/>
  <c r="J15" i="3" s="1"/>
  <c r="D15" i="3"/>
  <c r="J16" i="3" s="1"/>
  <c r="D16" i="3"/>
  <c r="J17" i="3" s="1"/>
  <c r="D17" i="3"/>
  <c r="J18" i="3" s="1"/>
  <c r="D18" i="3"/>
  <c r="J19" i="3" s="1"/>
  <c r="D19" i="3"/>
  <c r="J20" i="3" s="1"/>
  <c r="D20" i="3"/>
  <c r="J21" i="3" s="1"/>
  <c r="D21" i="3"/>
  <c r="J22" i="3" s="1"/>
  <c r="D22" i="3"/>
  <c r="J23" i="3" s="1"/>
  <c r="D4" i="3"/>
  <c r="J5" i="3" s="1"/>
  <c r="B5" i="3"/>
  <c r="H6" i="3" s="1"/>
  <c r="K6" i="3" s="1"/>
  <c r="B6" i="3"/>
  <c r="H7" i="3" s="1"/>
  <c r="K7" i="3" s="1"/>
  <c r="B7" i="3"/>
  <c r="H8" i="3" s="1"/>
  <c r="K8" i="3" s="1"/>
  <c r="B8" i="3"/>
  <c r="H9" i="3" s="1"/>
  <c r="K9" i="3" s="1"/>
  <c r="B9" i="3"/>
  <c r="H10" i="3" s="1"/>
  <c r="K10" i="3" s="1"/>
  <c r="B10" i="3"/>
  <c r="H11" i="3" s="1"/>
  <c r="K11" i="3" s="1"/>
  <c r="B11" i="3"/>
  <c r="H12" i="3" s="1"/>
  <c r="K12" i="3" s="1"/>
  <c r="B12" i="3"/>
  <c r="H13" i="3" s="1"/>
  <c r="K13" i="3" s="1"/>
  <c r="B13" i="3"/>
  <c r="H14" i="3" s="1"/>
  <c r="K14" i="3" s="1"/>
  <c r="L14" i="3" s="1"/>
  <c r="B14" i="3"/>
  <c r="H15" i="3" s="1"/>
  <c r="K15" i="3" s="1"/>
  <c r="B15" i="3"/>
  <c r="H16" i="3" s="1"/>
  <c r="K16" i="3" s="1"/>
  <c r="B16" i="3"/>
  <c r="H17" i="3" s="1"/>
  <c r="K17" i="3" s="1"/>
  <c r="B17" i="3"/>
  <c r="H18" i="3" s="1"/>
  <c r="K18" i="3" s="1"/>
  <c r="L18" i="3" s="1"/>
  <c r="B18" i="3"/>
  <c r="H19" i="3" s="1"/>
  <c r="K19" i="3" s="1"/>
  <c r="B19" i="3"/>
  <c r="H20" i="3" s="1"/>
  <c r="K20" i="3" s="1"/>
  <c r="B20" i="3"/>
  <c r="H21" i="3" s="1"/>
  <c r="K21" i="3" s="1"/>
  <c r="B21" i="3"/>
  <c r="H22" i="3" s="1"/>
  <c r="K22" i="3" s="1"/>
  <c r="L22" i="3" s="1"/>
  <c r="B22" i="3"/>
  <c r="H23" i="3" s="1"/>
  <c r="K23" i="3" s="1"/>
  <c r="B4" i="3"/>
  <c r="H5" i="3" s="1"/>
  <c r="K5" i="3" s="1"/>
  <c r="B6" i="13" l="1"/>
  <c r="B6" i="6"/>
  <c r="B14" i="13"/>
  <c r="B14" i="6"/>
  <c r="C13" i="13"/>
  <c r="C13" i="6"/>
  <c r="B21" i="13"/>
  <c r="B21" i="6"/>
  <c r="B7" i="13"/>
  <c r="B7" i="6"/>
  <c r="B17" i="13"/>
  <c r="B17" i="6"/>
  <c r="B13" i="13"/>
  <c r="B13" i="6"/>
  <c r="C7" i="13"/>
  <c r="C7" i="6"/>
  <c r="C17" i="13"/>
  <c r="C17" i="6"/>
  <c r="C21" i="13"/>
  <c r="C21" i="6"/>
  <c r="B20" i="13"/>
  <c r="B20" i="6"/>
  <c r="C11" i="13"/>
  <c r="C11" i="6"/>
  <c r="C18" i="13"/>
  <c r="C18" i="6"/>
  <c r="B16" i="13"/>
  <c r="B16" i="6"/>
  <c r="B61" i="6" s="1"/>
  <c r="B12" i="13"/>
  <c r="B12" i="6"/>
  <c r="L7" i="4"/>
  <c r="C6" i="13"/>
  <c r="C6" i="6"/>
  <c r="C10" i="13"/>
  <c r="C10" i="6"/>
  <c r="C12" i="13"/>
  <c r="C12" i="6"/>
  <c r="C14" i="13"/>
  <c r="C14" i="6"/>
  <c r="C20" i="13"/>
  <c r="C20" i="6"/>
  <c r="B23" i="13"/>
  <c r="B23" i="6"/>
  <c r="B19" i="13"/>
  <c r="B19" i="6"/>
  <c r="B9" i="13"/>
  <c r="B9" i="6"/>
  <c r="B10" i="13"/>
  <c r="B10" i="6"/>
  <c r="C16" i="13"/>
  <c r="C16" i="6"/>
  <c r="L23" i="3"/>
  <c r="L15" i="3"/>
  <c r="B5" i="13"/>
  <c r="B5" i="6"/>
  <c r="B8" i="13"/>
  <c r="B8" i="6"/>
  <c r="B15" i="13"/>
  <c r="B15" i="6"/>
  <c r="B11" i="13"/>
  <c r="B11" i="6"/>
  <c r="L10" i="4"/>
  <c r="L6" i="4"/>
  <c r="C5" i="13"/>
  <c r="C5" i="6"/>
  <c r="C8" i="13"/>
  <c r="C8" i="6"/>
  <c r="C9" i="13"/>
  <c r="C9" i="6"/>
  <c r="C15" i="13"/>
  <c r="C15" i="6"/>
  <c r="C19" i="13"/>
  <c r="C19" i="6"/>
  <c r="B22" i="13"/>
  <c r="B22" i="6"/>
  <c r="B18" i="13"/>
  <c r="B18" i="6"/>
  <c r="L20" i="3"/>
  <c r="L8" i="3"/>
  <c r="L19" i="3"/>
  <c r="L21" i="3"/>
  <c r="L17" i="3"/>
  <c r="L13" i="3"/>
  <c r="L5" i="4"/>
  <c r="L2" i="4" s="1"/>
  <c r="L7" i="3"/>
  <c r="L14" i="4"/>
  <c r="L16" i="3"/>
  <c r="L9" i="4"/>
  <c r="L10" i="3"/>
  <c r="L6" i="3"/>
  <c r="L12" i="3"/>
  <c r="L9" i="3"/>
  <c r="L11" i="3"/>
  <c r="L5" i="3"/>
  <c r="O9" i="2"/>
  <c r="O6" i="2"/>
  <c r="O7" i="2"/>
  <c r="O8" i="2"/>
  <c r="O5" i="2"/>
  <c r="H11" i="2"/>
  <c r="K11" i="2" s="1"/>
  <c r="L11" i="2" s="1"/>
  <c r="I8" i="2"/>
  <c r="I7" i="2"/>
  <c r="H7" i="2"/>
  <c r="K7" i="2" s="1"/>
  <c r="D5" i="2"/>
  <c r="I6" i="2" s="1"/>
  <c r="D6" i="2"/>
  <c r="E6" i="2" s="1"/>
  <c r="J7" i="2" s="1"/>
  <c r="D7" i="2"/>
  <c r="E7" i="2" s="1"/>
  <c r="J8" i="2" s="1"/>
  <c r="D8" i="2"/>
  <c r="I9" i="2" s="1"/>
  <c r="D9" i="2"/>
  <c r="I10" i="2" s="1"/>
  <c r="D10" i="2"/>
  <c r="E10" i="2" s="1"/>
  <c r="J11" i="2" s="1"/>
  <c r="D11" i="2"/>
  <c r="I12" i="2" s="1"/>
  <c r="D4" i="2"/>
  <c r="I5" i="2" s="1"/>
  <c r="B5" i="2"/>
  <c r="H6" i="2" s="1"/>
  <c r="K6" i="2" s="1"/>
  <c r="B6" i="2"/>
  <c r="B7" i="2"/>
  <c r="H8" i="2" s="1"/>
  <c r="K8" i="2" s="1"/>
  <c r="B8" i="2"/>
  <c r="H9" i="2" s="1"/>
  <c r="K9" i="2" s="1"/>
  <c r="B9" i="2"/>
  <c r="H10" i="2" s="1"/>
  <c r="K10" i="2" s="1"/>
  <c r="B10" i="2"/>
  <c r="B11" i="2"/>
  <c r="H12" i="2" s="1"/>
  <c r="K12" i="2" s="1"/>
  <c r="B4" i="2"/>
  <c r="H5" i="2" s="1"/>
  <c r="K5" i="2" s="1"/>
  <c r="B55" i="6" l="1"/>
  <c r="C55" i="6"/>
  <c r="D55" i="6" s="1"/>
  <c r="C58" i="6"/>
  <c r="B58" i="6"/>
  <c r="C28" i="6"/>
  <c r="B28" i="6"/>
  <c r="C40" i="6"/>
  <c r="D40" i="6" s="1"/>
  <c r="F40" i="6" s="1"/>
  <c r="B40" i="6"/>
  <c r="H16" i="13"/>
  <c r="M16" i="13" s="1"/>
  <c r="B61" i="13"/>
  <c r="G16" i="13"/>
  <c r="C61" i="13"/>
  <c r="B34" i="13"/>
  <c r="G17" i="13"/>
  <c r="B64" i="13"/>
  <c r="C64" i="13"/>
  <c r="H17" i="13"/>
  <c r="M17" i="13" s="1"/>
  <c r="C76" i="13"/>
  <c r="D76" i="13" s="1"/>
  <c r="F76" i="13" s="1"/>
  <c r="G21" i="13"/>
  <c r="B76" i="13"/>
  <c r="H21" i="13"/>
  <c r="M21" i="13" s="1"/>
  <c r="H14" i="13"/>
  <c r="M14" i="13" s="1"/>
  <c r="B55" i="13"/>
  <c r="G14" i="13"/>
  <c r="C55" i="13"/>
  <c r="H18" i="13"/>
  <c r="M18" i="13" s="1"/>
  <c r="B67" i="13"/>
  <c r="G18" i="13"/>
  <c r="C67" i="13"/>
  <c r="G11" i="13"/>
  <c r="B46" i="13"/>
  <c r="H11" i="13"/>
  <c r="M11" i="13" s="1"/>
  <c r="N11" i="13" s="1"/>
  <c r="C46" i="13"/>
  <c r="H8" i="13"/>
  <c r="M8" i="13" s="1"/>
  <c r="G8" i="13"/>
  <c r="B37" i="13"/>
  <c r="C37" i="13"/>
  <c r="H10" i="13"/>
  <c r="M10" i="13" s="1"/>
  <c r="G10" i="13"/>
  <c r="B43" i="13"/>
  <c r="C43" i="13"/>
  <c r="B70" i="13"/>
  <c r="H19" i="13"/>
  <c r="M19" i="13" s="1"/>
  <c r="N19" i="13" s="1"/>
  <c r="G19" i="13"/>
  <c r="C70" i="13"/>
  <c r="D70" i="13" s="1"/>
  <c r="F70" i="13" s="1"/>
  <c r="G22" i="13"/>
  <c r="C79" i="13"/>
  <c r="B79" i="13"/>
  <c r="G15" i="13"/>
  <c r="H15" i="13"/>
  <c r="M15" i="13" s="1"/>
  <c r="N15" i="13" s="1"/>
  <c r="B58" i="13"/>
  <c r="C58" i="13"/>
  <c r="D58" i="13" s="1"/>
  <c r="F58" i="13" s="1"/>
  <c r="G5" i="13"/>
  <c r="C28" i="13"/>
  <c r="H5" i="13"/>
  <c r="M5" i="13" s="1"/>
  <c r="N5" i="13" s="1"/>
  <c r="B28" i="13"/>
  <c r="G9" i="13"/>
  <c r="C40" i="13"/>
  <c r="H9" i="13"/>
  <c r="M9" i="13" s="1"/>
  <c r="B40" i="13"/>
  <c r="B82" i="13"/>
  <c r="G23" i="13"/>
  <c r="C82" i="13"/>
  <c r="D82" i="13" s="1"/>
  <c r="F82" i="13" s="1"/>
  <c r="C52" i="6"/>
  <c r="B52" i="6"/>
  <c r="B34" i="6"/>
  <c r="C34" i="6"/>
  <c r="C31" i="6"/>
  <c r="B31" i="6"/>
  <c r="I11" i="2"/>
  <c r="C67" i="6"/>
  <c r="B67" i="6"/>
  <c r="B46" i="6"/>
  <c r="C46" i="6"/>
  <c r="C37" i="6"/>
  <c r="B37" i="6"/>
  <c r="C43" i="6"/>
  <c r="D43" i="6" s="1"/>
  <c r="F43" i="6" s="1"/>
  <c r="B43" i="6"/>
  <c r="H12" i="13"/>
  <c r="M12" i="13" s="1"/>
  <c r="G12" i="13"/>
  <c r="B49" i="13"/>
  <c r="C49" i="13"/>
  <c r="H20" i="13"/>
  <c r="M20" i="13" s="1"/>
  <c r="G20" i="13"/>
  <c r="C73" i="13"/>
  <c r="D73" i="13" s="1"/>
  <c r="F73" i="13" s="1"/>
  <c r="B73" i="13"/>
  <c r="G13" i="13"/>
  <c r="B52" i="13"/>
  <c r="C52" i="13"/>
  <c r="D52" i="13" s="1"/>
  <c r="F52" i="13" s="1"/>
  <c r="H13" i="13"/>
  <c r="M13" i="13" s="1"/>
  <c r="G7" i="13"/>
  <c r="C34" i="13"/>
  <c r="H7" i="13"/>
  <c r="M7" i="13" s="1"/>
  <c r="N7" i="13" s="1"/>
  <c r="H6" i="13"/>
  <c r="M6" i="13" s="1"/>
  <c r="B31" i="13"/>
  <c r="G6" i="13"/>
  <c r="C31" i="13"/>
  <c r="L8" i="2"/>
  <c r="L6" i="2"/>
  <c r="L7" i="2"/>
  <c r="E9" i="2"/>
  <c r="J10" i="2" s="1"/>
  <c r="L10" i="2" s="1"/>
  <c r="E5" i="2"/>
  <c r="J6" i="2" s="1"/>
  <c r="H15" i="6"/>
  <c r="M15" i="6" s="1"/>
  <c r="G15" i="6"/>
  <c r="H21" i="6"/>
  <c r="M21" i="6" s="1"/>
  <c r="B76" i="6"/>
  <c r="C76" i="6"/>
  <c r="G21" i="6"/>
  <c r="H18" i="6"/>
  <c r="M18" i="6" s="1"/>
  <c r="G18" i="6"/>
  <c r="G13" i="6"/>
  <c r="H13" i="6"/>
  <c r="M13" i="6" s="1"/>
  <c r="B70" i="6"/>
  <c r="C70" i="6"/>
  <c r="H19" i="6"/>
  <c r="M19" i="6" s="1"/>
  <c r="G19" i="6"/>
  <c r="H12" i="6"/>
  <c r="M12" i="6" s="1"/>
  <c r="G12" i="6"/>
  <c r="C49" i="6"/>
  <c r="B49" i="6"/>
  <c r="E8" i="2"/>
  <c r="J9" i="2" s="1"/>
  <c r="L9" i="2" s="1"/>
  <c r="H11" i="6"/>
  <c r="M11" i="6" s="1"/>
  <c r="G11" i="6"/>
  <c r="H10" i="6"/>
  <c r="M10" i="6" s="1"/>
  <c r="G10" i="6"/>
  <c r="H16" i="6"/>
  <c r="M16" i="6" s="1"/>
  <c r="G16" i="6"/>
  <c r="C61" i="6"/>
  <c r="E4" i="2"/>
  <c r="J5" i="2" s="1"/>
  <c r="L5" i="2" s="1"/>
  <c r="E11" i="2"/>
  <c r="J12" i="2" s="1"/>
  <c r="L12" i="2" s="1"/>
  <c r="B79" i="6"/>
  <c r="G22" i="6"/>
  <c r="C79" i="6"/>
  <c r="B64" i="6"/>
  <c r="C64" i="6"/>
  <c r="H17" i="6"/>
  <c r="M17" i="6" s="1"/>
  <c r="G17" i="6"/>
  <c r="C82" i="6"/>
  <c r="G23" i="6"/>
  <c r="B82" i="6"/>
  <c r="H14" i="6"/>
  <c r="M14" i="6" s="1"/>
  <c r="G14" i="6"/>
  <c r="G20" i="6"/>
  <c r="C73" i="6"/>
  <c r="B73" i="6"/>
  <c r="H20" i="6"/>
  <c r="M20" i="6" s="1"/>
  <c r="L2" i="3"/>
  <c r="B68" i="13" l="1"/>
  <c r="E56" i="13"/>
  <c r="N13" i="13"/>
  <c r="L20" i="13"/>
  <c r="K20" i="13"/>
  <c r="K12" i="13"/>
  <c r="L12" i="13"/>
  <c r="E80" i="13"/>
  <c r="D28" i="13"/>
  <c r="E28" i="13" s="1"/>
  <c r="F28" i="13"/>
  <c r="E58" i="13"/>
  <c r="F56" i="13" s="1"/>
  <c r="N22" i="13"/>
  <c r="L22" i="13"/>
  <c r="K22" i="13"/>
  <c r="E70" i="13"/>
  <c r="N10" i="13"/>
  <c r="K10" i="13"/>
  <c r="L10" i="13"/>
  <c r="N8" i="13"/>
  <c r="K8" i="13"/>
  <c r="L8" i="13"/>
  <c r="N18" i="13"/>
  <c r="L18" i="13"/>
  <c r="K18" i="13"/>
  <c r="F74" i="13"/>
  <c r="E74" i="13"/>
  <c r="L17" i="13"/>
  <c r="K17" i="13"/>
  <c r="D61" i="13"/>
  <c r="F61" i="13" s="1"/>
  <c r="K6" i="13"/>
  <c r="L6" i="13"/>
  <c r="D49" i="13"/>
  <c r="F49" i="13" s="1"/>
  <c r="D37" i="13"/>
  <c r="F37" i="13" s="1"/>
  <c r="E37" i="13"/>
  <c r="B35" i="13" s="1"/>
  <c r="B71" i="13"/>
  <c r="N12" i="13"/>
  <c r="D31" i="6"/>
  <c r="F31" i="6" s="1"/>
  <c r="N23" i="13"/>
  <c r="L23" i="13"/>
  <c r="K23" i="13"/>
  <c r="N9" i="13"/>
  <c r="L5" i="13"/>
  <c r="K5" i="13"/>
  <c r="F68" i="13"/>
  <c r="E68" i="13"/>
  <c r="D68" i="13"/>
  <c r="D43" i="13"/>
  <c r="F43" i="13" s="1"/>
  <c r="C68" i="13"/>
  <c r="N14" i="13"/>
  <c r="L14" i="13"/>
  <c r="K14" i="13"/>
  <c r="N21" i="13"/>
  <c r="N17" i="13"/>
  <c r="N16" i="13"/>
  <c r="K13" i="13"/>
  <c r="L13" i="13"/>
  <c r="L9" i="13"/>
  <c r="K9" i="13"/>
  <c r="D79" i="13"/>
  <c r="E79" i="13" s="1"/>
  <c r="F79" i="13"/>
  <c r="C71" i="13"/>
  <c r="D46" i="13"/>
  <c r="E46" i="13" s="1"/>
  <c r="K21" i="13"/>
  <c r="L21" i="13"/>
  <c r="K16" i="13"/>
  <c r="L16" i="13"/>
  <c r="D31" i="13"/>
  <c r="F31" i="13" s="1"/>
  <c r="N6" i="13"/>
  <c r="D34" i="13"/>
  <c r="E34" i="13" s="1"/>
  <c r="N20" i="13"/>
  <c r="D37" i="6"/>
  <c r="E37" i="6" s="1"/>
  <c r="D52" i="6"/>
  <c r="E52" i="6" s="1"/>
  <c r="F52" i="6"/>
  <c r="N13" i="6"/>
  <c r="K7" i="13"/>
  <c r="L7" i="13"/>
  <c r="E52" i="13"/>
  <c r="B50" i="13" s="1"/>
  <c r="E73" i="13"/>
  <c r="F71" i="13" s="1"/>
  <c r="E43" i="6"/>
  <c r="D46" i="6"/>
  <c r="E46" i="6" s="1"/>
  <c r="F46" i="6"/>
  <c r="D34" i="6"/>
  <c r="F34" i="6" s="1"/>
  <c r="E82" i="13"/>
  <c r="B80" i="13" s="1"/>
  <c r="D40" i="13"/>
  <c r="E40" i="13" s="1"/>
  <c r="F40" i="13"/>
  <c r="B56" i="13"/>
  <c r="K15" i="13"/>
  <c r="L15" i="13"/>
  <c r="L19" i="13"/>
  <c r="K19" i="13"/>
  <c r="K11" i="13"/>
  <c r="L11" i="13"/>
  <c r="D67" i="13"/>
  <c r="F67" i="13" s="1"/>
  <c r="D55" i="13"/>
  <c r="F55" i="13" s="1"/>
  <c r="E76" i="13"/>
  <c r="D64" i="13"/>
  <c r="F64" i="13" s="1"/>
  <c r="E40" i="6"/>
  <c r="D28" i="6"/>
  <c r="E28" i="6" s="1"/>
  <c r="F28" i="6"/>
  <c r="D76" i="6"/>
  <c r="F76" i="6" s="1"/>
  <c r="D82" i="6"/>
  <c r="F82" i="6" s="1"/>
  <c r="D79" i="6"/>
  <c r="F79" i="6" s="1"/>
  <c r="N17" i="6"/>
  <c r="N18" i="6"/>
  <c r="N21" i="6"/>
  <c r="L2" i="2"/>
  <c r="E55" i="6"/>
  <c r="D70" i="6"/>
  <c r="E70" i="6" s="1"/>
  <c r="D73" i="6"/>
  <c r="F73" i="6" s="1"/>
  <c r="K22" i="6"/>
  <c r="L22" i="6"/>
  <c r="N22" i="6"/>
  <c r="L20" i="6"/>
  <c r="K20" i="6"/>
  <c r="E79" i="6"/>
  <c r="E77" i="6" s="1"/>
  <c r="N16" i="6"/>
  <c r="L16" i="6"/>
  <c r="K16" i="6"/>
  <c r="N10" i="6"/>
  <c r="K10" i="6"/>
  <c r="L10" i="6"/>
  <c r="L11" i="6"/>
  <c r="K11" i="6"/>
  <c r="N12" i="6"/>
  <c r="K19" i="6"/>
  <c r="L19" i="6"/>
  <c r="G9" i="6"/>
  <c r="H9" i="6"/>
  <c r="M9" i="6" s="1"/>
  <c r="D49" i="6"/>
  <c r="E49" i="6" s="1"/>
  <c r="G6" i="6"/>
  <c r="H6" i="6"/>
  <c r="M6" i="6" s="1"/>
  <c r="L14" i="6"/>
  <c r="K14" i="6"/>
  <c r="D64" i="6"/>
  <c r="E64" i="6" s="1"/>
  <c r="D61" i="6"/>
  <c r="F61" i="6" s="1"/>
  <c r="L12" i="6"/>
  <c r="K12" i="6"/>
  <c r="N20" i="6"/>
  <c r="N14" i="6"/>
  <c r="K23" i="6"/>
  <c r="L23" i="6"/>
  <c r="N23" i="6"/>
  <c r="L17" i="6"/>
  <c r="K17" i="6"/>
  <c r="G7" i="6"/>
  <c r="H7" i="6"/>
  <c r="M7" i="6" s="1"/>
  <c r="N11" i="6"/>
  <c r="H8" i="6"/>
  <c r="M8" i="6" s="1"/>
  <c r="G8" i="6"/>
  <c r="N19" i="6"/>
  <c r="L13" i="6"/>
  <c r="K13" i="6"/>
  <c r="L18" i="6"/>
  <c r="K18" i="6"/>
  <c r="L21" i="6"/>
  <c r="K21" i="6"/>
  <c r="N15" i="6"/>
  <c r="K15" i="6"/>
  <c r="L15" i="6"/>
  <c r="D67" i="6"/>
  <c r="E67" i="6" s="1"/>
  <c r="G5" i="6"/>
  <c r="H5" i="6"/>
  <c r="M5" i="6" s="1"/>
  <c r="D58" i="6"/>
  <c r="F58" i="6" s="1"/>
  <c r="D6" i="1"/>
  <c r="B6" i="1"/>
  <c r="D3" i="1"/>
  <c r="I2" i="1"/>
  <c r="C62" i="13" l="1"/>
  <c r="F38" i="13"/>
  <c r="E38" i="13"/>
  <c r="D38" i="13"/>
  <c r="B38" i="13"/>
  <c r="C38" i="13"/>
  <c r="D47" i="13"/>
  <c r="B59" i="13"/>
  <c r="D77" i="13"/>
  <c r="D80" i="13"/>
  <c r="F26" i="13"/>
  <c r="E26" i="13"/>
  <c r="D26" i="13"/>
  <c r="B26" i="13"/>
  <c r="C26" i="13"/>
  <c r="E76" i="6"/>
  <c r="F74" i="6" s="1"/>
  <c r="E82" i="6"/>
  <c r="B80" i="6" s="1"/>
  <c r="F26" i="6"/>
  <c r="E26" i="6"/>
  <c r="D26" i="6"/>
  <c r="B26" i="6"/>
  <c r="C26" i="6"/>
  <c r="D74" i="13"/>
  <c r="C74" i="13"/>
  <c r="B74" i="13"/>
  <c r="F29" i="13"/>
  <c r="E29" i="13"/>
  <c r="C29" i="13"/>
  <c r="E77" i="13"/>
  <c r="F77" i="13"/>
  <c r="C77" i="13"/>
  <c r="B77" i="13"/>
  <c r="E34" i="6"/>
  <c r="D50" i="13"/>
  <c r="E31" i="13"/>
  <c r="D29" i="13" s="1"/>
  <c r="D71" i="13"/>
  <c r="E65" i="13"/>
  <c r="E64" i="13"/>
  <c r="B62" i="13" s="1"/>
  <c r="E55" i="13"/>
  <c r="D53" i="13" s="1"/>
  <c r="F34" i="13"/>
  <c r="F46" i="13"/>
  <c r="E67" i="13"/>
  <c r="C65" i="13" s="1"/>
  <c r="E50" i="13"/>
  <c r="F35" i="13"/>
  <c r="E35" i="13"/>
  <c r="D35" i="13"/>
  <c r="C35" i="13"/>
  <c r="C56" i="13"/>
  <c r="C80" i="13"/>
  <c r="E31" i="6"/>
  <c r="E43" i="13"/>
  <c r="C41" i="13" s="1"/>
  <c r="E71" i="13"/>
  <c r="C53" i="13"/>
  <c r="C50" i="13"/>
  <c r="F37" i="6"/>
  <c r="F50" i="13"/>
  <c r="E49" i="13"/>
  <c r="B47" i="13" s="1"/>
  <c r="E61" i="13"/>
  <c r="F59" i="13" s="1"/>
  <c r="F80" i="13"/>
  <c r="D56" i="13"/>
  <c r="E73" i="6"/>
  <c r="F71" i="6" s="1"/>
  <c r="D71" i="6"/>
  <c r="D74" i="6"/>
  <c r="F70" i="6"/>
  <c r="D68" i="6" s="1"/>
  <c r="F67" i="6"/>
  <c r="B74" i="6"/>
  <c r="E74" i="6"/>
  <c r="E80" i="6"/>
  <c r="F80" i="6"/>
  <c r="C77" i="6"/>
  <c r="B77" i="6"/>
  <c r="E61" i="6"/>
  <c r="E59" i="6" s="1"/>
  <c r="F55" i="6"/>
  <c r="N6" i="6"/>
  <c r="L5" i="6"/>
  <c r="K5" i="6"/>
  <c r="K8" i="6"/>
  <c r="L8" i="6"/>
  <c r="N5" i="6"/>
  <c r="E65" i="6"/>
  <c r="N8" i="6"/>
  <c r="L6" i="6"/>
  <c r="K6" i="6"/>
  <c r="N9" i="6"/>
  <c r="E58" i="6"/>
  <c r="D56" i="6" s="1"/>
  <c r="N7" i="6"/>
  <c r="F64" i="6"/>
  <c r="D62" i="6" s="1"/>
  <c r="F49" i="6"/>
  <c r="K9" i="6"/>
  <c r="L9" i="6"/>
  <c r="L7" i="6"/>
  <c r="K7" i="6"/>
  <c r="B71" i="6"/>
  <c r="E71" i="6"/>
  <c r="C71" i="6"/>
  <c r="F77" i="6"/>
  <c r="C74" i="6"/>
  <c r="C68" i="6"/>
  <c r="C80" i="6"/>
  <c r="E53" i="13" l="1"/>
  <c r="F65" i="13"/>
  <c r="D59" i="13"/>
  <c r="E47" i="13"/>
  <c r="E41" i="13"/>
  <c r="D62" i="13"/>
  <c r="D41" i="13"/>
  <c r="F53" i="13"/>
  <c r="D44" i="13"/>
  <c r="F44" i="13"/>
  <c r="E44" i="13"/>
  <c r="B44" i="13"/>
  <c r="C44" i="13"/>
  <c r="B65" i="13"/>
  <c r="E59" i="13"/>
  <c r="F47" i="13"/>
  <c r="F41" i="13"/>
  <c r="E62" i="13"/>
  <c r="E68" i="6"/>
  <c r="F68" i="6"/>
  <c r="B53" i="13"/>
  <c r="F32" i="13"/>
  <c r="E32" i="13"/>
  <c r="D32" i="13"/>
  <c r="C32" i="13"/>
  <c r="B32" i="13"/>
  <c r="D65" i="13"/>
  <c r="B29" i="13"/>
  <c r="C59" i="13"/>
  <c r="C47" i="13"/>
  <c r="B41" i="13"/>
  <c r="F62" i="13"/>
  <c r="D65" i="6"/>
  <c r="C65" i="6"/>
  <c r="B68" i="6"/>
  <c r="E47" i="6"/>
  <c r="D47" i="6"/>
  <c r="B47" i="6"/>
  <c r="F47" i="6"/>
  <c r="C47" i="6"/>
  <c r="F65" i="6"/>
  <c r="B65" i="6"/>
  <c r="C59" i="6"/>
  <c r="D59" i="6"/>
  <c r="B56" i="6"/>
  <c r="F56" i="6"/>
  <c r="C56" i="6"/>
  <c r="E56" i="6"/>
  <c r="E53" i="6"/>
  <c r="C53" i="6"/>
  <c r="F53" i="6"/>
  <c r="B53" i="6"/>
  <c r="D53" i="6"/>
  <c r="D50" i="6"/>
  <c r="C50" i="6"/>
  <c r="F50" i="6"/>
  <c r="B50" i="6"/>
  <c r="E50" i="6"/>
  <c r="D44" i="6"/>
  <c r="C44" i="6"/>
  <c r="F44" i="6"/>
  <c r="B44" i="6"/>
  <c r="E44" i="6"/>
  <c r="E41" i="6"/>
  <c r="C41" i="6"/>
  <c r="F41" i="6"/>
  <c r="B41" i="6"/>
  <c r="D41" i="6"/>
  <c r="B59" i="6"/>
  <c r="F59" i="6"/>
  <c r="B62" i="6"/>
  <c r="F62" i="6"/>
  <c r="E62" i="6"/>
  <c r="C62" i="6"/>
  <c r="D38" i="6" l="1"/>
  <c r="C38" i="6"/>
  <c r="F38" i="6"/>
  <c r="B38" i="6"/>
  <c r="E38" i="6"/>
  <c r="F35" i="6"/>
  <c r="B35" i="6"/>
  <c r="E35" i="6"/>
  <c r="C35" i="6"/>
  <c r="D35" i="6"/>
  <c r="B29" i="6"/>
  <c r="F29" i="6"/>
  <c r="D29" i="6"/>
  <c r="C29" i="6"/>
  <c r="E29" i="6"/>
  <c r="D80" i="6"/>
  <c r="D77" i="6"/>
  <c r="D32" i="6" l="1"/>
  <c r="C32" i="6"/>
  <c r="F32" i="6"/>
  <c r="B32" i="6"/>
  <c r="E32" i="6"/>
</calcChain>
</file>

<file path=xl/sharedStrings.xml><?xml version="1.0" encoding="utf-8"?>
<sst xmlns="http://schemas.openxmlformats.org/spreadsheetml/2006/main" count="400" uniqueCount="100">
  <si>
    <t>CO2 Properties:</t>
  </si>
  <si>
    <t>MOF-5 Properties:</t>
  </si>
  <si>
    <t>density</t>
  </si>
  <si>
    <t>&gt;g/cm^3</t>
  </si>
  <si>
    <t>&gt;g/L</t>
  </si>
  <si>
    <t xml:space="preserve">molecular weight </t>
  </si>
  <si>
    <t>&gt;g/mol (mg/mmol)</t>
  </si>
  <si>
    <t>&gt;g/mmol</t>
  </si>
  <si>
    <t xml:space="preserve">ideal molar volume </t>
  </si>
  <si>
    <t>&gt;cm^3/mmol</t>
  </si>
  <si>
    <t xml:space="preserve">Theoretical Pore volume </t>
  </si>
  <si>
    <t>&gt;cm^3/g</t>
  </si>
  <si>
    <t>Total files &gt;</t>
  </si>
  <si>
    <t>Usable files &gt;</t>
  </si>
  <si>
    <t>Green files &gt;</t>
  </si>
  <si>
    <t>Amber files &gt;</t>
  </si>
  <si>
    <t>Red files &gt;</t>
  </si>
  <si>
    <t>File Number</t>
  </si>
  <si>
    <t>Gas [T(K)]</t>
  </si>
  <si>
    <t>NIST Website</t>
  </si>
  <si>
    <t xml:space="preserve">NIST Isotherm </t>
  </si>
  <si>
    <t>Source/Ref</t>
  </si>
  <si>
    <t>DOI</t>
  </si>
  <si>
    <t>PV Reported (cm^3/g)</t>
  </si>
  <si>
    <t>PV Gurvitsch (cm^3/g)</t>
  </si>
  <si>
    <t>Comments</t>
  </si>
  <si>
    <t>_001</t>
  </si>
  <si>
    <t>https://adsorption.nist.gov/isodb/index.php?DOI=10.1002/Aic.14467#biblio</t>
  </si>
  <si>
    <t>-, -</t>
  </si>
  <si>
    <t>https://doi.org/10.1002/Aic.14467</t>
  </si>
  <si>
    <t>CO2 data taken from https://doi.org/10.1021/ja9057234.</t>
  </si>
  <si>
    <r>
      <t xml:space="preserve">CO2 [298], </t>
    </r>
    <r>
      <rPr>
        <i/>
        <sz val="11"/>
        <color theme="1"/>
        <rFont val="Calibri"/>
        <family val="2"/>
        <scheme val="minor"/>
      </rPr>
      <t xml:space="preserve">N2 </t>
    </r>
  </si>
  <si>
    <t>P (bar)</t>
  </si>
  <si>
    <t>N (mg/g)</t>
  </si>
  <si>
    <t>P (kPa)</t>
  </si>
  <si>
    <t>N (mmol/g)</t>
  </si>
  <si>
    <t>Scaled N (mmol/g)</t>
  </si>
  <si>
    <t>Toth</t>
  </si>
  <si>
    <t xml:space="preserve">Sum  </t>
  </si>
  <si>
    <t>nm</t>
  </si>
  <si>
    <t>k</t>
  </si>
  <si>
    <t>t</t>
  </si>
  <si>
    <t xml:space="preserve">Toth fit </t>
  </si>
  <si>
    <t xml:space="preserve">Error </t>
  </si>
  <si>
    <t>Toth (mmol/g)</t>
  </si>
  <si>
    <t>_003</t>
  </si>
  <si>
    <r>
      <t xml:space="preserve">CO2 [303], </t>
    </r>
    <r>
      <rPr>
        <i/>
        <sz val="11"/>
        <color theme="1"/>
        <rFont val="Calibri"/>
        <family val="2"/>
        <scheme val="minor"/>
      </rPr>
      <t xml:space="preserve">N2 </t>
    </r>
  </si>
  <si>
    <t>https://adsorption.nist.gov/isodb/index.php?DOI=10.1021/Jp308525k#biblio</t>
  </si>
  <si>
    <t>Philip L. Llewellyn et al.</t>
  </si>
  <si>
    <t>https://doi.org/10.1021/Jp308525k</t>
  </si>
  <si>
    <t>_005 in methane</t>
  </si>
  <si>
    <t>1, -</t>
  </si>
  <si>
    <t>_009 in methane, pv = 0.481</t>
  </si>
  <si>
    <t>_006</t>
  </si>
  <si>
    <t>CO2 [303], N2 [77]</t>
  </si>
  <si>
    <t>https://adsorption.nist.gov/isodb/index.php?DOI=10.1039/C2cp42137b#biblio</t>
  </si>
  <si>
    <t>Karen Leus et al.</t>
  </si>
  <si>
    <t>https://doi.org/10.1039/C2cp42137b</t>
  </si>
  <si>
    <r>
      <t xml:space="preserve">CO2 [303], </t>
    </r>
    <r>
      <rPr>
        <i/>
        <sz val="11"/>
        <color theme="1"/>
        <rFont val="Calibri"/>
        <family val="2"/>
        <scheme val="minor"/>
      </rPr>
      <t>N2</t>
    </r>
  </si>
  <si>
    <t>https://adsorption.nist.gov/isodb/index.php?DOI=10.1002/cssc.201100716#biblio</t>
  </si>
  <si>
    <t>https://doi.org/10.1002/cssc.201100716</t>
  </si>
  <si>
    <t>5, -</t>
  </si>
  <si>
    <t>N (mol/m3)</t>
  </si>
  <si>
    <t>grain density</t>
  </si>
  <si>
    <t>g/cm3</t>
  </si>
  <si>
    <t>Gerhard D. Pirngruber et al.</t>
  </si>
  <si>
    <t>Weizhen Sun et al.</t>
  </si>
  <si>
    <t>CO2 [304]</t>
  </si>
  <si>
    <t>https://adsorption.nist.gov/isodb/index.php?DOI=10.1021/Jp910522h#biblio</t>
  </si>
  <si>
    <t>https://doi.org/10.1021/Jp910522h</t>
  </si>
  <si>
    <t>-</t>
  </si>
  <si>
    <t xml:space="preserve">uses CO2 data from https://doi.org/10.1021/ja054668v, but no pv/N2 data </t>
  </si>
  <si>
    <t>_007</t>
  </si>
  <si>
    <t>_011</t>
  </si>
  <si>
    <t>_012</t>
  </si>
  <si>
    <t>001-006 based on 'MIL-47' search term. 007-011 based on 'MIL-47(V)' search term. 012 onwards based on manual literature search</t>
  </si>
  <si>
    <t>Shyam Biswas et al.</t>
  </si>
  <si>
    <t>Qing Xu et al.</t>
  </si>
  <si>
    <t>https://doi.org/10.1021/jp406835n</t>
  </si>
  <si>
    <t>_013</t>
  </si>
  <si>
    <t>https://doi.org/10.1016/j.micromeso.2013.07.030</t>
  </si>
  <si>
    <t>Not sure if can actually use, sample is MIL-47-F2. Main difference appears to be a slightly smaller pv</t>
  </si>
  <si>
    <t>Average (mmol/g)</t>
  </si>
  <si>
    <t xml:space="preserve">Standard Deviation </t>
  </si>
  <si>
    <t xml:space="preserve">n of values </t>
  </si>
  <si>
    <t>Z (95% confidence)</t>
  </si>
  <si>
    <t>Lower 95% Confidence Interval</t>
  </si>
  <si>
    <t>Upper 95% Confidence Interval</t>
  </si>
  <si>
    <t>ERROR MARGIN</t>
  </si>
  <si>
    <t>% error</t>
  </si>
  <si>
    <t>Q1</t>
  </si>
  <si>
    <t>Q3</t>
  </si>
  <si>
    <t>IQR</t>
  </si>
  <si>
    <t>lower</t>
  </si>
  <si>
    <t>upper</t>
  </si>
  <si>
    <t>003</t>
  </si>
  <si>
    <t>006</t>
  </si>
  <si>
    <t>007</t>
  </si>
  <si>
    <t>012</t>
  </si>
  <si>
    <t>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</si>
</sst>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rgb="FFD9D9D9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2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2" applyFont="1" applyAlignment="1">
      <alignment horizontal="right"/>
    </xf>
    <xf numFmtId="0" fontId="6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0" xfId="1"/>
    <xf numFmtId="49" fontId="0" fillId="0" borderId="0" xfId="0" applyNumberFormat="1"/>
    <xf numFmtId="0" fontId="0" fillId="0" borderId="0" xfId="1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1"/>
    <xf numFmtId="0" fontId="13" fillId="0" borderId="0" xfId="3" applyFont="1"/>
    <xf numFmtId="0" fontId="10" fillId="0" borderId="1" xfId="0" applyFont="1" applyBorder="1" applyAlignment="1">
      <alignment horizontal="center"/>
    </xf>
    <xf numFmtId="49" fontId="15" fillId="0" borderId="2" xfId="0" applyNumberFormat="1" applyFont="1" applyFill="1" applyBorder="1" applyAlignment="1">
      <alignment horizontal="center" vertical="top"/>
    </xf>
    <xf numFmtId="49" fontId="15" fillId="0" borderId="2" xfId="0" applyNumberFormat="1" applyFont="1" applyBorder="1" applyAlignment="1">
      <alignment horizontal="center" vertical="top"/>
    </xf>
    <xf numFmtId="0" fontId="15" fillId="0" borderId="2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5" borderId="3" xfId="0" applyFont="1" applyFill="1" applyBorder="1"/>
    <xf numFmtId="0" fontId="16" fillId="5" borderId="4" xfId="0" applyFont="1" applyFill="1" applyBorder="1"/>
    <xf numFmtId="0" fontId="11" fillId="0" borderId="5" xfId="0" applyFont="1" applyBorder="1"/>
    <xf numFmtId="0" fontId="11" fillId="0" borderId="6" xfId="0" applyFont="1" applyBorder="1"/>
    <xf numFmtId="0" fontId="0" fillId="0" borderId="7" xfId="0" applyBorder="1"/>
    <xf numFmtId="0" fontId="0" fillId="6" borderId="0" xfId="0" applyFill="1"/>
    <xf numFmtId="0" fontId="17" fillId="5" borderId="4" xfId="0" applyFont="1" applyFill="1" applyBorder="1"/>
    <xf numFmtId="0" fontId="18" fillId="5" borderId="4" xfId="0" applyFont="1" applyFill="1" applyBorder="1"/>
    <xf numFmtId="0" fontId="19" fillId="5" borderId="4" xfId="0" applyFont="1" applyFill="1" applyBorder="1"/>
    <xf numFmtId="0" fontId="20" fillId="5" borderId="4" xfId="0" applyFont="1" applyFill="1" applyBorder="1"/>
    <xf numFmtId="0" fontId="14" fillId="6" borderId="0" xfId="0" applyFont="1" applyFill="1"/>
    <xf numFmtId="49" fontId="15" fillId="7" borderId="2" xfId="0" applyNumberFormat="1" applyFont="1" applyFill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ont="1"/>
    <xf numFmtId="0" fontId="3" fillId="0" borderId="0" xfId="1"/>
  </cellXfs>
  <cellStyles count="4">
    <cellStyle name="Hyperlink" xfId="1" builtinId="8"/>
    <cellStyle name="Normal" xfId="0" builtinId="0"/>
    <cellStyle name="Normal 2" xfId="3" xr:uid="{747A3B64-3133-4BE9-84D5-365F26310D33}"/>
    <cellStyle name="Normal 4" xfId="2" xr:uid="{281046DD-CBC4-4541-BB2D-90AB7A26B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'001'!$B$4:$B$11</c:f>
              <c:numCache>
                <c:formatCode>General</c:formatCode>
                <c:ptCount val="8"/>
                <c:pt idx="0">
                  <c:v>0.26100000000000001</c:v>
                </c:pt>
                <c:pt idx="1">
                  <c:v>5.3719999999999999</c:v>
                </c:pt>
                <c:pt idx="2">
                  <c:v>10.406000000000001</c:v>
                </c:pt>
                <c:pt idx="3">
                  <c:v>20.263999999999999</c:v>
                </c:pt>
                <c:pt idx="4">
                  <c:v>30.277999999999999</c:v>
                </c:pt>
                <c:pt idx="5">
                  <c:v>44.257000000000005</c:v>
                </c:pt>
                <c:pt idx="6">
                  <c:v>78.106999999999999</c:v>
                </c:pt>
                <c:pt idx="7">
                  <c:v>108.14999999999999</c:v>
                </c:pt>
              </c:numCache>
            </c:numRef>
          </c:xVal>
          <c:yVal>
            <c:numRef>
              <c:f>'001'!$E$4:$E$11</c:f>
              <c:numCache>
                <c:formatCode>General</c:formatCode>
                <c:ptCount val="8"/>
                <c:pt idx="0">
                  <c:v>2.9698470767343041E-2</c:v>
                </c:pt>
                <c:pt idx="1">
                  <c:v>0.11095457747278965</c:v>
                </c:pt>
                <c:pt idx="2">
                  <c:v>0.18230361971414938</c:v>
                </c:pt>
                <c:pt idx="3">
                  <c:v>0.37705923788316031</c:v>
                </c:pt>
                <c:pt idx="4">
                  <c:v>0.52966438682996653</c:v>
                </c:pt>
                <c:pt idx="5">
                  <c:v>0.81319730055215966</c:v>
                </c:pt>
                <c:pt idx="6">
                  <c:v>1.5109863891476742</c:v>
                </c:pt>
                <c:pt idx="7">
                  <c:v>2.179440568974528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1-4C5F-B006-48449C3B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8927"/>
        <c:axId val="11812255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'001'!$B$4:$B$11</c:f>
              <c:numCache>
                <c:formatCode>General</c:formatCode>
                <c:ptCount val="8"/>
                <c:pt idx="0">
                  <c:v>0.26100000000000001</c:v>
                </c:pt>
                <c:pt idx="1">
                  <c:v>5.3719999999999999</c:v>
                </c:pt>
                <c:pt idx="2">
                  <c:v>10.406000000000001</c:v>
                </c:pt>
                <c:pt idx="3">
                  <c:v>20.263999999999999</c:v>
                </c:pt>
                <c:pt idx="4">
                  <c:v>30.277999999999999</c:v>
                </c:pt>
                <c:pt idx="5">
                  <c:v>44.257000000000005</c:v>
                </c:pt>
                <c:pt idx="6">
                  <c:v>78.106999999999999</c:v>
                </c:pt>
                <c:pt idx="7">
                  <c:v>108.14999999999999</c:v>
                </c:pt>
              </c:numCache>
            </c:numRef>
          </c:xVal>
          <c:yVal>
            <c:numRef>
              <c:f>'001'!$K$5:$K$12</c:f>
              <c:numCache>
                <c:formatCode>General</c:formatCode>
                <c:ptCount val="8"/>
                <c:pt idx="0">
                  <c:v>5.1352869062467176E-3</c:v>
                </c:pt>
                <c:pt idx="1">
                  <c:v>0.1056611821308527</c:v>
                </c:pt>
                <c:pt idx="2">
                  <c:v>0.20461137434691881</c:v>
                </c:pt>
                <c:pt idx="3">
                  <c:v>0.39821615976122721</c:v>
                </c:pt>
                <c:pt idx="4">
                  <c:v>0.59466403543980384</c:v>
                </c:pt>
                <c:pt idx="5">
                  <c:v>0.86853221822565252</c:v>
                </c:pt>
                <c:pt idx="6">
                  <c:v>1.5300003072182768</c:v>
                </c:pt>
                <c:pt idx="7">
                  <c:v>2.1151110446580121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1-4C5F-B006-48449C3B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38927"/>
        <c:axId val="11812255"/>
      </c:scatterChart>
      <c:valAx>
        <c:axId val="3163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255"/>
        <c:crosses val="autoZero"/>
        <c:crossBetween val="midCat"/>
      </c:valAx>
      <c:valAx>
        <c:axId val="118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3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'003'!$B$4:$B$22</c:f>
              <c:numCache>
                <c:formatCode>General</c:formatCode>
                <c:ptCount val="19"/>
                <c:pt idx="0">
                  <c:v>11.473800000000001</c:v>
                </c:pt>
                <c:pt idx="1">
                  <c:v>75.830200000000005</c:v>
                </c:pt>
                <c:pt idx="2">
                  <c:v>125.88500000000001</c:v>
                </c:pt>
                <c:pt idx="3">
                  <c:v>197.392</c:v>
                </c:pt>
                <c:pt idx="4">
                  <c:v>247.447</c:v>
                </c:pt>
                <c:pt idx="5">
                  <c:v>297.50200000000001</c:v>
                </c:pt>
                <c:pt idx="6">
                  <c:v>597.83199999999999</c:v>
                </c:pt>
                <c:pt idx="7">
                  <c:v>876.70999999999992</c:v>
                </c:pt>
                <c:pt idx="8">
                  <c:v>1227.1000000000001</c:v>
                </c:pt>
                <c:pt idx="9">
                  <c:v>1520.27</c:v>
                </c:pt>
                <c:pt idx="10">
                  <c:v>1827.76</c:v>
                </c:pt>
                <c:pt idx="11">
                  <c:v>2128.0899999999997</c:v>
                </c:pt>
                <c:pt idx="12">
                  <c:v>2457.02</c:v>
                </c:pt>
                <c:pt idx="13">
                  <c:v>2743.0499999999997</c:v>
                </c:pt>
                <c:pt idx="14">
                  <c:v>3036.23</c:v>
                </c:pt>
                <c:pt idx="15">
                  <c:v>3358.01</c:v>
                </c:pt>
                <c:pt idx="16">
                  <c:v>3965.82</c:v>
                </c:pt>
                <c:pt idx="17">
                  <c:v>4552.18</c:v>
                </c:pt>
                <c:pt idx="18">
                  <c:v>4852.51</c:v>
                </c:pt>
              </c:numCache>
            </c:numRef>
          </c:xVal>
          <c:yVal>
            <c:numRef>
              <c:f>'003'!$D$4:$D$22</c:f>
              <c:numCache>
                <c:formatCode>General</c:formatCode>
                <c:ptCount val="19"/>
                <c:pt idx="0">
                  <c:v>5.2164249479999994E-2</c:v>
                </c:pt>
                <c:pt idx="1">
                  <c:v>1.2836723399999999</c:v>
                </c:pt>
                <c:pt idx="2">
                  <c:v>2.4754471199999997</c:v>
                </c:pt>
                <c:pt idx="3">
                  <c:v>3.4288669439999997</c:v>
                </c:pt>
                <c:pt idx="4">
                  <c:v>4.3822867680000002</c:v>
                </c:pt>
                <c:pt idx="5">
                  <c:v>5.2364016720000004</c:v>
                </c:pt>
                <c:pt idx="6">
                  <c:v>7.6398237900000003</c:v>
                </c:pt>
                <c:pt idx="7">
                  <c:v>9.0302315580000005</c:v>
                </c:pt>
                <c:pt idx="8">
                  <c:v>9.7850183939999997</c:v>
                </c:pt>
                <c:pt idx="9">
                  <c:v>10.241867322000001</c:v>
                </c:pt>
                <c:pt idx="10">
                  <c:v>10.539816804000001</c:v>
                </c:pt>
                <c:pt idx="11">
                  <c:v>10.817893728</c:v>
                </c:pt>
                <c:pt idx="12">
                  <c:v>10.996665732</c:v>
                </c:pt>
                <c:pt idx="13">
                  <c:v>11.215148129999999</c:v>
                </c:pt>
                <c:pt idx="14">
                  <c:v>11.314464623999999</c:v>
                </c:pt>
                <c:pt idx="15">
                  <c:v>11.473375643999999</c:v>
                </c:pt>
                <c:pt idx="16">
                  <c:v>11.691823320000001</c:v>
                </c:pt>
                <c:pt idx="17">
                  <c:v>11.910340439999999</c:v>
                </c:pt>
                <c:pt idx="18">
                  <c:v>11.989853819999999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8-4CE0-9E6E-ED7F86E9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46927"/>
        <c:axId val="11815583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'003'!$B$4:$B$22</c:f>
              <c:numCache>
                <c:formatCode>General</c:formatCode>
                <c:ptCount val="19"/>
                <c:pt idx="0">
                  <c:v>11.473800000000001</c:v>
                </c:pt>
                <c:pt idx="1">
                  <c:v>75.830200000000005</c:v>
                </c:pt>
                <c:pt idx="2">
                  <c:v>125.88500000000001</c:v>
                </c:pt>
                <c:pt idx="3">
                  <c:v>197.392</c:v>
                </c:pt>
                <c:pt idx="4">
                  <c:v>247.447</c:v>
                </c:pt>
                <c:pt idx="5">
                  <c:v>297.50200000000001</c:v>
                </c:pt>
                <c:pt idx="6">
                  <c:v>597.83199999999999</c:v>
                </c:pt>
                <c:pt idx="7">
                  <c:v>876.70999999999992</c:v>
                </c:pt>
                <c:pt idx="8">
                  <c:v>1227.1000000000001</c:v>
                </c:pt>
                <c:pt idx="9">
                  <c:v>1520.27</c:v>
                </c:pt>
                <c:pt idx="10">
                  <c:v>1827.76</c:v>
                </c:pt>
                <c:pt idx="11">
                  <c:v>2128.0899999999997</c:v>
                </c:pt>
                <c:pt idx="12">
                  <c:v>2457.02</c:v>
                </c:pt>
                <c:pt idx="13">
                  <c:v>2743.0499999999997</c:v>
                </c:pt>
                <c:pt idx="14">
                  <c:v>3036.23</c:v>
                </c:pt>
                <c:pt idx="15">
                  <c:v>3358.01</c:v>
                </c:pt>
                <c:pt idx="16">
                  <c:v>3965.82</c:v>
                </c:pt>
                <c:pt idx="17">
                  <c:v>4552.18</c:v>
                </c:pt>
                <c:pt idx="18">
                  <c:v>4852.51</c:v>
                </c:pt>
              </c:numCache>
            </c:numRef>
          </c:xVal>
          <c:yVal>
            <c:numRef>
              <c:f>'003'!$K$5:$K$23</c:f>
              <c:numCache>
                <c:formatCode>General</c:formatCode>
                <c:ptCount val="19"/>
                <c:pt idx="0">
                  <c:v>0.24827878775622028</c:v>
                </c:pt>
                <c:pt idx="1">
                  <c:v>1.5701254899586656</c:v>
                </c:pt>
                <c:pt idx="2">
                  <c:v>2.4938912237501176</c:v>
                </c:pt>
                <c:pt idx="3">
                  <c:v>3.6499837217229887</c:v>
                </c:pt>
                <c:pt idx="4">
                  <c:v>4.3530002470168707</c:v>
                </c:pt>
                <c:pt idx="5">
                  <c:v>4.9781218259890725</c:v>
                </c:pt>
                <c:pt idx="6">
                  <c:v>7.5422200784697875</c:v>
                </c:pt>
                <c:pt idx="7">
                  <c:v>8.8489449730764989</c:v>
                </c:pt>
                <c:pt idx="8">
                  <c:v>9.8091747048612685</c:v>
                </c:pt>
                <c:pt idx="9">
                  <c:v>10.311982622696</c:v>
                </c:pt>
                <c:pt idx="10">
                  <c:v>10.676737407708034</c:v>
                </c:pt>
                <c:pt idx="11">
                  <c:v>10.933759178240775</c:v>
                </c:pt>
                <c:pt idx="12">
                  <c:v>11.142865821695539</c:v>
                </c:pt>
                <c:pt idx="13">
                  <c:v>11.282869549807288</c:v>
                </c:pt>
                <c:pt idx="14">
                  <c:v>11.397800863732549</c:v>
                </c:pt>
                <c:pt idx="15">
                  <c:v>11.499522793605987</c:v>
                </c:pt>
                <c:pt idx="16">
                  <c:v>11.643589612029606</c:v>
                </c:pt>
                <c:pt idx="17">
                  <c:v>11.743217436146272</c:v>
                </c:pt>
                <c:pt idx="18">
                  <c:v>11.784032080067934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C8-4CE0-9E6E-ED7F86E9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46927"/>
        <c:axId val="11815583"/>
      </c:scatterChart>
      <c:valAx>
        <c:axId val="316346927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83"/>
        <c:crosses val="autoZero"/>
        <c:crossBetween val="midCat"/>
      </c:valAx>
      <c:valAx>
        <c:axId val="118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'006'!$B$4:$B$13</c:f>
              <c:numCache>
                <c:formatCode>General</c:formatCode>
                <c:ptCount val="10"/>
                <c:pt idx="0">
                  <c:v>64.239999999999995</c:v>
                </c:pt>
                <c:pt idx="1">
                  <c:v>189.15</c:v>
                </c:pt>
                <c:pt idx="2">
                  <c:v>391.86</c:v>
                </c:pt>
                <c:pt idx="3">
                  <c:v>675.23</c:v>
                </c:pt>
                <c:pt idx="4">
                  <c:v>1002.8600000000001</c:v>
                </c:pt>
                <c:pt idx="5">
                  <c:v>1334.05</c:v>
                </c:pt>
                <c:pt idx="6">
                  <c:v>1665.24</c:v>
                </c:pt>
                <c:pt idx="7">
                  <c:v>2005</c:v>
                </c:pt>
                <c:pt idx="8">
                  <c:v>2326.9100000000003</c:v>
                </c:pt>
                <c:pt idx="9">
                  <c:v>2567.4499999999998</c:v>
                </c:pt>
              </c:numCache>
            </c:numRef>
          </c:xVal>
          <c:yVal>
            <c:numRef>
              <c:f>'006'!$D$4:$D$13</c:f>
              <c:numCache>
                <c:formatCode>General</c:formatCode>
                <c:ptCount val="10"/>
                <c:pt idx="0">
                  <c:v>0.82016588357588349</c:v>
                </c:pt>
                <c:pt idx="1">
                  <c:v>2.6810292723492726</c:v>
                </c:pt>
                <c:pt idx="2">
                  <c:v>5.1942235135135135</c:v>
                </c:pt>
                <c:pt idx="3">
                  <c:v>7.0393260498960499</c:v>
                </c:pt>
                <c:pt idx="4">
                  <c:v>7.825082744282744</c:v>
                </c:pt>
                <c:pt idx="5">
                  <c:v>8.3404987110187108</c:v>
                </c:pt>
                <c:pt idx="6">
                  <c:v>8.5545334927234915</c:v>
                </c:pt>
                <c:pt idx="7">
                  <c:v>8.7996087318087319</c:v>
                </c:pt>
                <c:pt idx="8">
                  <c:v>9.1067648856548864</c:v>
                </c:pt>
                <c:pt idx="9">
                  <c:v>9.2898795218295209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2-41BE-8B9D-981B01BF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8015"/>
        <c:axId val="200440815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'006'!$B$4:$B$13</c:f>
              <c:numCache>
                <c:formatCode>General</c:formatCode>
                <c:ptCount val="10"/>
                <c:pt idx="0">
                  <c:v>64.239999999999995</c:v>
                </c:pt>
                <c:pt idx="1">
                  <c:v>189.15</c:v>
                </c:pt>
                <c:pt idx="2">
                  <c:v>391.86</c:v>
                </c:pt>
                <c:pt idx="3">
                  <c:v>675.23</c:v>
                </c:pt>
                <c:pt idx="4">
                  <c:v>1002.8600000000001</c:v>
                </c:pt>
                <c:pt idx="5">
                  <c:v>1334.05</c:v>
                </c:pt>
                <c:pt idx="6">
                  <c:v>1665.24</c:v>
                </c:pt>
                <c:pt idx="7">
                  <c:v>2005</c:v>
                </c:pt>
                <c:pt idx="8">
                  <c:v>2326.9100000000003</c:v>
                </c:pt>
                <c:pt idx="9">
                  <c:v>2567.4499999999998</c:v>
                </c:pt>
              </c:numCache>
            </c:numRef>
          </c:xVal>
          <c:yVal>
            <c:numRef>
              <c:f>'006'!$K$5:$K$14</c:f>
              <c:numCache>
                <c:formatCode>General</c:formatCode>
                <c:ptCount val="10"/>
                <c:pt idx="0">
                  <c:v>1.0056879608318832</c:v>
                </c:pt>
                <c:pt idx="1">
                  <c:v>2.8132496385025534</c:v>
                </c:pt>
                <c:pt idx="2">
                  <c:v>5.053965940655881</c:v>
                </c:pt>
                <c:pt idx="3">
                  <c:v>6.8773570428183648</c:v>
                </c:pt>
                <c:pt idx="4">
                  <c:v>7.9128222734545046</c:v>
                </c:pt>
                <c:pt idx="5">
                  <c:v>8.4383173095812278</c:v>
                </c:pt>
                <c:pt idx="6">
                  <c:v>8.7298513659173427</c:v>
                </c:pt>
                <c:pt idx="7">
                  <c:v>8.9098771065938234</c:v>
                </c:pt>
                <c:pt idx="8">
                  <c:v>9.0203921118088335</c:v>
                </c:pt>
                <c:pt idx="9">
                  <c:v>9.0798379753484451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2-41BE-8B9D-981B01BF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8015"/>
        <c:axId val="200440815"/>
      </c:scatterChart>
      <c:valAx>
        <c:axId val="19502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0815"/>
        <c:crosses val="autoZero"/>
        <c:crossBetween val="midCat"/>
      </c:valAx>
      <c:valAx>
        <c:axId val="2004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'007'!$B$4:$B$12</c:f>
              <c:numCache>
                <c:formatCode>General</c:formatCode>
                <c:ptCount val="9"/>
                <c:pt idx="0">
                  <c:v>93.258399999999995</c:v>
                </c:pt>
                <c:pt idx="1">
                  <c:v>133.30200000000002</c:v>
                </c:pt>
                <c:pt idx="2">
                  <c:v>190.50800000000001</c:v>
                </c:pt>
                <c:pt idx="3">
                  <c:v>293.47800000000001</c:v>
                </c:pt>
                <c:pt idx="4">
                  <c:v>502.27899999999994</c:v>
                </c:pt>
                <c:pt idx="5">
                  <c:v>791.16800000000001</c:v>
                </c:pt>
                <c:pt idx="6">
                  <c:v>994.24799999999993</c:v>
                </c:pt>
                <c:pt idx="7">
                  <c:v>1494.8</c:v>
                </c:pt>
                <c:pt idx="8">
                  <c:v>1986.77</c:v>
                </c:pt>
              </c:numCache>
            </c:numRef>
          </c:xVal>
          <c:yVal>
            <c:numRef>
              <c:f>'007'!$E$4:$E$12</c:f>
              <c:numCache>
                <c:formatCode>General</c:formatCode>
                <c:ptCount val="9"/>
                <c:pt idx="0">
                  <c:v>1.6180900248262162</c:v>
                </c:pt>
                <c:pt idx="1">
                  <c:v>2.2591425074478648</c:v>
                </c:pt>
                <c:pt idx="2">
                  <c:v>3.1221066137040712</c:v>
                </c:pt>
                <c:pt idx="3">
                  <c:v>4.8726884806355502</c:v>
                </c:pt>
                <c:pt idx="4">
                  <c:v>6.6725920233366427</c:v>
                </c:pt>
                <c:pt idx="5">
                  <c:v>8.0779939945382324</c:v>
                </c:pt>
                <c:pt idx="6">
                  <c:v>8.6204318594836149</c:v>
                </c:pt>
                <c:pt idx="7">
                  <c:v>9.5080496201588893</c:v>
                </c:pt>
                <c:pt idx="8">
                  <c:v>10.05048748510427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5-40B7-A96A-6B7F1B06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7215"/>
        <c:axId val="10126543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'007'!$B$4:$B$12</c:f>
              <c:numCache>
                <c:formatCode>General</c:formatCode>
                <c:ptCount val="9"/>
                <c:pt idx="0">
                  <c:v>93.258399999999995</c:v>
                </c:pt>
                <c:pt idx="1">
                  <c:v>133.30200000000002</c:v>
                </c:pt>
                <c:pt idx="2">
                  <c:v>190.50800000000001</c:v>
                </c:pt>
                <c:pt idx="3">
                  <c:v>293.47800000000001</c:v>
                </c:pt>
                <c:pt idx="4">
                  <c:v>502.27899999999994</c:v>
                </c:pt>
                <c:pt idx="5">
                  <c:v>791.16800000000001</c:v>
                </c:pt>
                <c:pt idx="6">
                  <c:v>994.24799999999993</c:v>
                </c:pt>
                <c:pt idx="7">
                  <c:v>1494.8</c:v>
                </c:pt>
                <c:pt idx="8">
                  <c:v>1986.77</c:v>
                </c:pt>
              </c:numCache>
            </c:numRef>
          </c:xVal>
          <c:yVal>
            <c:numRef>
              <c:f>'007'!$K$5:$K$13</c:f>
              <c:numCache>
                <c:formatCode>General</c:formatCode>
                <c:ptCount val="9"/>
                <c:pt idx="0">
                  <c:v>1.6457045995350215</c:v>
                </c:pt>
                <c:pt idx="1">
                  <c:v>2.3149095572757665</c:v>
                </c:pt>
                <c:pt idx="2">
                  <c:v>3.2107859438371151</c:v>
                </c:pt>
                <c:pt idx="3">
                  <c:v>4.6139464872290796</c:v>
                </c:pt>
                <c:pt idx="4">
                  <c:v>6.6454400854598834</c:v>
                </c:pt>
                <c:pt idx="5">
                  <c:v>8.1904687820885904</c:v>
                </c:pt>
                <c:pt idx="6">
                  <c:v>8.7927857332703514</c:v>
                </c:pt>
                <c:pt idx="7">
                  <c:v>9.5437020059827233</c:v>
                </c:pt>
                <c:pt idx="8">
                  <c:v>9.8635273638604239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5-40B7-A96A-6B7F1B06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7215"/>
        <c:axId val="10126543"/>
      </c:scatterChart>
      <c:valAx>
        <c:axId val="1950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543"/>
        <c:crosses val="autoZero"/>
        <c:crossBetween val="midCat"/>
      </c:valAx>
      <c:valAx>
        <c:axId val="101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'012'!$B$4:$B$15</c:f>
              <c:numCache>
                <c:formatCode>General</c:formatCode>
                <c:ptCount val="12"/>
                <c:pt idx="0">
                  <c:v>10.58</c:v>
                </c:pt>
                <c:pt idx="1">
                  <c:v>21.84</c:v>
                </c:pt>
                <c:pt idx="2">
                  <c:v>67</c:v>
                </c:pt>
                <c:pt idx="3">
                  <c:v>187.82000000000002</c:v>
                </c:pt>
                <c:pt idx="4">
                  <c:v>385.13</c:v>
                </c:pt>
                <c:pt idx="5">
                  <c:v>667.84</c:v>
                </c:pt>
                <c:pt idx="6">
                  <c:v>994.81999999999994</c:v>
                </c:pt>
                <c:pt idx="7">
                  <c:v>1325.0400000000002</c:v>
                </c:pt>
                <c:pt idx="8">
                  <c:v>1654.1499999999999</c:v>
                </c:pt>
                <c:pt idx="9">
                  <c:v>1993.29</c:v>
                </c:pt>
                <c:pt idx="10">
                  <c:v>2315.19</c:v>
                </c:pt>
                <c:pt idx="11">
                  <c:v>2567</c:v>
                </c:pt>
              </c:numCache>
            </c:numRef>
          </c:xVal>
          <c:yVal>
            <c:numRef>
              <c:f>'012'!$D$4:$D$15</c:f>
              <c:numCache>
                <c:formatCode>General</c:formatCode>
                <c:ptCount val="12"/>
                <c:pt idx="0">
                  <c:v>0.14611831353919241</c:v>
                </c:pt>
                <c:pt idx="1">
                  <c:v>0.32770090261282658</c:v>
                </c:pt>
                <c:pt idx="2">
                  <c:v>0.92770695961995253</c:v>
                </c:pt>
                <c:pt idx="3">
                  <c:v>3.0518521140142525</c:v>
                </c:pt>
                <c:pt idx="4">
                  <c:v>5.941778194774348</c:v>
                </c:pt>
                <c:pt idx="5">
                  <c:v>8.026060403800475</c:v>
                </c:pt>
                <c:pt idx="6">
                  <c:v>8.9336984323040376</c:v>
                </c:pt>
                <c:pt idx="7">
                  <c:v>9.5016766745843242</c:v>
                </c:pt>
                <c:pt idx="8">
                  <c:v>9.7775557482185285</c:v>
                </c:pt>
                <c:pt idx="9">
                  <c:v>10.053434821852731</c:v>
                </c:pt>
                <c:pt idx="10">
                  <c:v>10.376599596199524</c:v>
                </c:pt>
                <c:pt idx="11">
                  <c:v>10.613165558194774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47A3-BED0-16BBFC55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83359"/>
        <c:axId val="1765134303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'012'!$B$4:$B$15</c:f>
              <c:numCache>
                <c:formatCode>General</c:formatCode>
                <c:ptCount val="12"/>
                <c:pt idx="0">
                  <c:v>10.58</c:v>
                </c:pt>
                <c:pt idx="1">
                  <c:v>21.84</c:v>
                </c:pt>
                <c:pt idx="2">
                  <c:v>67</c:v>
                </c:pt>
                <c:pt idx="3">
                  <c:v>187.82000000000002</c:v>
                </c:pt>
                <c:pt idx="4">
                  <c:v>385.13</c:v>
                </c:pt>
                <c:pt idx="5">
                  <c:v>667.84</c:v>
                </c:pt>
                <c:pt idx="6">
                  <c:v>994.81999999999994</c:v>
                </c:pt>
                <c:pt idx="7">
                  <c:v>1325.0400000000002</c:v>
                </c:pt>
                <c:pt idx="8">
                  <c:v>1654.1499999999999</c:v>
                </c:pt>
                <c:pt idx="9">
                  <c:v>1993.29</c:v>
                </c:pt>
                <c:pt idx="10">
                  <c:v>2315.19</c:v>
                </c:pt>
                <c:pt idx="11">
                  <c:v>2567</c:v>
                </c:pt>
              </c:numCache>
            </c:numRef>
          </c:xVal>
          <c:yVal>
            <c:numRef>
              <c:f>'012'!$K$5:$K$16</c:f>
              <c:numCache>
                <c:formatCode>General</c:formatCode>
                <c:ptCount val="12"/>
                <c:pt idx="0">
                  <c:v>0.19266918554749346</c:v>
                </c:pt>
                <c:pt idx="1">
                  <c:v>0.39741351058843477</c:v>
                </c:pt>
                <c:pt idx="2">
                  <c:v>1.2099180113709216</c:v>
                </c:pt>
                <c:pt idx="3">
                  <c:v>3.2269573886905181</c:v>
                </c:pt>
                <c:pt idx="4">
                  <c:v>5.749307539879501</c:v>
                </c:pt>
                <c:pt idx="5">
                  <c:v>7.8339330192504244</c:v>
                </c:pt>
                <c:pt idx="6">
                  <c:v>8.9903868588997309</c:v>
                </c:pt>
                <c:pt idx="7">
                  <c:v>9.5642625405327593</c:v>
                </c:pt>
                <c:pt idx="8">
                  <c:v>9.8768766010911424</c:v>
                </c:pt>
                <c:pt idx="9">
                  <c:v>10.068592804632056</c:v>
                </c:pt>
                <c:pt idx="10">
                  <c:v>10.185304622831367</c:v>
                </c:pt>
                <c:pt idx="11">
                  <c:v>10.250154784327734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3-47A3-BED0-16BBFC55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83359"/>
        <c:axId val="1765134303"/>
      </c:scatterChart>
      <c:valAx>
        <c:axId val="17843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34303"/>
        <c:crosses val="autoZero"/>
        <c:crossBetween val="midCat"/>
      </c:valAx>
      <c:valAx>
        <c:axId val="17651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8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_006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'006'!$H$4:$H$14</c:f>
              <c:numCache>
                <c:formatCode>General</c:formatCode>
                <c:ptCount val="11"/>
                <c:pt idx="0">
                  <c:v>0</c:v>
                </c:pt>
                <c:pt idx="1">
                  <c:v>64.239999999999995</c:v>
                </c:pt>
                <c:pt idx="2">
                  <c:v>189.15</c:v>
                </c:pt>
                <c:pt idx="3">
                  <c:v>391.86</c:v>
                </c:pt>
                <c:pt idx="4">
                  <c:v>675.23</c:v>
                </c:pt>
                <c:pt idx="5">
                  <c:v>1002.8600000000001</c:v>
                </c:pt>
                <c:pt idx="6">
                  <c:v>1334.05</c:v>
                </c:pt>
                <c:pt idx="7">
                  <c:v>1665.24</c:v>
                </c:pt>
                <c:pt idx="8">
                  <c:v>2005</c:v>
                </c:pt>
                <c:pt idx="9">
                  <c:v>2326.9100000000003</c:v>
                </c:pt>
                <c:pt idx="10">
                  <c:v>2567.4499999999998</c:v>
                </c:pt>
              </c:numCache>
            </c:numRef>
          </c:xVal>
          <c:yVal>
            <c:numRef>
              <c:f>'006'!$I$4:$I$14</c:f>
              <c:numCache>
                <c:formatCode>General</c:formatCode>
                <c:ptCount val="11"/>
                <c:pt idx="0">
                  <c:v>0</c:v>
                </c:pt>
                <c:pt idx="1">
                  <c:v>0.68169999999999997</c:v>
                </c:pt>
                <c:pt idx="2">
                  <c:v>2.2284000000000002</c:v>
                </c:pt>
                <c:pt idx="3">
                  <c:v>4.3173000000000004</c:v>
                </c:pt>
                <c:pt idx="4">
                  <c:v>5.8509000000000002</c:v>
                </c:pt>
                <c:pt idx="5">
                  <c:v>6.5039999999999996</c:v>
                </c:pt>
                <c:pt idx="6">
                  <c:v>6.9324000000000003</c:v>
                </c:pt>
                <c:pt idx="7">
                  <c:v>7.1102999999999996</c:v>
                </c:pt>
                <c:pt idx="8">
                  <c:v>7.3140000000000001</c:v>
                </c:pt>
                <c:pt idx="9">
                  <c:v>7.5693000000000001</c:v>
                </c:pt>
                <c:pt idx="10">
                  <c:v>7.7214999999999998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83A-8534-4EDB890EA568}"/>
            </c:ext>
          </c:extLst>
        </c:ser>
        <c:ser>
          <c:idx val="1"/>
          <c:order val="1"/>
          <c:tx>
            <c:v>_012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'012'!$H$4:$H$16</c:f>
              <c:numCache>
                <c:formatCode>General</c:formatCode>
                <c:ptCount val="13"/>
                <c:pt idx="0">
                  <c:v>0</c:v>
                </c:pt>
                <c:pt idx="1">
                  <c:v>10.58</c:v>
                </c:pt>
                <c:pt idx="2">
                  <c:v>21.84</c:v>
                </c:pt>
                <c:pt idx="3">
                  <c:v>67</c:v>
                </c:pt>
                <c:pt idx="4">
                  <c:v>187.82000000000002</c:v>
                </c:pt>
                <c:pt idx="5">
                  <c:v>385.13</c:v>
                </c:pt>
                <c:pt idx="6">
                  <c:v>667.84</c:v>
                </c:pt>
                <c:pt idx="7">
                  <c:v>994.81999999999994</c:v>
                </c:pt>
                <c:pt idx="8">
                  <c:v>1325.0400000000002</c:v>
                </c:pt>
                <c:pt idx="9">
                  <c:v>1654.1499999999999</c:v>
                </c:pt>
                <c:pt idx="10">
                  <c:v>1993.29</c:v>
                </c:pt>
                <c:pt idx="11">
                  <c:v>2315.19</c:v>
                </c:pt>
                <c:pt idx="12">
                  <c:v>2567</c:v>
                </c:pt>
              </c:numCache>
            </c:numRef>
          </c:xVal>
          <c:yVal>
            <c:numRef>
              <c:f>'012'!$I$4:$I$16</c:f>
              <c:numCache>
                <c:formatCode>General</c:formatCode>
                <c:ptCount val="13"/>
                <c:pt idx="0">
                  <c:v>0</c:v>
                </c:pt>
                <c:pt idx="1">
                  <c:v>0.10630000000000001</c:v>
                </c:pt>
                <c:pt idx="2">
                  <c:v>0.2384</c:v>
                </c:pt>
                <c:pt idx="3">
                  <c:v>0.67490000000000006</c:v>
                </c:pt>
                <c:pt idx="4">
                  <c:v>2.2202000000000002</c:v>
                </c:pt>
                <c:pt idx="5">
                  <c:v>4.3226000000000004</c:v>
                </c:pt>
                <c:pt idx="6">
                  <c:v>5.8388999999999998</c:v>
                </c:pt>
                <c:pt idx="7">
                  <c:v>6.4992000000000001</c:v>
                </c:pt>
                <c:pt idx="8">
                  <c:v>6.9123999999999999</c:v>
                </c:pt>
                <c:pt idx="9">
                  <c:v>7.1131000000000002</c:v>
                </c:pt>
                <c:pt idx="10">
                  <c:v>7.3137999999999996</c:v>
                </c:pt>
                <c:pt idx="11">
                  <c:v>7.5488999999999997</c:v>
                </c:pt>
                <c:pt idx="12">
                  <c:v>7.7210000000000001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83A-8534-4EDB890E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31167"/>
        <c:axId val="684230207"/>
      </c:scatterChart>
      <c:valAx>
        <c:axId val="6788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0207"/>
        <c:crosses val="autoZero"/>
        <c:crossBetween val="midCat"/>
      </c:valAx>
      <c:valAx>
        <c:axId val="6842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3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Scaled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'013'!$B$4:$B$17</c:f>
              <c:numCache>
                <c:formatCode>General</c:formatCode>
                <c:ptCount val="14"/>
                <c:pt idx="0">
                  <c:v>36.199999999999996</c:v>
                </c:pt>
                <c:pt idx="1">
                  <c:v>64.900000000000006</c:v>
                </c:pt>
                <c:pt idx="2">
                  <c:v>107.3</c:v>
                </c:pt>
                <c:pt idx="3">
                  <c:v>157.4</c:v>
                </c:pt>
                <c:pt idx="4">
                  <c:v>200.3</c:v>
                </c:pt>
                <c:pt idx="5">
                  <c:v>299.60000000000002</c:v>
                </c:pt>
                <c:pt idx="6">
                  <c:v>443.79999999999995</c:v>
                </c:pt>
                <c:pt idx="7">
                  <c:v>599</c:v>
                </c:pt>
                <c:pt idx="8">
                  <c:v>791.5</c:v>
                </c:pt>
                <c:pt idx="9">
                  <c:v>994.40000000000009</c:v>
                </c:pt>
                <c:pt idx="10">
                  <c:v>1286.5</c:v>
                </c:pt>
                <c:pt idx="11">
                  <c:v>1683.2</c:v>
                </c:pt>
                <c:pt idx="12">
                  <c:v>2177</c:v>
                </c:pt>
                <c:pt idx="13">
                  <c:v>2234.1</c:v>
                </c:pt>
              </c:numCache>
            </c:numRef>
          </c:xVal>
          <c:yVal>
            <c:numRef>
              <c:f>'013'!$D$4:$D$17</c:f>
              <c:numCache>
                <c:formatCode>General</c:formatCode>
                <c:ptCount val="14"/>
                <c:pt idx="0">
                  <c:v>0.6253796685082873</c:v>
                </c:pt>
                <c:pt idx="1">
                  <c:v>1.2328548066298342</c:v>
                </c:pt>
                <c:pt idx="2">
                  <c:v>2.5382869060773485</c:v>
                </c:pt>
                <c:pt idx="3">
                  <c:v>3.6987242817679555</c:v>
                </c:pt>
                <c:pt idx="4">
                  <c:v>4.7413434530386747</c:v>
                </c:pt>
                <c:pt idx="5">
                  <c:v>6.2277391988950273</c:v>
                </c:pt>
                <c:pt idx="6">
                  <c:v>7.5688204972375699</c:v>
                </c:pt>
                <c:pt idx="7">
                  <c:v>8.3385554419889498</c:v>
                </c:pt>
                <c:pt idx="8">
                  <c:v>9.0807941436464077</c:v>
                </c:pt>
                <c:pt idx="9">
                  <c:v>9.5961888397790052</c:v>
                </c:pt>
                <c:pt idx="10">
                  <c:v>10.228762292817681</c:v>
                </c:pt>
                <c:pt idx="11">
                  <c:v>10.751830359116022</c:v>
                </c:pt>
                <c:pt idx="12">
                  <c:v>11.147328646408839</c:v>
                </c:pt>
                <c:pt idx="13">
                  <c:v>11.192249834254143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D-41A0-AAC0-6435CE2C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67359"/>
        <c:axId val="1776433215"/>
      </c:scatterChart>
      <c:scatterChart>
        <c:scatterStyle val="smoothMarker"/>
        <c:varyColors val="0"/>
        <c:ser>
          <c:idx val="1"/>
          <c:order val="1"/>
          <c:tx>
            <c:v>Toth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'013'!$B$4:$B$17</c:f>
              <c:numCache>
                <c:formatCode>General</c:formatCode>
                <c:ptCount val="14"/>
                <c:pt idx="0">
                  <c:v>36.199999999999996</c:v>
                </c:pt>
                <c:pt idx="1">
                  <c:v>64.900000000000006</c:v>
                </c:pt>
                <c:pt idx="2">
                  <c:v>107.3</c:v>
                </c:pt>
                <c:pt idx="3">
                  <c:v>157.4</c:v>
                </c:pt>
                <c:pt idx="4">
                  <c:v>200.3</c:v>
                </c:pt>
                <c:pt idx="5">
                  <c:v>299.60000000000002</c:v>
                </c:pt>
                <c:pt idx="6">
                  <c:v>443.79999999999995</c:v>
                </c:pt>
                <c:pt idx="7">
                  <c:v>599</c:v>
                </c:pt>
                <c:pt idx="8">
                  <c:v>791.5</c:v>
                </c:pt>
                <c:pt idx="9">
                  <c:v>994.40000000000009</c:v>
                </c:pt>
                <c:pt idx="10">
                  <c:v>1286.5</c:v>
                </c:pt>
                <c:pt idx="11">
                  <c:v>1683.2</c:v>
                </c:pt>
                <c:pt idx="12">
                  <c:v>2177</c:v>
                </c:pt>
                <c:pt idx="13">
                  <c:v>2234.1</c:v>
                </c:pt>
              </c:numCache>
            </c:numRef>
          </c:xVal>
          <c:yVal>
            <c:numRef>
              <c:f>'013'!$K$5:$K$18</c:f>
              <c:numCache>
                <c:formatCode>General</c:formatCode>
                <c:ptCount val="14"/>
                <c:pt idx="0">
                  <c:v>0.79016159067201053</c:v>
                </c:pt>
                <c:pt idx="1">
                  <c:v>1.408941220082246</c:v>
                </c:pt>
                <c:pt idx="2">
                  <c:v>2.2983074032809254</c:v>
                </c:pt>
                <c:pt idx="3">
                  <c:v>3.2928535847890692</c:v>
                </c:pt>
                <c:pt idx="4">
                  <c:v>4.0827934148103058</c:v>
                </c:pt>
                <c:pt idx="5">
                  <c:v>5.6600042518103209</c:v>
                </c:pt>
                <c:pt idx="6">
                  <c:v>7.3396253788133139</c:v>
                </c:pt>
                <c:pt idx="7">
                  <c:v>8.5162840139665352</c:v>
                </c:pt>
                <c:pt idx="8">
                  <c:v>9.4043269509385841</c:v>
                </c:pt>
                <c:pt idx="9">
                  <c:v>9.955666518146872</c:v>
                </c:pt>
                <c:pt idx="10">
                  <c:v>10.401671425289203</c:v>
                </c:pt>
                <c:pt idx="11">
                  <c:v>10.708431905762589</c:v>
                </c:pt>
                <c:pt idx="12">
                  <c:v>10.894017404841026</c:v>
                </c:pt>
                <c:pt idx="13">
                  <c:v>10.908319450553163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CD-41A0-AAC0-6435CE2C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67359"/>
        <c:axId val="1776433215"/>
      </c:scatterChart>
      <c:valAx>
        <c:axId val="19798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33215"/>
        <c:crosses val="autoZero"/>
        <c:crossBetween val="midCat"/>
      </c:valAx>
      <c:valAx>
        <c:axId val="17764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17</xdr:row>
      <xdr:rowOff>71437</xdr:rowOff>
    </xdr:from>
    <xdr:to>
      <xdr:col>7</xdr:col>
      <xdr:colOff>190500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84687-576E-4D79-85B9-562810FDA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23</xdr:row>
      <xdr:rowOff>71437</xdr:rowOff>
    </xdr:from>
    <xdr:to>
      <xdr:col>8</xdr:col>
      <xdr:colOff>419100</xdr:colOff>
      <xdr:row>37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EB8C-AA71-4018-9B03-38CC8320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16</xdr:row>
      <xdr:rowOff>52387</xdr:rowOff>
    </xdr:from>
    <xdr:to>
      <xdr:col>8</xdr:col>
      <xdr:colOff>76200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83228-EE13-4605-9644-B38FE507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14</xdr:row>
      <xdr:rowOff>109537</xdr:rowOff>
    </xdr:from>
    <xdr:to>
      <xdr:col>6</xdr:col>
      <xdr:colOff>66675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1A464-C402-48FF-BB61-DEE2E5A3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16</xdr:row>
      <xdr:rowOff>71437</xdr:rowOff>
    </xdr:from>
    <xdr:to>
      <xdr:col>7</xdr:col>
      <xdr:colOff>514350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C7BDD-4D17-48C3-8799-1562A10A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17</xdr:row>
      <xdr:rowOff>61912</xdr:rowOff>
    </xdr:from>
    <xdr:to>
      <xdr:col>18</xdr:col>
      <xdr:colOff>276225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0E4F8-902F-4B42-8100-7A9B535D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18</xdr:row>
      <xdr:rowOff>100012</xdr:rowOff>
    </xdr:from>
    <xdr:to>
      <xdr:col>9</xdr:col>
      <xdr:colOff>66674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46938-1B52-44CC-B5E2-88ED0D30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110071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dsorption.nist.gov/isodb/index.php?DOI=10.1021/Jp308525k" TargetMode="External"/><Relationship Id="rId7" Type="http://schemas.openxmlformats.org/officeDocument/2006/relationships/hyperlink" Target="https://adsorption.nist.gov/isodb/index.php?DOI=10.1002/cssc.201100716" TargetMode="External"/><Relationship Id="rId12" Type="http://schemas.openxmlformats.org/officeDocument/2006/relationships/hyperlink" Target="https://doi.org/10.1016/j.micromeso.2013.07.030" TargetMode="External"/><Relationship Id="rId2" Type="http://schemas.openxmlformats.org/officeDocument/2006/relationships/hyperlink" Target="https://doi.org/10.1002/Aic.14467" TargetMode="External"/><Relationship Id="rId1" Type="http://schemas.openxmlformats.org/officeDocument/2006/relationships/hyperlink" Target="https://adsorption.nist.gov/isodb/index.php?DOI=10.1002/Aic.14467" TargetMode="External"/><Relationship Id="rId6" Type="http://schemas.openxmlformats.org/officeDocument/2006/relationships/hyperlink" Target="https://doi.org/10.1039/C2cp42137b" TargetMode="External"/><Relationship Id="rId11" Type="http://schemas.openxmlformats.org/officeDocument/2006/relationships/hyperlink" Target="https://doi.org/10.1021/jp406835n" TargetMode="External"/><Relationship Id="rId5" Type="http://schemas.openxmlformats.org/officeDocument/2006/relationships/hyperlink" Target="https://adsorption.nist.gov/isodb/index.php?DOI=10.1039/C2cp42137b" TargetMode="External"/><Relationship Id="rId10" Type="http://schemas.openxmlformats.org/officeDocument/2006/relationships/hyperlink" Target="https://doi.org/10.1021/Jp910522h" TargetMode="External"/><Relationship Id="rId4" Type="http://schemas.openxmlformats.org/officeDocument/2006/relationships/hyperlink" Target="https://doi.org/10.1021/Jp308525k" TargetMode="External"/><Relationship Id="rId9" Type="http://schemas.openxmlformats.org/officeDocument/2006/relationships/hyperlink" Target="https://adsorption.nist.gov/isodb/index.php?DOI=10.1021/Jp910522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7C03-3565-4A17-9465-47F7CC3D7C4D}">
  <dimension ref="A1:I18"/>
  <sheetViews>
    <sheetView tabSelected="1" workbookViewId="0">
      <selection activeCell="E26" sqref="E26"/>
    </sheetView>
  </sheetViews>
  <sheetFormatPr defaultRowHeight="15" x14ac:dyDescent="0.25"/>
  <cols>
    <col min="1" max="1" width="25.7109375" customWidth="1"/>
    <col min="2" max="2" width="18.28515625" customWidth="1"/>
    <col min="3" max="3" width="14.140625" customWidth="1"/>
    <col min="4" max="4" width="19.140625" customWidth="1"/>
    <col min="5" max="5" width="27.140625" customWidth="1"/>
    <col min="6" max="6" width="18.28515625" customWidth="1"/>
    <col min="7" max="7" width="22.85546875" customWidth="1"/>
    <col min="8" max="8" width="24" customWidth="1"/>
    <col min="9" max="9" width="39" customWidth="1"/>
  </cols>
  <sheetData>
    <row r="1" spans="1:9" x14ac:dyDescent="0.25">
      <c r="A1" s="1" t="s">
        <v>0</v>
      </c>
      <c r="E1" s="1" t="s">
        <v>1</v>
      </c>
    </row>
    <row r="2" spans="1:9" x14ac:dyDescent="0.25">
      <c r="E2" t="s">
        <v>2</v>
      </c>
      <c r="F2" t="s">
        <v>3</v>
      </c>
      <c r="G2">
        <v>0.3</v>
      </c>
      <c r="H2" t="s">
        <v>4</v>
      </c>
      <c r="I2">
        <f>G2*1000</f>
        <v>300</v>
      </c>
    </row>
    <row r="3" spans="1:9" x14ac:dyDescent="0.25">
      <c r="A3" t="s">
        <v>5</v>
      </c>
      <c r="B3" t="s">
        <v>6</v>
      </c>
      <c r="C3">
        <v>44.009</v>
      </c>
      <c r="D3">
        <f>C3/1000</f>
        <v>4.4009E-2</v>
      </c>
      <c r="E3" t="s">
        <v>5</v>
      </c>
      <c r="F3" t="s">
        <v>7</v>
      </c>
      <c r="G3" s="2"/>
      <c r="H3" s="40"/>
      <c r="I3" s="40"/>
    </row>
    <row r="4" spans="1:9" x14ac:dyDescent="0.25">
      <c r="A4" t="s">
        <v>8</v>
      </c>
      <c r="B4" t="s">
        <v>9</v>
      </c>
      <c r="C4" s="3">
        <v>22.413975747599999</v>
      </c>
      <c r="E4" s="4" t="s">
        <v>10</v>
      </c>
      <c r="F4" t="s">
        <v>11</v>
      </c>
      <c r="G4" s="9">
        <v>0.57869999999999999</v>
      </c>
    </row>
    <row r="6" spans="1:9" x14ac:dyDescent="0.25">
      <c r="A6" t="s">
        <v>12</v>
      </c>
      <c r="B6">
        <f>SUM(B7:B9)</f>
        <v>7</v>
      </c>
      <c r="C6" t="s">
        <v>13</v>
      </c>
      <c r="D6">
        <f>SUM(B7:B8)</f>
        <v>6</v>
      </c>
      <c r="E6" t="s">
        <v>75</v>
      </c>
    </row>
    <row r="7" spans="1:9" x14ac:dyDescent="0.25">
      <c r="A7" s="5" t="s">
        <v>14</v>
      </c>
      <c r="B7">
        <v>3</v>
      </c>
    </row>
    <row r="8" spans="1:9" x14ac:dyDescent="0.25">
      <c r="A8" s="6" t="s">
        <v>15</v>
      </c>
      <c r="B8">
        <v>3</v>
      </c>
    </row>
    <row r="9" spans="1:9" x14ac:dyDescent="0.25">
      <c r="A9" s="7" t="s">
        <v>16</v>
      </c>
      <c r="B9">
        <v>1</v>
      </c>
    </row>
    <row r="11" spans="1:9" x14ac:dyDescent="0.25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H11" s="8" t="s">
        <v>24</v>
      </c>
      <c r="I11" s="8" t="s">
        <v>25</v>
      </c>
    </row>
    <row r="12" spans="1:9" x14ac:dyDescent="0.25">
      <c r="A12" s="38" t="s">
        <v>26</v>
      </c>
      <c r="B12" t="s">
        <v>31</v>
      </c>
      <c r="C12" s="10" t="s">
        <v>27</v>
      </c>
      <c r="D12" s="11" t="s">
        <v>28</v>
      </c>
      <c r="E12" s="12" t="s">
        <v>66</v>
      </c>
      <c r="F12" s="10" t="s">
        <v>29</v>
      </c>
      <c r="G12">
        <v>0.60399999999999998</v>
      </c>
      <c r="H12" t="s">
        <v>70</v>
      </c>
      <c r="I12" t="s">
        <v>30</v>
      </c>
    </row>
    <row r="13" spans="1:9" x14ac:dyDescent="0.25">
      <c r="A13" s="6" t="s">
        <v>45</v>
      </c>
      <c r="B13" t="s">
        <v>46</v>
      </c>
      <c r="C13" s="10" t="s">
        <v>47</v>
      </c>
      <c r="D13" t="s">
        <v>51</v>
      </c>
      <c r="E13" t="s">
        <v>48</v>
      </c>
      <c r="F13" s="10" t="s">
        <v>49</v>
      </c>
      <c r="G13">
        <v>0.5</v>
      </c>
      <c r="H13" t="s">
        <v>70</v>
      </c>
      <c r="I13" t="s">
        <v>50</v>
      </c>
    </row>
    <row r="14" spans="1:9" x14ac:dyDescent="0.25">
      <c r="A14" s="5" t="s">
        <v>53</v>
      </c>
      <c r="B14" t="s">
        <v>54</v>
      </c>
      <c r="C14" s="10" t="s">
        <v>55</v>
      </c>
      <c r="D14" s="11" t="s">
        <v>28</v>
      </c>
      <c r="E14" t="s">
        <v>56</v>
      </c>
      <c r="F14" s="37" t="s">
        <v>57</v>
      </c>
      <c r="G14">
        <v>0.4</v>
      </c>
      <c r="H14">
        <v>0.48099999999999998</v>
      </c>
      <c r="I14" t="s">
        <v>52</v>
      </c>
    </row>
    <row r="15" spans="1:9" x14ac:dyDescent="0.25">
      <c r="A15" s="6" t="s">
        <v>72</v>
      </c>
      <c r="B15" t="s">
        <v>58</v>
      </c>
      <c r="C15" s="10" t="s">
        <v>59</v>
      </c>
      <c r="D15" s="11" t="s">
        <v>61</v>
      </c>
      <c r="E15" t="s">
        <v>65</v>
      </c>
      <c r="F15" s="10" t="s">
        <v>60</v>
      </c>
      <c r="G15">
        <v>0.38</v>
      </c>
      <c r="H15" t="s">
        <v>70</v>
      </c>
    </row>
    <row r="16" spans="1:9" x14ac:dyDescent="0.25">
      <c r="A16" s="38" t="s">
        <v>73</v>
      </c>
      <c r="B16" t="s">
        <v>67</v>
      </c>
      <c r="C16" s="10" t="s">
        <v>68</v>
      </c>
      <c r="D16" s="11" t="s">
        <v>28</v>
      </c>
      <c r="E16" t="s">
        <v>77</v>
      </c>
      <c r="F16" s="10" t="s">
        <v>69</v>
      </c>
      <c r="G16" t="s">
        <v>70</v>
      </c>
      <c r="H16" t="s">
        <v>70</v>
      </c>
      <c r="I16" t="s">
        <v>71</v>
      </c>
    </row>
    <row r="17" spans="1:9" x14ac:dyDescent="0.25">
      <c r="A17" s="5" t="s">
        <v>74</v>
      </c>
      <c r="B17" t="s">
        <v>54</v>
      </c>
      <c r="C17" t="s">
        <v>70</v>
      </c>
      <c r="D17" s="11" t="s">
        <v>70</v>
      </c>
      <c r="E17" t="s">
        <v>76</v>
      </c>
      <c r="F17" s="37" t="s">
        <v>78</v>
      </c>
      <c r="G17">
        <v>0.38</v>
      </c>
      <c r="H17">
        <v>0.42099999999999999</v>
      </c>
    </row>
    <row r="18" spans="1:9" x14ac:dyDescent="0.25">
      <c r="A18" s="38" t="s">
        <v>79</v>
      </c>
      <c r="B18" t="s">
        <v>54</v>
      </c>
      <c r="C18" t="s">
        <v>70</v>
      </c>
      <c r="D18" s="11" t="s">
        <v>70</v>
      </c>
      <c r="E18" t="s">
        <v>76</v>
      </c>
      <c r="F18" s="16" t="s">
        <v>80</v>
      </c>
      <c r="G18">
        <v>0.36</v>
      </c>
      <c r="H18">
        <v>0.36199999999999999</v>
      </c>
      <c r="I18" t="s">
        <v>81</v>
      </c>
    </row>
  </sheetData>
  <mergeCells count="1">
    <mergeCell ref="H3:I3"/>
  </mergeCells>
  <hyperlinks>
    <hyperlink ref="C12" r:id="rId1" location="biblio" xr:uid="{0119616D-E749-4A9E-AA7B-C2704E466817}"/>
    <hyperlink ref="F12" r:id="rId2" xr:uid="{3AE94983-0C0A-4D37-B96C-C53B1CBCA0BB}"/>
    <hyperlink ref="C13" r:id="rId3" location="biblio" xr:uid="{56B6D7D8-9891-4436-A11C-7AF826AADB6A}"/>
    <hyperlink ref="F13" r:id="rId4" tooltip="https://doi.org/10.1021/Jp308525k" xr:uid="{45A73F5C-2CE3-44EE-B6A7-85A3B9E7D598}"/>
    <hyperlink ref="C14" r:id="rId5" location="biblio" xr:uid="{50CFE5DF-96DF-4622-9586-719BA40DE965}"/>
    <hyperlink ref="F14" r:id="rId6" xr:uid="{2287ADE4-EE99-4B63-B027-0D2EC9E71A9F}"/>
    <hyperlink ref="C15" r:id="rId7" location="biblio" xr:uid="{B63C7922-F02F-41A9-AB65-986C988750A9}"/>
    <hyperlink ref="F15" r:id="rId8" tooltip="https://doi.org/10.1002/cssc.201100716" xr:uid="{156E5DC9-6016-4FF3-9C23-7DBD2981A4DF}"/>
    <hyperlink ref="C16" r:id="rId9" location="biblio" xr:uid="{687FD4C4-6D4C-4529-BAFE-3EF43E4A4B40}"/>
    <hyperlink ref="F16" r:id="rId10" tooltip="https://doi.org/10.1021/Jp910522h" xr:uid="{CF85E2D8-2758-49B6-8CBB-B7FED0E2A647}"/>
    <hyperlink ref="F17" r:id="rId11" xr:uid="{1C6F20E9-3BAA-41FA-B7F0-D189DDEBE11F}"/>
    <hyperlink ref="F18" r:id="rId12" tooltip="Persistent link using digital object identifier" xr:uid="{6CEBB074-C9BA-4CC1-8A76-C4D419763D17}"/>
  </hyperlinks>
  <pageMargins left="0.7" right="0.7" top="0.75" bottom="0.75" header="0.3" footer="0.3"/>
  <pageSetup paperSize="9"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B412-E83F-434C-BDEE-261121F3B9C6}">
  <dimension ref="A3:N82"/>
  <sheetViews>
    <sheetView zoomScale="80" zoomScaleNormal="80" workbookViewId="0">
      <selection activeCell="D23" sqref="D23"/>
    </sheetView>
  </sheetViews>
  <sheetFormatPr defaultRowHeight="15" x14ac:dyDescent="0.25"/>
  <cols>
    <col min="6" max="6" width="9.28515625" customWidth="1"/>
    <col min="7" max="7" width="17.5703125" customWidth="1"/>
    <col min="8" max="8" width="17.85546875" customWidth="1"/>
    <col min="9" max="9" width="19.5703125" customWidth="1"/>
    <col min="10" max="10" width="14" customWidth="1"/>
    <col min="11" max="11" width="18.140625" customWidth="1"/>
    <col min="12" max="12" width="34.140625" customWidth="1"/>
    <col min="13" max="13" width="31.140625" customWidth="1"/>
    <col min="14" max="14" width="18" customWidth="1"/>
  </cols>
  <sheetData>
    <row r="3" spans="1:14" x14ac:dyDescent="0.25">
      <c r="A3" s="18" t="s">
        <v>34</v>
      </c>
      <c r="B3" s="19" t="s">
        <v>95</v>
      </c>
      <c r="C3" s="20" t="s">
        <v>96</v>
      </c>
      <c r="D3" s="19" t="s">
        <v>97</v>
      </c>
      <c r="E3" s="19" t="s">
        <v>98</v>
      </c>
      <c r="F3" s="36" t="s">
        <v>99</v>
      </c>
      <c r="G3" s="21" t="s">
        <v>82</v>
      </c>
      <c r="H3" s="21" t="s">
        <v>83</v>
      </c>
      <c r="I3" s="21" t="s">
        <v>84</v>
      </c>
      <c r="J3" s="22" t="s">
        <v>85</v>
      </c>
      <c r="K3" s="23" t="s">
        <v>86</v>
      </c>
      <c r="L3" s="23" t="s">
        <v>87</v>
      </c>
      <c r="M3" s="23" t="s">
        <v>88</v>
      </c>
      <c r="N3" s="24" t="s">
        <v>89</v>
      </c>
    </row>
    <row r="4" spans="1:14" x14ac:dyDescent="0.25">
      <c r="A4">
        <v>0</v>
      </c>
      <c r="B4">
        <f>'003'!O4</f>
        <v>0</v>
      </c>
      <c r="C4">
        <f>'006'!O4</f>
        <v>0</v>
      </c>
      <c r="D4">
        <f>'007'!O4</f>
        <v>0</v>
      </c>
      <c r="E4">
        <f>'012'!O4</f>
        <v>0</v>
      </c>
      <c r="G4">
        <v>0</v>
      </c>
    </row>
    <row r="5" spans="1:14" x14ac:dyDescent="0.25">
      <c r="A5">
        <v>10</v>
      </c>
      <c r="B5">
        <f>'003'!O5</f>
        <v>0.21652909380943766</v>
      </c>
      <c r="C5">
        <f>'006'!O5</f>
        <v>0.15781880928588349</v>
      </c>
      <c r="D5">
        <f>'007'!O5</f>
        <v>0.17952184549574132</v>
      </c>
      <c r="E5">
        <f>'012'!O5</f>
        <v>0.18211182421670427</v>
      </c>
      <c r="G5">
        <f t="shared" ref="G5:G23" si="0">AVERAGE(B5:F5)</f>
        <v>0.18399539320194169</v>
      </c>
      <c r="H5">
        <f t="shared" ref="H5:H21" si="1">_xlfn.STDEV.P(B5:F5)</f>
        <v>2.1019132248587157E-2</v>
      </c>
      <c r="I5">
        <v>5</v>
      </c>
      <c r="J5">
        <v>1.96</v>
      </c>
      <c r="K5">
        <f>G5-J5*(H5/(I5^0.5))</f>
        <v>0.16557131145586934</v>
      </c>
      <c r="L5">
        <f>G5+J5*(H5/(I5^0.5))</f>
        <v>0.20241947494801404</v>
      </c>
      <c r="M5">
        <f>J5*(H5/(I5^0.5))</f>
        <v>1.8424081746072365E-2</v>
      </c>
      <c r="N5">
        <f>M5/G5*100</f>
        <v>10.013338608891832</v>
      </c>
    </row>
    <row r="6" spans="1:14" x14ac:dyDescent="0.25">
      <c r="A6">
        <v>30</v>
      </c>
      <c r="B6">
        <f>'003'!O6</f>
        <v>0.64258756951586304</v>
      </c>
      <c r="C6">
        <f>'006'!O6</f>
        <v>0.47262412111364527</v>
      </c>
      <c r="D6">
        <f>'007'!O6</f>
        <v>0.53756914613378881</v>
      </c>
      <c r="E6">
        <f>'012'!O6</f>
        <v>0.54543024344173452</v>
      </c>
      <c r="G6">
        <f t="shared" si="0"/>
        <v>0.54955277005125791</v>
      </c>
      <c r="H6">
        <f t="shared" si="1"/>
        <v>6.0692036970733124E-2</v>
      </c>
      <c r="I6">
        <v>5</v>
      </c>
      <c r="J6">
        <v>1.96</v>
      </c>
      <c r="K6">
        <f>G6-J6*(H6/(I6^0.5))</f>
        <v>0.49635385407033794</v>
      </c>
      <c r="L6">
        <f t="shared" ref="L6:L23" si="2">G6+J6*(H6/(I6^0.5))</f>
        <v>0.60275168603217788</v>
      </c>
      <c r="M6">
        <f t="shared" ref="M6:M23" si="3">J6*(H6/(I6^0.5))</f>
        <v>5.3198915980919949E-2</v>
      </c>
      <c r="N6">
        <f t="shared" ref="N6:N23" si="4">M6/G6*100</f>
        <v>9.6804017521298231</v>
      </c>
    </row>
    <row r="7" spans="1:14" x14ac:dyDescent="0.25">
      <c r="A7">
        <v>50</v>
      </c>
      <c r="B7">
        <f>'003'!O7</f>
        <v>1.056437921552337</v>
      </c>
      <c r="C7">
        <f>'006'!O7</f>
        <v>0.78518466125663011</v>
      </c>
      <c r="D7">
        <f>'007'!O7</f>
        <v>0.89292839823499615</v>
      </c>
      <c r="E7">
        <f>'012'!O7</f>
        <v>0.90624723317664302</v>
      </c>
      <c r="G7">
        <f t="shared" si="0"/>
        <v>0.91019955355515147</v>
      </c>
      <c r="H7">
        <f t="shared" si="1"/>
        <v>9.6602661988890462E-2</v>
      </c>
      <c r="I7">
        <v>5</v>
      </c>
      <c r="J7">
        <v>1.96</v>
      </c>
      <c r="K7">
        <f t="shared" ref="K7:K22" si="5">G7-J7*(H7/(I7^0.5))</f>
        <v>0.82552358690143057</v>
      </c>
      <c r="L7">
        <f t="shared" si="2"/>
        <v>0.99487552020887238</v>
      </c>
      <c r="M7">
        <f t="shared" si="3"/>
        <v>8.4675966653720888E-2</v>
      </c>
      <c r="N7">
        <f t="shared" si="4"/>
        <v>9.3030112268221572</v>
      </c>
    </row>
    <row r="8" spans="1:14" x14ac:dyDescent="0.25">
      <c r="A8">
        <v>70</v>
      </c>
      <c r="B8">
        <f>'003'!O8</f>
        <v>1.4563256070304302</v>
      </c>
      <c r="C8">
        <f>'006'!O8</f>
        <v>1.0942911826520021</v>
      </c>
      <c r="D8">
        <f>'007'!O8</f>
        <v>1.2441529811210608</v>
      </c>
      <c r="E8">
        <f>'012'!O8</f>
        <v>1.2631529172416558</v>
      </c>
      <c r="G8">
        <f t="shared" si="0"/>
        <v>1.2644806720112871</v>
      </c>
      <c r="H8">
        <f t="shared" si="1"/>
        <v>0.12863117752952757</v>
      </c>
      <c r="I8">
        <v>5</v>
      </c>
      <c r="J8">
        <v>1.96</v>
      </c>
      <c r="K8">
        <f t="shared" si="5"/>
        <v>1.1517304736743952</v>
      </c>
      <c r="L8">
        <f t="shared" si="2"/>
        <v>1.377230870348179</v>
      </c>
      <c r="M8">
        <f t="shared" si="3"/>
        <v>0.1127501983368919</v>
      </c>
      <c r="N8">
        <f t="shared" si="4"/>
        <v>8.916719791181233</v>
      </c>
    </row>
    <row r="9" spans="1:14" x14ac:dyDescent="0.25">
      <c r="A9">
        <v>100</v>
      </c>
      <c r="B9">
        <f>'003'!O9</f>
        <v>2.0281616234116639</v>
      </c>
      <c r="C9">
        <f>'006'!O9</f>
        <v>1.5491534218688814</v>
      </c>
      <c r="D9">
        <f>'007'!O9</f>
        <v>1.7604696437916256</v>
      </c>
      <c r="E9">
        <f>'012'!O9</f>
        <v>1.7884249345762191</v>
      </c>
      <c r="G9">
        <f t="shared" si="0"/>
        <v>1.7815524059120975</v>
      </c>
      <c r="H9">
        <f t="shared" si="1"/>
        <v>0.16979186409317076</v>
      </c>
      <c r="I9">
        <v>5</v>
      </c>
      <c r="J9">
        <v>1.96</v>
      </c>
      <c r="K9">
        <f t="shared" si="5"/>
        <v>1.6327232750577132</v>
      </c>
      <c r="L9">
        <f t="shared" si="2"/>
        <v>1.9303815367664818</v>
      </c>
      <c r="M9">
        <f t="shared" si="3"/>
        <v>0.14882913085438432</v>
      </c>
      <c r="N9">
        <f t="shared" si="4"/>
        <v>8.3539013705402958</v>
      </c>
    </row>
    <row r="10" spans="1:14" x14ac:dyDescent="0.25">
      <c r="A10">
        <v>200</v>
      </c>
      <c r="B10">
        <f>'003'!O10</f>
        <v>3.688677409558569</v>
      </c>
      <c r="C10">
        <f>'006'!O10</f>
        <v>2.9563763696853935</v>
      </c>
      <c r="D10">
        <f>'007'!O10</f>
        <v>3.3517493714116582</v>
      </c>
      <c r="E10">
        <f>'012'!O10</f>
        <v>3.4123646098210694</v>
      </c>
      <c r="G10">
        <f t="shared" si="0"/>
        <v>3.3522919401191729</v>
      </c>
      <c r="H10">
        <f t="shared" si="1"/>
        <v>0.26149251566143505</v>
      </c>
      <c r="I10">
        <v>4</v>
      </c>
      <c r="J10">
        <v>1.96</v>
      </c>
      <c r="K10">
        <f t="shared" si="5"/>
        <v>3.0960292747709666</v>
      </c>
      <c r="L10">
        <f t="shared" si="2"/>
        <v>3.6085546054673792</v>
      </c>
      <c r="M10">
        <f t="shared" si="3"/>
        <v>0.25626266534820635</v>
      </c>
      <c r="N10">
        <f t="shared" si="4"/>
        <v>7.6444017981052186</v>
      </c>
    </row>
    <row r="11" spans="1:14" x14ac:dyDescent="0.25">
      <c r="A11">
        <v>300</v>
      </c>
      <c r="B11">
        <f>'003'!O11</f>
        <v>5.0074368327177465</v>
      </c>
      <c r="C11">
        <f>'006'!O11</f>
        <v>4.1521209696508281</v>
      </c>
      <c r="D11">
        <f>'007'!O11</f>
        <v>4.6933704874274573</v>
      </c>
      <c r="E11">
        <f>'012'!O11</f>
        <v>4.7871566723189849</v>
      </c>
      <c r="G11">
        <f t="shared" si="0"/>
        <v>4.6600212405287547</v>
      </c>
      <c r="H11">
        <f t="shared" si="1"/>
        <v>0.31461717576250425</v>
      </c>
      <c r="I11">
        <v>4</v>
      </c>
      <c r="J11">
        <v>1.96</v>
      </c>
      <c r="K11">
        <f t="shared" si="5"/>
        <v>4.3516964082815006</v>
      </c>
      <c r="L11">
        <f t="shared" si="2"/>
        <v>4.9683460727760087</v>
      </c>
      <c r="M11">
        <f t="shared" si="3"/>
        <v>0.30832483224725415</v>
      </c>
      <c r="N11">
        <f t="shared" si="4"/>
        <v>6.6163825513436869</v>
      </c>
    </row>
    <row r="12" spans="1:14" x14ac:dyDescent="0.25">
      <c r="A12">
        <v>400</v>
      </c>
      <c r="B12">
        <f>'003'!O12</f>
        <v>6.0517037198426431</v>
      </c>
      <c r="C12">
        <f>'006'!O12</f>
        <v>5.1252770095069131</v>
      </c>
      <c r="D12">
        <f>'007'!O12</f>
        <v>5.7756599599670446</v>
      </c>
      <c r="E12">
        <f>'012'!O12</f>
        <v>5.8987555478275624</v>
      </c>
      <c r="G12">
        <f t="shared" si="0"/>
        <v>5.7128490592860404</v>
      </c>
      <c r="H12">
        <f t="shared" si="1"/>
        <v>0.35304738576739725</v>
      </c>
      <c r="I12">
        <v>4</v>
      </c>
      <c r="J12">
        <v>1.96</v>
      </c>
      <c r="K12">
        <f t="shared" si="5"/>
        <v>5.3668626212339907</v>
      </c>
      <c r="L12">
        <f t="shared" si="2"/>
        <v>6.05883549733809</v>
      </c>
      <c r="M12">
        <f t="shared" si="3"/>
        <v>0.34598643805204932</v>
      </c>
      <c r="N12">
        <f t="shared" si="4"/>
        <v>6.0562853046092684</v>
      </c>
    </row>
    <row r="13" spans="1:14" x14ac:dyDescent="0.25">
      <c r="A13">
        <v>500</v>
      </c>
      <c r="B13">
        <f>'003'!O13</f>
        <v>6.884329408256761</v>
      </c>
      <c r="C13">
        <f>'006'!O13</f>
        <v>5.8985867180534477</v>
      </c>
      <c r="D13">
        <f>'007'!O13</f>
        <v>6.6283515019602985</v>
      </c>
      <c r="E13">
        <f>'012'!O13</f>
        <v>6.7749265423353107</v>
      </c>
      <c r="G13">
        <f t="shared" si="0"/>
        <v>6.5465485426514549</v>
      </c>
      <c r="H13">
        <f t="shared" si="1"/>
        <v>0.3849671006062505</v>
      </c>
      <c r="I13">
        <v>4</v>
      </c>
      <c r="J13">
        <v>1.96</v>
      </c>
      <c r="K13">
        <f t="shared" si="5"/>
        <v>6.1692807840573298</v>
      </c>
      <c r="L13">
        <f t="shared" si="2"/>
        <v>6.92381630124558</v>
      </c>
      <c r="M13">
        <f t="shared" si="3"/>
        <v>0.37726775859412548</v>
      </c>
      <c r="N13">
        <f t="shared" si="4"/>
        <v>5.7628497846794566</v>
      </c>
    </row>
    <row r="14" spans="1:14" x14ac:dyDescent="0.25">
      <c r="A14">
        <v>600</v>
      </c>
      <c r="B14">
        <f>'003'!O14</f>
        <v>7.5553372443089506</v>
      </c>
      <c r="C14">
        <f>'006'!O14</f>
        <v>6.5070440573579642</v>
      </c>
      <c r="D14">
        <f>'007'!O14</f>
        <v>7.2941303622875493</v>
      </c>
      <c r="E14">
        <f>'012'!O14</f>
        <v>7.4583639494486613</v>
      </c>
      <c r="G14">
        <f t="shared" si="0"/>
        <v>7.2037189033507811</v>
      </c>
      <c r="H14">
        <f t="shared" si="1"/>
        <v>0.41291937171394522</v>
      </c>
      <c r="I14">
        <v>4</v>
      </c>
      <c r="J14">
        <v>1.96</v>
      </c>
      <c r="K14">
        <f t="shared" si="5"/>
        <v>6.7990579190711147</v>
      </c>
      <c r="L14">
        <f t="shared" si="2"/>
        <v>7.6083798876304476</v>
      </c>
      <c r="M14">
        <f t="shared" si="3"/>
        <v>0.40466098427966629</v>
      </c>
      <c r="N14">
        <f>M14/G14*100</f>
        <v>5.6173899857674883</v>
      </c>
    </row>
    <row r="15" spans="1:14" x14ac:dyDescent="0.25">
      <c r="A15">
        <v>700</v>
      </c>
      <c r="B15">
        <f>'003'!O15</f>
        <v>8.1025437129455185</v>
      </c>
      <c r="C15">
        <f>'006'!O15</f>
        <v>6.9854642315595177</v>
      </c>
      <c r="D15">
        <f>'007'!O15</f>
        <v>7.8141768567236563</v>
      </c>
      <c r="E15">
        <f>'012'!O15</f>
        <v>7.991175015904469</v>
      </c>
      <c r="G15">
        <f t="shared" si="0"/>
        <v>7.7233399542832899</v>
      </c>
      <c r="H15">
        <f t="shared" si="1"/>
        <v>0.43824737188238572</v>
      </c>
      <c r="I15">
        <v>4</v>
      </c>
      <c r="J15">
        <v>1.96</v>
      </c>
      <c r="K15">
        <f t="shared" si="5"/>
        <v>7.2938575298385517</v>
      </c>
      <c r="L15">
        <f t="shared" si="2"/>
        <v>8.1528223787280272</v>
      </c>
      <c r="M15">
        <f t="shared" si="3"/>
        <v>0.429482424444738</v>
      </c>
      <c r="N15">
        <f t="shared" si="4"/>
        <v>5.5608380180980017</v>
      </c>
    </row>
    <row r="16" spans="1:14" x14ac:dyDescent="0.25">
      <c r="A16">
        <v>800</v>
      </c>
      <c r="B16">
        <f>'003'!O16</f>
        <v>8.5540955862003827</v>
      </c>
      <c r="C16">
        <f>'006'!O16</f>
        <v>7.363478982001844</v>
      </c>
      <c r="D16">
        <f>'007'!O16</f>
        <v>8.2228094613484632</v>
      </c>
      <c r="E16">
        <f>'012'!O16</f>
        <v>8.4088006466979337</v>
      </c>
      <c r="G16">
        <f t="shared" si="0"/>
        <v>8.1372961690621555</v>
      </c>
      <c r="H16">
        <f t="shared" si="1"/>
        <v>0.46193668333728904</v>
      </c>
      <c r="I16">
        <v>4</v>
      </c>
      <c r="J16">
        <v>1.96</v>
      </c>
      <c r="K16">
        <f t="shared" si="5"/>
        <v>7.6845982193916118</v>
      </c>
      <c r="L16">
        <f t="shared" si="2"/>
        <v>8.5899941187326991</v>
      </c>
      <c r="M16">
        <f t="shared" si="3"/>
        <v>0.45269794967054328</v>
      </c>
      <c r="N16">
        <f t="shared" si="4"/>
        <v>5.5632477946629528</v>
      </c>
    </row>
    <row r="17" spans="1:14" x14ac:dyDescent="0.25">
      <c r="A17">
        <v>900</v>
      </c>
      <c r="B17">
        <f>'003'!O17</f>
        <v>8.9309315650497449</v>
      </c>
      <c r="C17">
        <f>'006'!O17</f>
        <v>7.6645501574457109</v>
      </c>
      <c r="D17">
        <f>'007'!O17</f>
        <v>8.5467681273239631</v>
      </c>
      <c r="E17">
        <f>'012'!O17</f>
        <v>8.7389773623046931</v>
      </c>
      <c r="G17">
        <f t="shared" si="0"/>
        <v>8.4703068030310291</v>
      </c>
      <c r="H17">
        <f t="shared" si="1"/>
        <v>0.48462592450846959</v>
      </c>
      <c r="I17">
        <v>4</v>
      </c>
      <c r="J17">
        <v>1.96</v>
      </c>
      <c r="K17">
        <f t="shared" si="5"/>
        <v>7.9953733970127292</v>
      </c>
      <c r="L17">
        <f t="shared" si="2"/>
        <v>8.945240209049329</v>
      </c>
      <c r="M17">
        <f t="shared" si="3"/>
        <v>0.4749334060183002</v>
      </c>
      <c r="N17">
        <f t="shared" si="4"/>
        <v>5.6070390018027352</v>
      </c>
    </row>
    <row r="18" spans="1:14" x14ac:dyDescent="0.25">
      <c r="A18">
        <v>1000</v>
      </c>
      <c r="B18">
        <f>'003'!O18</f>
        <v>9.2487274686869601</v>
      </c>
      <c r="C18">
        <f>'006'!O18</f>
        <v>7.9066232177582245</v>
      </c>
      <c r="D18">
        <f>'007'!O18</f>
        <v>8.8062476978731201</v>
      </c>
      <c r="E18">
        <f>'012'!O18</f>
        <v>9.0026827482614618</v>
      </c>
      <c r="G18">
        <f t="shared" si="0"/>
        <v>8.7410702831449427</v>
      </c>
      <c r="H18">
        <f t="shared" si="1"/>
        <v>0.50663273193210157</v>
      </c>
      <c r="I18">
        <v>4</v>
      </c>
      <c r="J18">
        <v>1.96</v>
      </c>
      <c r="K18">
        <f t="shared" si="5"/>
        <v>8.2445702058514829</v>
      </c>
      <c r="L18">
        <f t="shared" si="2"/>
        <v>9.2375703604384025</v>
      </c>
      <c r="M18">
        <f t="shared" si="3"/>
        <v>0.49650007729345952</v>
      </c>
      <c r="N18">
        <f t="shared" si="4"/>
        <v>5.680083344608736</v>
      </c>
    </row>
    <row r="19" spans="1:14" x14ac:dyDescent="0.25">
      <c r="A19">
        <v>1500</v>
      </c>
      <c r="B19">
        <f>'003'!O19</f>
        <v>10.282998845212392</v>
      </c>
      <c r="C19">
        <f>'006'!O19</f>
        <v>8.6039152890721677</v>
      </c>
      <c r="D19">
        <f>'007'!O19</f>
        <v>9.5484907321148018</v>
      </c>
      <c r="E19">
        <f>'012'!O19</f>
        <v>9.7515876179435299</v>
      </c>
      <c r="G19">
        <f t="shared" si="0"/>
        <v>9.5467481210857219</v>
      </c>
      <c r="H19">
        <f t="shared" si="1"/>
        <v>0.60682805102967652</v>
      </c>
      <c r="I19">
        <v>4</v>
      </c>
      <c r="J19">
        <v>1.96</v>
      </c>
      <c r="K19">
        <f t="shared" si="5"/>
        <v>8.9520566310766387</v>
      </c>
      <c r="L19">
        <f t="shared" si="2"/>
        <v>10.141439611094805</v>
      </c>
      <c r="M19">
        <f t="shared" si="3"/>
        <v>0.59469149000908295</v>
      </c>
      <c r="N19">
        <f t="shared" si="4"/>
        <v>6.2292571508784134</v>
      </c>
    </row>
    <row r="20" spans="1:14" x14ac:dyDescent="0.25">
      <c r="A20">
        <v>2000</v>
      </c>
      <c r="B20">
        <f>'003'!O20</f>
        <v>10.833501021628491</v>
      </c>
      <c r="C20">
        <f>'006'!O20</f>
        <v>8.9077872802590026</v>
      </c>
      <c r="D20">
        <f>'007'!O20</f>
        <v>9.8694226546142332</v>
      </c>
      <c r="E20">
        <f>'012'!O20</f>
        <v>10.071544921764829</v>
      </c>
      <c r="G20">
        <f t="shared" si="0"/>
        <v>9.9205639695666399</v>
      </c>
      <c r="H20">
        <f t="shared" si="1"/>
        <v>0.68640027779970614</v>
      </c>
      <c r="I20">
        <v>4</v>
      </c>
      <c r="J20">
        <v>1.96</v>
      </c>
      <c r="K20">
        <f t="shared" si="5"/>
        <v>9.2478916973229275</v>
      </c>
      <c r="L20">
        <f t="shared" si="2"/>
        <v>10.593236241810352</v>
      </c>
      <c r="M20">
        <f t="shared" si="3"/>
        <v>0.67267227224371196</v>
      </c>
      <c r="N20">
        <f t="shared" si="4"/>
        <v>6.7805849980633344</v>
      </c>
    </row>
    <row r="21" spans="1:14" x14ac:dyDescent="0.25">
      <c r="A21">
        <v>3000</v>
      </c>
      <c r="B21">
        <f>'003'!O21</f>
        <v>11.384884083521897</v>
      </c>
      <c r="C21">
        <f>'006'!O21</f>
        <v>9.1558192091373716</v>
      </c>
      <c r="E21">
        <f>'012'!O21</f>
        <v>10.328427573559296</v>
      </c>
      <c r="G21">
        <f t="shared" si="0"/>
        <v>10.289710288739521</v>
      </c>
      <c r="H21">
        <f t="shared" si="1"/>
        <v>0.91042364668381581</v>
      </c>
      <c r="I21">
        <v>3</v>
      </c>
      <c r="J21">
        <v>1.96</v>
      </c>
      <c r="K21">
        <f t="shared" si="5"/>
        <v>9.2594689472600962</v>
      </c>
      <c r="L21">
        <f t="shared" si="2"/>
        <v>11.319951630218945</v>
      </c>
      <c r="M21">
        <f>J21*(H21/(I21^0.5))</f>
        <v>1.0302413414794236</v>
      </c>
      <c r="N21">
        <f t="shared" si="4"/>
        <v>10.012345465225213</v>
      </c>
    </row>
    <row r="22" spans="1:14" x14ac:dyDescent="0.25">
      <c r="A22">
        <v>4000</v>
      </c>
      <c r="B22">
        <f>'003'!O22</f>
        <v>11.650282230214426</v>
      </c>
      <c r="G22">
        <f t="shared" si="0"/>
        <v>11.650282230214426</v>
      </c>
      <c r="I22">
        <v>1</v>
      </c>
      <c r="J22">
        <v>1.96</v>
      </c>
      <c r="K22">
        <f t="shared" si="5"/>
        <v>11.650282230214426</v>
      </c>
      <c r="L22">
        <f t="shared" si="2"/>
        <v>11.650282230214426</v>
      </c>
      <c r="M22">
        <f t="shared" si="3"/>
        <v>0</v>
      </c>
      <c r="N22">
        <f t="shared" si="4"/>
        <v>0</v>
      </c>
    </row>
    <row r="23" spans="1:14" x14ac:dyDescent="0.25">
      <c r="A23">
        <v>5000</v>
      </c>
      <c r="B23">
        <f>'003'!O23</f>
        <v>11.802088700866985</v>
      </c>
      <c r="G23">
        <f t="shared" si="0"/>
        <v>11.802088700866985</v>
      </c>
      <c r="I23">
        <v>1</v>
      </c>
      <c r="J23">
        <v>1.96</v>
      </c>
      <c r="K23">
        <f>G23-J23*(H23/(I23^0.5))</f>
        <v>11.802088700866985</v>
      </c>
      <c r="L23">
        <f t="shared" si="2"/>
        <v>11.802088700866985</v>
      </c>
      <c r="M23">
        <f t="shared" si="3"/>
        <v>0</v>
      </c>
      <c r="N23">
        <f t="shared" si="4"/>
        <v>0</v>
      </c>
    </row>
    <row r="24" spans="1:14" x14ac:dyDescent="0.25">
      <c r="M24" s="1"/>
    </row>
    <row r="25" spans="1:14" ht="15.75" thickBot="1" x14ac:dyDescent="0.3">
      <c r="A25" s="15" t="s">
        <v>34</v>
      </c>
    </row>
    <row r="26" spans="1:14" x14ac:dyDescent="0.25">
      <c r="A26" s="25">
        <f>$A$5</f>
        <v>10</v>
      </c>
      <c r="B26" s="26">
        <f>IF(OR(B$5&gt;$F28,B$5&lt;$E28),1,0)</f>
        <v>1</v>
      </c>
      <c r="C26" s="26">
        <f>IF(OR(C$5&gt;$F28,C$5&lt;$E28),1,0)</f>
        <v>0</v>
      </c>
      <c r="D26" s="26">
        <f>IF(OR(D$5&gt;$F28,D$5&lt;$E28),1,0)</f>
        <v>0</v>
      </c>
      <c r="E26" s="26">
        <f>IF(OR(E$5&gt;$F28,E$5&lt;$E28),1,0)</f>
        <v>0</v>
      </c>
      <c r="F26" s="26">
        <f>IF(OR(F$5&gt;$F28,F$5&lt;$E28),1,0)</f>
        <v>1</v>
      </c>
    </row>
    <row r="27" spans="1:14" x14ac:dyDescent="0.25">
      <c r="A27" s="27"/>
      <c r="B27" t="s">
        <v>90</v>
      </c>
      <c r="C27" t="s">
        <v>91</v>
      </c>
      <c r="D27" t="s">
        <v>92</v>
      </c>
      <c r="E27" t="s">
        <v>93</v>
      </c>
      <c r="F27" t="s">
        <v>94</v>
      </c>
    </row>
    <row r="28" spans="1:14" ht="15.75" thickBot="1" x14ac:dyDescent="0.3">
      <c r="A28" s="28"/>
      <c r="B28" s="29">
        <f>QUARTILE($B$5:$F$5,1)</f>
        <v>0.17409608644327687</v>
      </c>
      <c r="C28" s="29">
        <f>QUARTILE($B$5:$F$5,3)</f>
        <v>0.19071614161488762</v>
      </c>
      <c r="D28" s="29">
        <f>$C28-$B28</f>
        <v>1.6620055171610748E-2</v>
      </c>
      <c r="E28" s="29">
        <f>$B28-1.5*$D28</f>
        <v>0.14916600368586075</v>
      </c>
      <c r="F28" s="29">
        <f>$C28+1.5*$D28</f>
        <v>0.21564622437230374</v>
      </c>
    </row>
    <row r="29" spans="1:14" x14ac:dyDescent="0.25">
      <c r="A29" s="25">
        <f>$A$6</f>
        <v>30</v>
      </c>
      <c r="B29" s="26">
        <f>IF(OR(B$6&gt;$F31,B$6&lt;$E31),1,0)</f>
        <v>1</v>
      </c>
      <c r="C29" s="26">
        <f>IF(OR(C$6&gt;$F31,C$6&lt;$E31),1,0)</f>
        <v>0</v>
      </c>
      <c r="D29" s="30">
        <f>IF(OR(D$6&gt;$F31,D$6&lt;$E31),1,0)</f>
        <v>0</v>
      </c>
      <c r="E29" s="26">
        <f>IF(OR(E$6&gt;$F31,E$6&lt;$E31),1,0)</f>
        <v>0</v>
      </c>
      <c r="F29" s="26">
        <f>IF(OR(F$6&gt;$F31,F$6&lt;$E31),1,0)</f>
        <v>1</v>
      </c>
    </row>
    <row r="30" spans="1:14" x14ac:dyDescent="0.25">
      <c r="A30" s="27"/>
      <c r="B30" t="s">
        <v>90</v>
      </c>
      <c r="C30" t="s">
        <v>91</v>
      </c>
      <c r="D30" t="s">
        <v>92</v>
      </c>
      <c r="E30" t="s">
        <v>93</v>
      </c>
      <c r="F30" t="s">
        <v>94</v>
      </c>
    </row>
    <row r="31" spans="1:14" ht="15.75" thickBot="1" x14ac:dyDescent="0.3">
      <c r="A31" s="28"/>
      <c r="B31" s="29">
        <f>QUARTILE($B$6:$F$6,1)</f>
        <v>0.52133288987875293</v>
      </c>
      <c r="C31" s="29">
        <f>QUARTILE($B$6:$F$6,3)</f>
        <v>0.56971957496026659</v>
      </c>
      <c r="D31" s="29">
        <f>$C31-$B31</f>
        <v>4.838668508151367E-2</v>
      </c>
      <c r="E31" s="29">
        <f>$B31-1.5*$D31</f>
        <v>0.44875286225648242</v>
      </c>
      <c r="F31" s="29">
        <f>$C31+1.5*$D31</f>
        <v>0.64229960258253715</v>
      </c>
    </row>
    <row r="32" spans="1:14" x14ac:dyDescent="0.25">
      <c r="A32" s="25">
        <f>$A$7</f>
        <v>50</v>
      </c>
      <c r="B32" s="26">
        <f>IF(OR(B$7&gt;$F34,B$7&lt;$E34),1,0)</f>
        <v>0</v>
      </c>
      <c r="C32" s="26">
        <f>IF(OR(C$7&gt;$F34,C$7&lt;$E34),1,0)</f>
        <v>0</v>
      </c>
      <c r="D32" s="30">
        <f>IF(OR(D$7&gt;$F34,D$7&lt;$E34),1,0)</f>
        <v>0</v>
      </c>
      <c r="E32" s="26">
        <f>IF(OR(E$7&gt;$F34,E$7&lt;$E34),1,0)</f>
        <v>0</v>
      </c>
      <c r="F32" s="26">
        <f>IF(OR(F$7&gt;$F34,F$7&lt;$E34),1,0)</f>
        <v>1</v>
      </c>
    </row>
    <row r="33" spans="1:8" x14ac:dyDescent="0.25">
      <c r="A33" s="27"/>
      <c r="B33" t="s">
        <v>90</v>
      </c>
      <c r="C33" t="s">
        <v>91</v>
      </c>
      <c r="D33" t="s">
        <v>92</v>
      </c>
      <c r="E33" t="s">
        <v>93</v>
      </c>
      <c r="F33" t="s">
        <v>94</v>
      </c>
    </row>
    <row r="34" spans="1:8" ht="15.75" thickBot="1" x14ac:dyDescent="0.3">
      <c r="A34" s="28"/>
      <c r="B34" s="29">
        <f>QUARTILE($B$7:$F$7,1)</f>
        <v>0.86599246399040464</v>
      </c>
      <c r="C34" s="29">
        <f>QUARTILE($B$7:$F$7,3)</f>
        <v>0.94379490527056653</v>
      </c>
      <c r="D34" s="29">
        <f>$C34-$B34</f>
        <v>7.7802441280161894E-2</v>
      </c>
      <c r="E34" s="29">
        <f>$B34-1.5*$D34</f>
        <v>0.7492888020701618</v>
      </c>
      <c r="F34" s="29">
        <f>$C34+1.5*$D34</f>
        <v>1.0604985671908094</v>
      </c>
    </row>
    <row r="35" spans="1:8" x14ac:dyDescent="0.25">
      <c r="A35" s="25">
        <f>$A$8</f>
        <v>70</v>
      </c>
      <c r="B35" s="26">
        <f>IF(OR(B$8&gt;$F37,B$8&lt;$E37),1,0)</f>
        <v>0</v>
      </c>
      <c r="C35" s="26">
        <f>IF(OR(C$8&gt;$F37,C$8&lt;$E37),1,0)</f>
        <v>0</v>
      </c>
      <c r="D35" s="30">
        <f>IF(OR(D$8&gt;$F37,D$8&lt;$E37),1,0)</f>
        <v>0</v>
      </c>
      <c r="E35" s="26">
        <f>IF(OR(E$8&gt;$F37,E$8&lt;$E37),1,0)</f>
        <v>0</v>
      </c>
      <c r="F35" s="26">
        <f>IF(OR(F$8&gt;$F37,F$8&lt;$E37),1,0)</f>
        <v>1</v>
      </c>
      <c r="H35" s="39"/>
    </row>
    <row r="36" spans="1:8" x14ac:dyDescent="0.25">
      <c r="A36" s="27"/>
      <c r="B36" t="s">
        <v>90</v>
      </c>
      <c r="C36" t="s">
        <v>91</v>
      </c>
      <c r="D36" t="s">
        <v>92</v>
      </c>
      <c r="E36" t="s">
        <v>93</v>
      </c>
      <c r="F36" t="s">
        <v>94</v>
      </c>
    </row>
    <row r="37" spans="1:8" ht="15.75" thickBot="1" x14ac:dyDescent="0.3">
      <c r="A37" s="28"/>
      <c r="B37" s="29">
        <f>QUARTILE($B$8:$F$8,1)</f>
        <v>1.2066875315037962</v>
      </c>
      <c r="C37" s="29">
        <f>QUARTILE($B$8:$F$8,3)</f>
        <v>1.3114460896888493</v>
      </c>
      <c r="D37" s="29">
        <f>$C37-$B37</f>
        <v>0.1047585581850532</v>
      </c>
      <c r="E37" s="29">
        <f>$B37-1.5*$D37</f>
        <v>1.0495496942262164</v>
      </c>
      <c r="F37" s="29">
        <f>$C37+1.5*$D37</f>
        <v>1.4685839269664291</v>
      </c>
    </row>
    <row r="38" spans="1:8" x14ac:dyDescent="0.25">
      <c r="A38" s="25">
        <f>$A$9</f>
        <v>100</v>
      </c>
      <c r="B38" s="26">
        <f>IF(OR(B$9&gt;$F40,B$9&lt;$E40),1,0)</f>
        <v>0</v>
      </c>
      <c r="C38" s="26">
        <f>IF(OR(C$9&gt;$F40,C$9&lt;$E40),1,0)</f>
        <v>0</v>
      </c>
      <c r="D38" s="30">
        <f>IF(OR(D$9&gt;$F40,D$9&lt;$E40),1,0)</f>
        <v>0</v>
      </c>
      <c r="E38" s="26">
        <f>IF(OR(E$9&gt;$F40,E$9&lt;$E40),1,0)</f>
        <v>0</v>
      </c>
      <c r="F38" s="26">
        <f>IF(OR(F$9&gt;$F40,F$9&lt;$E40),1,0)</f>
        <v>1</v>
      </c>
    </row>
    <row r="39" spans="1:8" x14ac:dyDescent="0.25">
      <c r="A39" s="27"/>
      <c r="B39" t="s">
        <v>90</v>
      </c>
      <c r="C39" t="s">
        <v>91</v>
      </c>
      <c r="D39" t="s">
        <v>92</v>
      </c>
      <c r="E39" t="s">
        <v>93</v>
      </c>
      <c r="F39" t="s">
        <v>94</v>
      </c>
    </row>
    <row r="40" spans="1:8" ht="15.75" thickBot="1" x14ac:dyDescent="0.3">
      <c r="A40" s="28"/>
      <c r="B40" s="29">
        <f>QUARTILE($B$9:$F$9,1)</f>
        <v>1.7076405883109396</v>
      </c>
      <c r="C40" s="29">
        <f>QUARTILE($B$9:$F$9,3)</f>
        <v>1.8483591067850802</v>
      </c>
      <c r="D40" s="29">
        <f>$C40-$B40</f>
        <v>0.14071851847414063</v>
      </c>
      <c r="E40" s="29">
        <f>$B40-1.5*$D40</f>
        <v>1.4965628105997286</v>
      </c>
      <c r="F40" s="29">
        <f>$C40+1.5*$D40</f>
        <v>2.0594368844962911</v>
      </c>
    </row>
    <row r="41" spans="1:8" x14ac:dyDescent="0.25">
      <c r="A41" s="25">
        <f>$A$10</f>
        <v>200</v>
      </c>
      <c r="B41" s="32">
        <f>IF(OR(B$10&gt;$F43,B$10&lt;$E43),1,0)</f>
        <v>0</v>
      </c>
      <c r="C41" s="32">
        <f>IF(OR(C$10&gt;$F43,C$10&lt;$E43),1,0)</f>
        <v>0</v>
      </c>
      <c r="D41" s="30">
        <f>IF(OR(D$10&gt;$F43,D$10&lt;$E43),1,0)</f>
        <v>0</v>
      </c>
      <c r="E41" s="31">
        <f>IF(OR(E$10&gt;$F43,E$10&lt;$E43),1,0)</f>
        <v>0</v>
      </c>
      <c r="F41" s="31">
        <f>IF(OR(F$10&gt;$F43,F$10&lt;$E43),1,0)</f>
        <v>1</v>
      </c>
    </row>
    <row r="42" spans="1:8" x14ac:dyDescent="0.25">
      <c r="A42" s="27"/>
      <c r="B42" t="s">
        <v>90</v>
      </c>
      <c r="C42" t="s">
        <v>91</v>
      </c>
      <c r="D42" t="s">
        <v>92</v>
      </c>
      <c r="E42" t="s">
        <v>93</v>
      </c>
      <c r="F42" t="s">
        <v>94</v>
      </c>
    </row>
    <row r="43" spans="1:8" ht="15.75" thickBot="1" x14ac:dyDescent="0.3">
      <c r="A43" s="28"/>
      <c r="B43" s="29">
        <f>QUARTILE($B$10:$F$10,1)</f>
        <v>3.252906120980092</v>
      </c>
      <c r="C43" s="29">
        <f>QUARTILE($B$10:$F$10,3)</f>
        <v>3.4814428097554444</v>
      </c>
      <c r="D43" s="29">
        <f>$C43-$B43</f>
        <v>0.22853668877535238</v>
      </c>
      <c r="E43" s="29">
        <f>$B43-1.5*$D43</f>
        <v>2.9101010878170634</v>
      </c>
      <c r="F43" s="29">
        <f>$C43+1.5*$D43</f>
        <v>3.824247842918473</v>
      </c>
    </row>
    <row r="44" spans="1:8" x14ac:dyDescent="0.25">
      <c r="A44" s="25">
        <f>$A$11</f>
        <v>300</v>
      </c>
      <c r="B44" s="32">
        <f>IF(OR(B$11&gt;$F46,B$11&lt;$E46),1,0)</f>
        <v>0</v>
      </c>
      <c r="C44" s="32">
        <f>IF(OR(C$11&gt;$F46,C$11&lt;$E46),1,0)</f>
        <v>0</v>
      </c>
      <c r="D44" s="30">
        <f>IF(OR(D$11&gt;$F46,D$11&lt;$E46),1,0)</f>
        <v>0</v>
      </c>
      <c r="E44" s="31">
        <f>IF(OR(E$11&gt;$F46,E$11&lt;$E46),1,0)</f>
        <v>0</v>
      </c>
      <c r="F44" s="31">
        <f>IF(OR(F$11&gt;$F46,F$11&lt;$E46),1,0)</f>
        <v>1</v>
      </c>
    </row>
    <row r="45" spans="1:8" x14ac:dyDescent="0.25">
      <c r="A45" s="27"/>
      <c r="B45" t="s">
        <v>90</v>
      </c>
      <c r="C45" t="s">
        <v>91</v>
      </c>
      <c r="D45" t="s">
        <v>92</v>
      </c>
      <c r="E45" t="s">
        <v>93</v>
      </c>
      <c r="F45" t="s">
        <v>94</v>
      </c>
    </row>
    <row r="46" spans="1:8" ht="15.75" thickBot="1" x14ac:dyDescent="0.3">
      <c r="A46" s="28"/>
      <c r="B46" s="29">
        <f>QUARTILE($B$11:$F$11,1)</f>
        <v>4.5580581079832996</v>
      </c>
      <c r="C46" s="29">
        <f>QUARTILE($B$11:$F$11,3)</f>
        <v>4.8422267124186753</v>
      </c>
      <c r="D46" s="29">
        <f>$C46-$B46</f>
        <v>0.28416860443537573</v>
      </c>
      <c r="E46" s="29">
        <f>$B46-1.5*$D46</f>
        <v>4.131805201330236</v>
      </c>
      <c r="F46" s="29">
        <f>$C46+1.5*$D46</f>
        <v>5.2684796190717389</v>
      </c>
    </row>
    <row r="47" spans="1:8" x14ac:dyDescent="0.25">
      <c r="A47" s="25">
        <f>$A$12</f>
        <v>400</v>
      </c>
      <c r="B47" s="32">
        <f>IF(OR(B$12&gt;$F49,B$12&lt;$E49),1,0)</f>
        <v>0</v>
      </c>
      <c r="C47" s="32">
        <f>IF(OR(C$12&gt;$F49,C$12&lt;$E49),1,0)</f>
        <v>1</v>
      </c>
      <c r="D47" s="30">
        <f>IF(OR(D$12&gt;$F49,D$12&lt;$E49),1,0)</f>
        <v>0</v>
      </c>
      <c r="E47" s="31">
        <f>IF(OR(E$12&gt;$F49,E$12&lt;$E49),1,0)</f>
        <v>0</v>
      </c>
      <c r="F47" s="31">
        <f>IF(OR(F$12&gt;$F49,F$12&lt;$E49),1,0)</f>
        <v>1</v>
      </c>
    </row>
    <row r="48" spans="1:8" x14ac:dyDescent="0.25">
      <c r="A48" s="27"/>
      <c r="B48" t="s">
        <v>90</v>
      </c>
      <c r="C48" t="s">
        <v>91</v>
      </c>
      <c r="D48" t="s">
        <v>92</v>
      </c>
      <c r="E48" t="s">
        <v>93</v>
      </c>
      <c r="F48" t="s">
        <v>94</v>
      </c>
    </row>
    <row r="49" spans="1:6" ht="15.75" thickBot="1" x14ac:dyDescent="0.3">
      <c r="A49" s="28"/>
      <c r="B49" s="29">
        <f>QUARTILE($B$12:$F$12,1)</f>
        <v>5.613064222352012</v>
      </c>
      <c r="C49" s="29">
        <f>QUARTILE($B$12:$F$12,3)</f>
        <v>5.9369925908313324</v>
      </c>
      <c r="D49" s="29">
        <f>$C49-$B49</f>
        <v>0.32392836847932038</v>
      </c>
      <c r="E49" s="29">
        <f>$B49-1.5*$D49</f>
        <v>5.1271716696330314</v>
      </c>
      <c r="F49" s="29">
        <f>$C49+1.5*$D49</f>
        <v>6.4228851435503129</v>
      </c>
    </row>
    <row r="50" spans="1:6" x14ac:dyDescent="0.25">
      <c r="A50" s="25">
        <f>$A13</f>
        <v>500</v>
      </c>
      <c r="B50" s="32">
        <f>IF(OR(B$13&gt;$F52,B$13&lt;$E52),1,0)</f>
        <v>0</v>
      </c>
      <c r="C50" s="32">
        <f>IF(OR(C$13&gt;$F52,C$13&lt;$E52),1,0)</f>
        <v>1</v>
      </c>
      <c r="D50" s="30">
        <f>IF(OR(D$13&gt;$F52,D$13&lt;$E52),1,0)</f>
        <v>0</v>
      </c>
      <c r="E50" s="31">
        <f>IF(OR(E$13&gt;$F52,E$13&lt;$E52),1,0)</f>
        <v>0</v>
      </c>
      <c r="F50" s="31">
        <f>IF(OR(F$13&gt;$F52,F$13&lt;$E52),1,0)</f>
        <v>1</v>
      </c>
    </row>
    <row r="51" spans="1:6" x14ac:dyDescent="0.25">
      <c r="A51" s="27"/>
      <c r="B51" t="s">
        <v>90</v>
      </c>
      <c r="C51" t="s">
        <v>91</v>
      </c>
      <c r="D51" t="s">
        <v>92</v>
      </c>
      <c r="E51" t="s">
        <v>93</v>
      </c>
      <c r="F51" t="s">
        <v>94</v>
      </c>
    </row>
    <row r="52" spans="1:6" ht="15.75" thickBot="1" x14ac:dyDescent="0.3">
      <c r="A52" s="28"/>
      <c r="B52" s="29">
        <f>QUARTILE($B$13:$F$13,1)</f>
        <v>6.4459103059835856</v>
      </c>
      <c r="C52" s="29">
        <f>QUARTILE($B$13:$F$13,3)</f>
        <v>6.802277258815673</v>
      </c>
      <c r="D52" s="29">
        <f>$C52-$B52</f>
        <v>0.35636695283208741</v>
      </c>
      <c r="E52" s="29">
        <f>$B52-1.5*$D52</f>
        <v>5.9113598767354549</v>
      </c>
      <c r="F52" s="29">
        <f>$C52+1.5*$D52</f>
        <v>7.3368276880638046</v>
      </c>
    </row>
    <row r="53" spans="1:6" x14ac:dyDescent="0.25">
      <c r="A53" s="25">
        <f>$A$14</f>
        <v>600</v>
      </c>
      <c r="B53" s="32">
        <f>IF(OR(B$14&gt;$F55,B$14&lt;$E55),1,0)</f>
        <v>0</v>
      </c>
      <c r="C53" s="32">
        <f>IF(OR(C$14&gt;$F55,C$14&lt;$E55),1,0)</f>
        <v>1</v>
      </c>
      <c r="D53" s="30">
        <f>IF(OR(D$14&gt;$F55,D$14&lt;$E55),1,0)</f>
        <v>0</v>
      </c>
      <c r="E53" s="31">
        <f>IF(OR(E$14&gt;$F55,E$14&lt;$E55),1,0)</f>
        <v>0</v>
      </c>
      <c r="F53" s="31">
        <f>IF(OR(F$14&gt;$F55,F$14&lt;$E55),1,0)</f>
        <v>1</v>
      </c>
    </row>
    <row r="54" spans="1:6" x14ac:dyDescent="0.25">
      <c r="A54" s="27"/>
      <c r="B54" t="s">
        <v>90</v>
      </c>
      <c r="C54" t="s">
        <v>91</v>
      </c>
      <c r="D54" t="s">
        <v>92</v>
      </c>
      <c r="E54" t="s">
        <v>93</v>
      </c>
      <c r="F54" t="s">
        <v>94</v>
      </c>
    </row>
    <row r="55" spans="1:6" ht="15.75" thickBot="1" x14ac:dyDescent="0.3">
      <c r="A55" s="28"/>
      <c r="B55" s="29">
        <f>QUARTILE($B$14:$F$14,1)</f>
        <v>7.0973587860551532</v>
      </c>
      <c r="C55" s="29">
        <f>QUARTILE($B$14:$F$14,3)</f>
        <v>7.4826072731637332</v>
      </c>
      <c r="D55" s="29">
        <f>$C55-$B55</f>
        <v>0.38524848710857995</v>
      </c>
      <c r="E55" s="29">
        <f>$B55-1.5*$D55</f>
        <v>6.5194860553922833</v>
      </c>
      <c r="F55" s="29">
        <f>$C55+1.5*$D55</f>
        <v>8.0604800038266031</v>
      </c>
    </row>
    <row r="56" spans="1:6" x14ac:dyDescent="0.25">
      <c r="A56" s="25">
        <f>$A$15</f>
        <v>700</v>
      </c>
      <c r="B56" s="32">
        <f>IF(OR(B$15&gt;$F58,B$15&lt;$E58),1,0)</f>
        <v>0</v>
      </c>
      <c r="C56" s="32">
        <f>IF(OR(C$15&gt;$F58,C$15&lt;$E58),1,0)</f>
        <v>1</v>
      </c>
      <c r="D56" s="30">
        <f>IF(OR(D$15&gt;$F58,D$15&lt;$E58),1,0)</f>
        <v>0</v>
      </c>
      <c r="E56" s="31">
        <f>IF(OR(E$15&gt;$F58,E$15&lt;$E58),1,0)</f>
        <v>0</v>
      </c>
      <c r="F56" s="31">
        <f>IF(OR(F$15&gt;$F58,F$15&lt;$E58),1,0)</f>
        <v>1</v>
      </c>
    </row>
    <row r="57" spans="1:6" x14ac:dyDescent="0.25">
      <c r="A57" s="27"/>
      <c r="B57" t="s">
        <v>90</v>
      </c>
      <c r="C57" t="s">
        <v>91</v>
      </c>
      <c r="D57" t="s">
        <v>92</v>
      </c>
      <c r="E57" t="s">
        <v>93</v>
      </c>
      <c r="F57" t="s">
        <v>94</v>
      </c>
    </row>
    <row r="58" spans="1:6" ht="15.75" thickBot="1" x14ac:dyDescent="0.3">
      <c r="A58" s="28"/>
      <c r="B58" s="29">
        <f>QUARTILE($B$15:$F$15,1)</f>
        <v>7.6069987004326212</v>
      </c>
      <c r="C58" s="29">
        <f>QUARTILE($B$15:$F$15,3)</f>
        <v>8.0190171901647318</v>
      </c>
      <c r="D58" s="29">
        <f>$C58-$B58</f>
        <v>0.41201848973211064</v>
      </c>
      <c r="E58" s="29">
        <f>$B58-1.5*$D58</f>
        <v>6.9889709658344552</v>
      </c>
      <c r="F58" s="29">
        <f>$C58+1.5*$D58</f>
        <v>8.6370449247628969</v>
      </c>
    </row>
    <row r="59" spans="1:6" x14ac:dyDescent="0.25">
      <c r="A59" s="25">
        <f>$A$16</f>
        <v>800</v>
      </c>
      <c r="B59" s="32">
        <f>IF(OR(B$16&gt;$F61,B$16&lt;$E61),1,0)</f>
        <v>0</v>
      </c>
      <c r="C59" s="32">
        <f>IF(OR(C$16&gt;$F61,C$16&lt;$E61),1,0)</f>
        <v>0</v>
      </c>
      <c r="D59" s="30">
        <f>IF(OR(D$16&gt;$F61,D$16&lt;$E61),1,0)</f>
        <v>0</v>
      </c>
      <c r="E59" s="31">
        <f>IF(OR(E$16&gt;$F61,E$16&lt;$E61),1,0)</f>
        <v>0</v>
      </c>
      <c r="F59" s="31">
        <f>IF(OR(F$16&gt;$F61,F$16&lt;$E61),1,0)</f>
        <v>1</v>
      </c>
    </row>
    <row r="60" spans="1:6" x14ac:dyDescent="0.25">
      <c r="A60" s="27"/>
      <c r="B60" t="s">
        <v>90</v>
      </c>
      <c r="C60" t="s">
        <v>91</v>
      </c>
      <c r="D60" t="s">
        <v>92</v>
      </c>
      <c r="E60" t="s">
        <v>93</v>
      </c>
      <c r="F60" t="s">
        <v>94</v>
      </c>
    </row>
    <row r="61" spans="1:6" ht="15.75" thickBot="1" x14ac:dyDescent="0.3">
      <c r="A61" s="28"/>
      <c r="B61" s="29">
        <f>QUARTILE($B$16:$F$16,1)</f>
        <v>8.0079768415118089</v>
      </c>
      <c r="C61" s="29">
        <f>QUARTILE($B$16:$F$16,3)</f>
        <v>8.4451243815735459</v>
      </c>
      <c r="D61" s="29">
        <f>$C61-$B61</f>
        <v>0.43714754006173706</v>
      </c>
      <c r="E61" s="29">
        <f>$B61-1.5*$D61</f>
        <v>7.3522555314192033</v>
      </c>
      <c r="F61" s="29">
        <f>$C61+1.5*$D61</f>
        <v>9.1008456916661515</v>
      </c>
    </row>
    <row r="62" spans="1:6" x14ac:dyDescent="0.25">
      <c r="A62" s="25">
        <f>$A$17</f>
        <v>900</v>
      </c>
      <c r="B62" s="32">
        <f>IF(OR(B$17&gt;$F64,B$17&lt;$E64),1,0)</f>
        <v>0</v>
      </c>
      <c r="C62" s="32">
        <f>IF(OR(C$17&gt;$F64,C$17&lt;$E64),1,0)</f>
        <v>0</v>
      </c>
      <c r="D62" s="30">
        <f>IF(OR(D$17&gt;$F64,D$17&lt;$E64),1,0)</f>
        <v>0</v>
      </c>
      <c r="E62" s="31">
        <f>IF(OR(E$17&gt;$F64,E$17&lt;$E64),1,0)</f>
        <v>0</v>
      </c>
      <c r="F62" s="31">
        <f>IF(OR(F$17&gt;$F64,F$17&lt;$E64),1,0)</f>
        <v>1</v>
      </c>
    </row>
    <row r="63" spans="1:6" x14ac:dyDescent="0.25">
      <c r="A63" s="27"/>
      <c r="B63" t="s">
        <v>90</v>
      </c>
      <c r="C63" t="s">
        <v>91</v>
      </c>
      <c r="D63" t="s">
        <v>92</v>
      </c>
      <c r="E63" t="s">
        <v>93</v>
      </c>
      <c r="F63" t="s">
        <v>94</v>
      </c>
    </row>
    <row r="64" spans="1:6" ht="15.75" thickBot="1" x14ac:dyDescent="0.3">
      <c r="A64" s="28"/>
      <c r="B64" s="29">
        <f>QUARTILE($B$17:$F$17,1)</f>
        <v>8.3262136348543994</v>
      </c>
      <c r="C64" s="29">
        <f>QUARTILE($B$17:$F$17,3)</f>
        <v>8.7869659129909561</v>
      </c>
      <c r="D64" s="29">
        <f>$C64-$B64</f>
        <v>0.46075227813655673</v>
      </c>
      <c r="E64" s="29">
        <f>$B64-1.5*$D64</f>
        <v>7.6350852176495643</v>
      </c>
      <c r="F64" s="29">
        <f>$C64+1.5*$D64</f>
        <v>9.4780943301957912</v>
      </c>
    </row>
    <row r="65" spans="1:6" x14ac:dyDescent="0.25">
      <c r="A65" s="25">
        <f>$A$18</f>
        <v>1000</v>
      </c>
      <c r="B65" s="32">
        <f>IF(OR(B$18&gt;$F67,B$18&lt;$E67),1,0)</f>
        <v>0</v>
      </c>
      <c r="C65" s="32">
        <f>IF(OR(C$18&gt;$F67,C$18&lt;$E67),1,0)</f>
        <v>0</v>
      </c>
      <c r="D65" s="30">
        <f>IF(OR(D$18&gt;$F67,D$18&lt;$E67),1,0)</f>
        <v>0</v>
      </c>
      <c r="E65" s="31">
        <f>IF(OR(E$18&gt;$F67,E$18&lt;$E67),1,0)</f>
        <v>0</v>
      </c>
      <c r="F65" s="32">
        <f>IF(OR(F$18&gt;$F67,F$18&lt;$E67),1,0)</f>
        <v>1</v>
      </c>
    </row>
    <row r="66" spans="1:6" x14ac:dyDescent="0.25">
      <c r="A66" s="27"/>
      <c r="B66" t="s">
        <v>90</v>
      </c>
      <c r="C66" t="s">
        <v>91</v>
      </c>
      <c r="D66" t="s">
        <v>92</v>
      </c>
      <c r="E66" t="s">
        <v>93</v>
      </c>
      <c r="F66" t="s">
        <v>94</v>
      </c>
    </row>
    <row r="67" spans="1:6" ht="15.75" thickBot="1" x14ac:dyDescent="0.3">
      <c r="A67" s="28"/>
      <c r="B67" s="29">
        <f>QUARTILE($B$18:$F$18,1)</f>
        <v>8.5813415778443964</v>
      </c>
      <c r="C67" s="29">
        <f>QUARTILE($B$18:$F$18,3)</f>
        <v>9.0641939283678354</v>
      </c>
      <c r="D67" s="29">
        <f>$C67-$B67</f>
        <v>0.482852350523439</v>
      </c>
      <c r="E67" s="29">
        <f>$B67-1.5*$D67</f>
        <v>7.8570630520592379</v>
      </c>
      <c r="F67" s="29">
        <f>$C67+1.5*$D67</f>
        <v>9.7884724541529948</v>
      </c>
    </row>
    <row r="68" spans="1:6" x14ac:dyDescent="0.25">
      <c r="A68" s="25">
        <f>$A$19</f>
        <v>1500</v>
      </c>
      <c r="B68" s="32">
        <f>IF(OR(B$19&gt;$F70,B$19&lt;$E70),1,0)</f>
        <v>0</v>
      </c>
      <c r="C68" s="32">
        <f>IF(OR(C$19&gt;$F70,C$19&lt;$E70),1,0)</f>
        <v>0</v>
      </c>
      <c r="D68" s="30">
        <f>IF(OR(D$19&gt;$F70,D$19&lt;$E70),1,0)</f>
        <v>0</v>
      </c>
      <c r="E68" s="31">
        <f>IF(OR(E$19&gt;$F70,E$19&lt;$E70),1,0)</f>
        <v>0</v>
      </c>
      <c r="F68" s="32">
        <f>IF(OR(F$19&gt;$F70,F$19&lt;$E70),1,0)</f>
        <v>1</v>
      </c>
    </row>
    <row r="69" spans="1:6" x14ac:dyDescent="0.25">
      <c r="A69" s="27"/>
      <c r="B69" t="s">
        <v>90</v>
      </c>
      <c r="C69" t="s">
        <v>91</v>
      </c>
      <c r="D69" t="s">
        <v>92</v>
      </c>
      <c r="E69" t="s">
        <v>93</v>
      </c>
      <c r="F69" t="s">
        <v>94</v>
      </c>
    </row>
    <row r="70" spans="1:6" ht="15.75" thickBot="1" x14ac:dyDescent="0.3">
      <c r="A70" s="28"/>
      <c r="B70" s="29">
        <f>QUARTILE($B$19:$F$19,1)</f>
        <v>9.3123468713541442</v>
      </c>
      <c r="C70" s="29">
        <f>QUARTILE($B$19:$F$19,3)</f>
        <v>9.8844404247607454</v>
      </c>
      <c r="D70" s="29">
        <f>$C70-$B70</f>
        <v>0.57209355340660117</v>
      </c>
      <c r="E70" s="29">
        <f>$B70-1.5*$D70</f>
        <v>8.4542065412442433</v>
      </c>
      <c r="F70" s="29">
        <f>$C70+1.5*$D70</f>
        <v>10.742580754870648</v>
      </c>
    </row>
    <row r="71" spans="1:6" x14ac:dyDescent="0.25">
      <c r="A71" s="25">
        <f>$A$20</f>
        <v>2000</v>
      </c>
      <c r="B71" s="32">
        <f>IF(OR(B$20&gt;$F73,B$20&lt;$E73),1,0)</f>
        <v>0</v>
      </c>
      <c r="C71" s="32">
        <f>IF(OR(C$20&gt;$F73,C$20&lt;$E73),1,0)</f>
        <v>0</v>
      </c>
      <c r="D71" s="30">
        <f>IF(OR(D$20&gt;$F73,D$20&lt;$E73),1,0)</f>
        <v>0</v>
      </c>
      <c r="E71" s="31">
        <f>IF(OR(E$20&gt;$F73,E$20&lt;$E73),1,0)</f>
        <v>0</v>
      </c>
      <c r="F71" s="32">
        <f>IF(OR(F$20&gt;$F73,F$20&lt;$E73),1,0)</f>
        <v>1</v>
      </c>
    </row>
    <row r="72" spans="1:6" x14ac:dyDescent="0.25">
      <c r="A72" s="27"/>
      <c r="B72" t="s">
        <v>90</v>
      </c>
      <c r="C72" t="s">
        <v>91</v>
      </c>
      <c r="D72" t="s">
        <v>92</v>
      </c>
      <c r="E72" t="s">
        <v>93</v>
      </c>
      <c r="F72" t="s">
        <v>94</v>
      </c>
    </row>
    <row r="73" spans="1:6" ht="15.75" thickBot="1" x14ac:dyDescent="0.3">
      <c r="A73" s="28"/>
      <c r="B73" s="29">
        <f>QUARTILE($B$20:$F$20,1)</f>
        <v>9.6290138110254251</v>
      </c>
      <c r="C73" s="29">
        <f>QUARTILE($B$20:$F$20,3)</f>
        <v>10.262033946730744</v>
      </c>
      <c r="D73" s="29">
        <f>$C73-$B73</f>
        <v>0.63302013570531912</v>
      </c>
      <c r="E73" s="29">
        <f>$B73-1.5*$D73</f>
        <v>8.6794836074674464</v>
      </c>
      <c r="F73" s="29">
        <f>$C73+1.5*$D73</f>
        <v>11.211564150288723</v>
      </c>
    </row>
    <row r="74" spans="1:6" x14ac:dyDescent="0.25">
      <c r="A74" s="25">
        <v>3000</v>
      </c>
      <c r="B74" s="32">
        <f>IF(OR(B$21&gt;$F76,B$21&lt;$E76),1,0)</f>
        <v>0</v>
      </c>
      <c r="C74" s="32">
        <f>IF(OR(C$21&gt;$F76,C$21&lt;$E76),1,0)</f>
        <v>0</v>
      </c>
      <c r="D74" s="35">
        <f>IF(OR(D$21&gt;$F76,D$21&lt;$E76),1,0)</f>
        <v>1</v>
      </c>
      <c r="E74" s="31">
        <f>IF(OR(E$21&gt;$F76,E$21&lt;$E76),1,0)</f>
        <v>0</v>
      </c>
      <c r="F74" s="34">
        <f>IF(OR(F$21&gt;$F76,F$21&lt;$E76),1,0)</f>
        <v>1</v>
      </c>
    </row>
    <row r="75" spans="1:6" x14ac:dyDescent="0.25">
      <c r="A75" s="27"/>
      <c r="B75" t="s">
        <v>90</v>
      </c>
      <c r="C75" t="s">
        <v>91</v>
      </c>
      <c r="D75" t="s">
        <v>92</v>
      </c>
      <c r="E75" t="s">
        <v>93</v>
      </c>
      <c r="F75" t="s">
        <v>94</v>
      </c>
    </row>
    <row r="76" spans="1:6" ht="15.75" thickBot="1" x14ac:dyDescent="0.3">
      <c r="A76" s="28"/>
      <c r="B76" s="29">
        <f>QUARTILE($B$21:$F$21,1)</f>
        <v>9.7421233913483327</v>
      </c>
      <c r="C76" s="29">
        <f>QUARTILE($B$21:$F$21,3)</f>
        <v>10.856655828540596</v>
      </c>
      <c r="D76" s="29">
        <f>$C76-$B76</f>
        <v>1.1145324371922634</v>
      </c>
      <c r="E76" s="29">
        <f>$B76-1.5*$D76</f>
        <v>8.0703247355599377</v>
      </c>
      <c r="F76" s="29">
        <f>$C76+1.5*$D76</f>
        <v>12.528454484328991</v>
      </c>
    </row>
    <row r="77" spans="1:6" x14ac:dyDescent="0.25">
      <c r="A77" s="25">
        <v>4000</v>
      </c>
      <c r="B77" s="32">
        <f>IF(OR(B$22&gt;$F79,B$22&lt;$E79),1,0)</f>
        <v>0</v>
      </c>
      <c r="C77" s="34">
        <f>IF(OR(C$22&gt;$F79,C$22&lt;$E79),1,0)</f>
        <v>1</v>
      </c>
      <c r="D77" s="35">
        <f>IF(OR(D$22&gt;$F28,D$22&lt;$E28),1,0)</f>
        <v>1</v>
      </c>
      <c r="E77" s="33">
        <f>IF(OR(E$22&gt;$F79,E$22&lt;$E79),1,0)</f>
        <v>1</v>
      </c>
      <c r="F77" s="33">
        <f>IF(OR(F$22&gt;$F79,F$22&lt;$E79),1,0)</f>
        <v>1</v>
      </c>
    </row>
    <row r="78" spans="1:6" x14ac:dyDescent="0.25">
      <c r="A78" s="27"/>
      <c r="B78" t="s">
        <v>90</v>
      </c>
      <c r="C78" t="s">
        <v>91</v>
      </c>
      <c r="D78" t="s">
        <v>92</v>
      </c>
      <c r="E78" t="s">
        <v>93</v>
      </c>
      <c r="F78" t="s">
        <v>94</v>
      </c>
    </row>
    <row r="79" spans="1:6" ht="15.75" thickBot="1" x14ac:dyDescent="0.3">
      <c r="A79" s="28"/>
      <c r="B79" s="29">
        <f>QUARTILE($B$22:$F$22,1)</f>
        <v>11.650282230214426</v>
      </c>
      <c r="C79" s="29">
        <f>QUARTILE($B$22:$F$22,3)</f>
        <v>11.650282230214426</v>
      </c>
      <c r="D79" s="29">
        <f>$C79-$B79</f>
        <v>0</v>
      </c>
      <c r="E79" s="29">
        <f>$B79-1.5*$D79</f>
        <v>11.650282230214426</v>
      </c>
      <c r="F79" s="29">
        <f>$C79+1.5*$D79</f>
        <v>11.650282230214426</v>
      </c>
    </row>
    <row r="80" spans="1:6" x14ac:dyDescent="0.25">
      <c r="A80" s="25">
        <v>5000</v>
      </c>
      <c r="B80" s="32">
        <f>IF(OR(B$23&gt;$F82,B$23&lt;$E82),1,0)</f>
        <v>0</v>
      </c>
      <c r="C80" s="34">
        <f>IF(OR(C$23&gt;$F82,C$23&lt;$E82),1,0)</f>
        <v>1</v>
      </c>
      <c r="D80" s="35">
        <f>IF(OR(D$23&gt;$F28,D$23&lt;$E28),1,0)</f>
        <v>1</v>
      </c>
      <c r="E80" s="33">
        <f>IF(OR(E$23&gt;$F82,E$23&lt;$E82),1,0)</f>
        <v>1</v>
      </c>
      <c r="F80" s="33">
        <f>IF(OR(F$23&gt;$F82,F$23&lt;$E82),1,0)</f>
        <v>1</v>
      </c>
    </row>
    <row r="81" spans="1:6" x14ac:dyDescent="0.25">
      <c r="A81" s="27"/>
      <c r="B81" t="s">
        <v>90</v>
      </c>
      <c r="C81" t="s">
        <v>91</v>
      </c>
      <c r="D81" t="s">
        <v>92</v>
      </c>
      <c r="E81" t="s">
        <v>93</v>
      </c>
      <c r="F81" t="s">
        <v>94</v>
      </c>
    </row>
    <row r="82" spans="1:6" ht="15.75" thickBot="1" x14ac:dyDescent="0.3">
      <c r="A82" s="28"/>
      <c r="B82" s="29">
        <f>QUARTILE($B$23:$F$23,1)</f>
        <v>11.802088700866985</v>
      </c>
      <c r="C82" s="29">
        <f>QUARTILE($B$23:$F$23,3)</f>
        <v>11.802088700866985</v>
      </c>
      <c r="D82" s="29">
        <f>$C82-$B82</f>
        <v>0</v>
      </c>
      <c r="E82" s="29">
        <f>$B82-1.5*$D82</f>
        <v>11.802088700866985</v>
      </c>
      <c r="F82" s="29">
        <f>$C82+1.5*$D82</f>
        <v>11.802088700866985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6BC3-41B3-42A5-98BC-7DAA7EBECA5E}">
  <dimension ref="A3:N82"/>
  <sheetViews>
    <sheetView zoomScale="80" zoomScaleNormal="80" workbookViewId="0">
      <selection activeCell="K36" sqref="K36"/>
    </sheetView>
  </sheetViews>
  <sheetFormatPr defaultRowHeight="15" x14ac:dyDescent="0.25"/>
  <cols>
    <col min="6" max="6" width="9.28515625" customWidth="1"/>
    <col min="7" max="7" width="17.5703125" customWidth="1"/>
    <col min="8" max="8" width="17.85546875" customWidth="1"/>
    <col min="9" max="9" width="19.5703125" customWidth="1"/>
    <col min="10" max="10" width="14" customWidth="1"/>
    <col min="11" max="11" width="18.140625" customWidth="1"/>
    <col min="12" max="12" width="34.140625" customWidth="1"/>
    <col min="13" max="13" width="31.140625" customWidth="1"/>
    <col min="14" max="14" width="18" customWidth="1"/>
  </cols>
  <sheetData>
    <row r="3" spans="1:14" x14ac:dyDescent="0.25">
      <c r="A3" s="18" t="s">
        <v>34</v>
      </c>
      <c r="B3" s="19" t="s">
        <v>95</v>
      </c>
      <c r="C3" s="20" t="s">
        <v>96</v>
      </c>
      <c r="D3" s="19" t="s">
        <v>97</v>
      </c>
      <c r="E3" s="19" t="s">
        <v>98</v>
      </c>
      <c r="F3" s="36" t="s">
        <v>99</v>
      </c>
      <c r="G3" s="21" t="s">
        <v>82</v>
      </c>
      <c r="H3" s="21" t="s">
        <v>83</v>
      </c>
      <c r="I3" s="21" t="s">
        <v>84</v>
      </c>
      <c r="J3" s="22" t="s">
        <v>85</v>
      </c>
      <c r="K3" s="23" t="s">
        <v>86</v>
      </c>
      <c r="L3" s="23" t="s">
        <v>87</v>
      </c>
      <c r="M3" s="23" t="s">
        <v>88</v>
      </c>
      <c r="N3" s="24" t="s">
        <v>89</v>
      </c>
    </row>
    <row r="4" spans="1:14" x14ac:dyDescent="0.25">
      <c r="A4">
        <v>0</v>
      </c>
      <c r="B4">
        <f>'003'!O4</f>
        <v>0</v>
      </c>
      <c r="C4">
        <f>'006'!O4</f>
        <v>0</v>
      </c>
      <c r="D4">
        <f>'007'!O4</f>
        <v>0</v>
      </c>
      <c r="E4">
        <f>'012'!O4</f>
        <v>0</v>
      </c>
      <c r="G4">
        <v>0</v>
      </c>
      <c r="M4">
        <v>0</v>
      </c>
    </row>
    <row r="5" spans="1:14" x14ac:dyDescent="0.25">
      <c r="A5">
        <v>10</v>
      </c>
      <c r="B5">
        <f>'003'!O5</f>
        <v>0.21652909380943766</v>
      </c>
      <c r="C5">
        <f>'006'!O5</f>
        <v>0.15781880928588349</v>
      </c>
      <c r="D5">
        <f>'007'!O5</f>
        <v>0.17952184549574132</v>
      </c>
      <c r="E5">
        <f>'012'!O5</f>
        <v>0.18211182421670427</v>
      </c>
      <c r="G5">
        <f t="shared" ref="G5:G23" si="0">AVERAGE(B5:F5)</f>
        <v>0.18399539320194169</v>
      </c>
      <c r="H5">
        <f t="shared" ref="H5:H21" si="1">_xlfn.STDEV.P(B5:F5)</f>
        <v>2.1019132248587157E-2</v>
      </c>
      <c r="I5">
        <v>5</v>
      </c>
      <c r="J5">
        <v>1.96</v>
      </c>
      <c r="K5">
        <f>G5-J5*(H5/(I5^0.5))</f>
        <v>0.16557131145586934</v>
      </c>
      <c r="L5">
        <f>G5+J5*(H5/(I5^0.5))</f>
        <v>0.20241947494801404</v>
      </c>
      <c r="M5">
        <f>J5*(H5/(I5^0.5))</f>
        <v>1.8424081746072365E-2</v>
      </c>
      <c r="N5">
        <f>M5/G5*100</f>
        <v>10.013338608891832</v>
      </c>
    </row>
    <row r="6" spans="1:14" x14ac:dyDescent="0.25">
      <c r="A6">
        <v>30</v>
      </c>
      <c r="B6">
        <f>'003'!O6</f>
        <v>0.64258756951586304</v>
      </c>
      <c r="C6">
        <f>'006'!O6</f>
        <v>0.47262412111364527</v>
      </c>
      <c r="D6">
        <f>'007'!O6</f>
        <v>0.53756914613378881</v>
      </c>
      <c r="E6">
        <f>'012'!O6</f>
        <v>0.54543024344173452</v>
      </c>
      <c r="G6">
        <f t="shared" si="0"/>
        <v>0.54955277005125791</v>
      </c>
      <c r="H6">
        <f t="shared" si="1"/>
        <v>6.0692036970733124E-2</v>
      </c>
      <c r="I6">
        <v>5</v>
      </c>
      <c r="J6">
        <v>1.96</v>
      </c>
      <c r="K6">
        <f>G6-J6*(H6/(I6^0.5))</f>
        <v>0.49635385407033794</v>
      </c>
      <c r="L6">
        <f t="shared" ref="L6:L23" si="2">G6+J6*(H6/(I6^0.5))</f>
        <v>0.60275168603217788</v>
      </c>
      <c r="M6">
        <f t="shared" ref="M6:M23" si="3">J6*(H6/(I6^0.5))</f>
        <v>5.3198915980919949E-2</v>
      </c>
      <c r="N6">
        <f t="shared" ref="N6:N23" si="4">M6/G6*100</f>
        <v>9.6804017521298231</v>
      </c>
    </row>
    <row r="7" spans="1:14" x14ac:dyDescent="0.25">
      <c r="A7">
        <v>50</v>
      </c>
      <c r="B7">
        <f>'003'!O7</f>
        <v>1.056437921552337</v>
      </c>
      <c r="C7">
        <f>'006'!O7</f>
        <v>0.78518466125663011</v>
      </c>
      <c r="D7">
        <f>'007'!O7</f>
        <v>0.89292839823499615</v>
      </c>
      <c r="E7">
        <f>'012'!O7</f>
        <v>0.90624723317664302</v>
      </c>
      <c r="G7">
        <f t="shared" si="0"/>
        <v>0.91019955355515147</v>
      </c>
      <c r="H7">
        <f t="shared" si="1"/>
        <v>9.6602661988890462E-2</v>
      </c>
      <c r="I7">
        <v>5</v>
      </c>
      <c r="J7">
        <v>1.96</v>
      </c>
      <c r="K7">
        <f t="shared" ref="K7:K22" si="5">G7-J7*(H7/(I7^0.5))</f>
        <v>0.82552358690143057</v>
      </c>
      <c r="L7">
        <f t="shared" si="2"/>
        <v>0.99487552020887238</v>
      </c>
      <c r="M7">
        <f t="shared" si="3"/>
        <v>8.4675966653720888E-2</v>
      </c>
      <c r="N7">
        <f t="shared" si="4"/>
        <v>9.3030112268221572</v>
      </c>
    </row>
    <row r="8" spans="1:14" x14ac:dyDescent="0.25">
      <c r="A8">
        <v>70</v>
      </c>
      <c r="B8">
        <f>'003'!O8</f>
        <v>1.4563256070304302</v>
      </c>
      <c r="C8">
        <f>'006'!O8</f>
        <v>1.0942911826520021</v>
      </c>
      <c r="D8">
        <f>'007'!O8</f>
        <v>1.2441529811210608</v>
      </c>
      <c r="E8">
        <f>'012'!O8</f>
        <v>1.2631529172416558</v>
      </c>
      <c r="G8">
        <f t="shared" si="0"/>
        <v>1.2644806720112871</v>
      </c>
      <c r="H8">
        <f t="shared" si="1"/>
        <v>0.12863117752952757</v>
      </c>
      <c r="I8">
        <v>5</v>
      </c>
      <c r="J8">
        <v>1.96</v>
      </c>
      <c r="K8">
        <f t="shared" si="5"/>
        <v>1.1517304736743952</v>
      </c>
      <c r="L8">
        <f t="shared" si="2"/>
        <v>1.377230870348179</v>
      </c>
      <c r="M8">
        <f t="shared" si="3"/>
        <v>0.1127501983368919</v>
      </c>
      <c r="N8">
        <f t="shared" si="4"/>
        <v>8.916719791181233</v>
      </c>
    </row>
    <row r="9" spans="1:14" x14ac:dyDescent="0.25">
      <c r="A9">
        <v>100</v>
      </c>
      <c r="B9">
        <f>'003'!O9</f>
        <v>2.0281616234116639</v>
      </c>
      <c r="C9">
        <f>'006'!O9</f>
        <v>1.5491534218688814</v>
      </c>
      <c r="D9">
        <f>'007'!O9</f>
        <v>1.7604696437916256</v>
      </c>
      <c r="E9">
        <f>'012'!O9</f>
        <v>1.7884249345762191</v>
      </c>
      <c r="G9">
        <f t="shared" si="0"/>
        <v>1.7815524059120975</v>
      </c>
      <c r="H9">
        <f t="shared" si="1"/>
        <v>0.16979186409317076</v>
      </c>
      <c r="I9">
        <v>5</v>
      </c>
      <c r="J9">
        <v>1.96</v>
      </c>
      <c r="K9">
        <f t="shared" si="5"/>
        <v>1.6327232750577132</v>
      </c>
      <c r="L9">
        <f t="shared" si="2"/>
        <v>1.9303815367664818</v>
      </c>
      <c r="M9">
        <f t="shared" si="3"/>
        <v>0.14882913085438432</v>
      </c>
      <c r="N9">
        <f t="shared" si="4"/>
        <v>8.3539013705402958</v>
      </c>
    </row>
    <row r="10" spans="1:14" x14ac:dyDescent="0.25">
      <c r="A10">
        <v>200</v>
      </c>
      <c r="B10">
        <f>'003'!O10</f>
        <v>3.688677409558569</v>
      </c>
      <c r="C10">
        <f>'006'!O10</f>
        <v>2.9563763696853935</v>
      </c>
      <c r="D10">
        <f>'007'!O10</f>
        <v>3.3517493714116582</v>
      </c>
      <c r="E10">
        <f>'012'!O10</f>
        <v>3.4123646098210694</v>
      </c>
      <c r="G10">
        <f t="shared" si="0"/>
        <v>3.3522919401191729</v>
      </c>
      <c r="H10">
        <f t="shared" si="1"/>
        <v>0.26149251566143505</v>
      </c>
      <c r="I10">
        <v>4</v>
      </c>
      <c r="J10">
        <v>1.96</v>
      </c>
      <c r="K10">
        <f t="shared" si="5"/>
        <v>3.0960292747709666</v>
      </c>
      <c r="L10">
        <f t="shared" si="2"/>
        <v>3.6085546054673792</v>
      </c>
      <c r="M10">
        <f t="shared" si="3"/>
        <v>0.25626266534820635</v>
      </c>
      <c r="N10">
        <f t="shared" si="4"/>
        <v>7.6444017981052186</v>
      </c>
    </row>
    <row r="11" spans="1:14" x14ac:dyDescent="0.25">
      <c r="A11">
        <v>300</v>
      </c>
      <c r="B11">
        <f>'003'!O11</f>
        <v>5.0074368327177465</v>
      </c>
      <c r="C11">
        <f>'006'!O11</f>
        <v>4.1521209696508281</v>
      </c>
      <c r="D11">
        <f>'007'!O11</f>
        <v>4.6933704874274573</v>
      </c>
      <c r="E11">
        <f>'012'!O11</f>
        <v>4.7871566723189849</v>
      </c>
      <c r="G11">
        <f t="shared" si="0"/>
        <v>4.6600212405287547</v>
      </c>
      <c r="H11">
        <f t="shared" si="1"/>
        <v>0.31461717576250425</v>
      </c>
      <c r="I11">
        <v>4</v>
      </c>
      <c r="J11">
        <v>1.96</v>
      </c>
      <c r="K11">
        <f t="shared" si="5"/>
        <v>4.3516964082815006</v>
      </c>
      <c r="L11">
        <f t="shared" si="2"/>
        <v>4.9683460727760087</v>
      </c>
      <c r="M11">
        <f t="shared" si="3"/>
        <v>0.30832483224725415</v>
      </c>
      <c r="N11">
        <f t="shared" si="4"/>
        <v>6.6163825513436869</v>
      </c>
    </row>
    <row r="12" spans="1:14" x14ac:dyDescent="0.25">
      <c r="A12">
        <v>400</v>
      </c>
      <c r="B12">
        <f>'003'!O12</f>
        <v>6.0517037198426431</v>
      </c>
      <c r="C12">
        <f>'006'!O12</f>
        <v>5.1252770095069131</v>
      </c>
      <c r="D12">
        <f>'007'!O12</f>
        <v>5.7756599599670446</v>
      </c>
      <c r="E12">
        <f>'012'!O12</f>
        <v>5.8987555478275624</v>
      </c>
      <c r="G12">
        <f t="shared" si="0"/>
        <v>5.7128490592860404</v>
      </c>
      <c r="H12">
        <f t="shared" si="1"/>
        <v>0.35304738576739725</v>
      </c>
      <c r="I12">
        <v>4</v>
      </c>
      <c r="J12">
        <v>1.96</v>
      </c>
      <c r="K12">
        <f t="shared" si="5"/>
        <v>5.3668626212339907</v>
      </c>
      <c r="L12">
        <f t="shared" si="2"/>
        <v>6.05883549733809</v>
      </c>
      <c r="M12">
        <f t="shared" si="3"/>
        <v>0.34598643805204932</v>
      </c>
      <c r="N12">
        <f t="shared" si="4"/>
        <v>6.0562853046092684</v>
      </c>
    </row>
    <row r="13" spans="1:14" x14ac:dyDescent="0.25">
      <c r="A13">
        <v>500</v>
      </c>
      <c r="B13">
        <f>'003'!O13</f>
        <v>6.884329408256761</v>
      </c>
      <c r="C13">
        <f>'006'!O13</f>
        <v>5.8985867180534477</v>
      </c>
      <c r="D13">
        <f>'007'!O13</f>
        <v>6.6283515019602985</v>
      </c>
      <c r="E13">
        <f>'012'!O13</f>
        <v>6.7749265423353107</v>
      </c>
      <c r="G13">
        <f t="shared" si="0"/>
        <v>6.5465485426514549</v>
      </c>
      <c r="H13">
        <f t="shared" si="1"/>
        <v>0.3849671006062505</v>
      </c>
      <c r="I13">
        <v>4</v>
      </c>
      <c r="J13">
        <v>1.96</v>
      </c>
      <c r="K13">
        <f t="shared" si="5"/>
        <v>6.1692807840573298</v>
      </c>
      <c r="L13">
        <f t="shared" si="2"/>
        <v>6.92381630124558</v>
      </c>
      <c r="M13">
        <f t="shared" si="3"/>
        <v>0.37726775859412548</v>
      </c>
      <c r="N13">
        <f t="shared" si="4"/>
        <v>5.7628497846794566</v>
      </c>
    </row>
    <row r="14" spans="1:14" x14ac:dyDescent="0.25">
      <c r="A14">
        <v>600</v>
      </c>
      <c r="B14">
        <f>'003'!O14</f>
        <v>7.5553372443089506</v>
      </c>
      <c r="C14">
        <f>'006'!O14</f>
        <v>6.5070440573579642</v>
      </c>
      <c r="D14">
        <f>'007'!O14</f>
        <v>7.2941303622875493</v>
      </c>
      <c r="E14">
        <f>'012'!O14</f>
        <v>7.4583639494486613</v>
      </c>
      <c r="G14">
        <f t="shared" si="0"/>
        <v>7.2037189033507811</v>
      </c>
      <c r="H14">
        <f t="shared" si="1"/>
        <v>0.41291937171394522</v>
      </c>
      <c r="I14">
        <v>4</v>
      </c>
      <c r="J14">
        <v>1.96</v>
      </c>
      <c r="K14">
        <f t="shared" si="5"/>
        <v>6.7990579190711147</v>
      </c>
      <c r="L14">
        <f t="shared" si="2"/>
        <v>7.6083798876304476</v>
      </c>
      <c r="M14">
        <f t="shared" si="3"/>
        <v>0.40466098427966629</v>
      </c>
      <c r="N14">
        <f>M14/G14*100</f>
        <v>5.6173899857674883</v>
      </c>
    </row>
    <row r="15" spans="1:14" x14ac:dyDescent="0.25">
      <c r="A15">
        <v>700</v>
      </c>
      <c r="B15">
        <f>'003'!O15</f>
        <v>8.1025437129455185</v>
      </c>
      <c r="C15">
        <f>'006'!O15</f>
        <v>6.9854642315595177</v>
      </c>
      <c r="D15">
        <f>'007'!O15</f>
        <v>7.8141768567236563</v>
      </c>
      <c r="E15">
        <f>'012'!O15</f>
        <v>7.991175015904469</v>
      </c>
      <c r="G15">
        <f t="shared" si="0"/>
        <v>7.7233399542832899</v>
      </c>
      <c r="H15">
        <f t="shared" si="1"/>
        <v>0.43824737188238572</v>
      </c>
      <c r="I15">
        <v>4</v>
      </c>
      <c r="J15">
        <v>1.96</v>
      </c>
      <c r="K15">
        <f t="shared" si="5"/>
        <v>7.2938575298385517</v>
      </c>
      <c r="L15">
        <f t="shared" si="2"/>
        <v>8.1528223787280272</v>
      </c>
      <c r="M15">
        <f t="shared" si="3"/>
        <v>0.429482424444738</v>
      </c>
      <c r="N15">
        <f t="shared" si="4"/>
        <v>5.5608380180980017</v>
      </c>
    </row>
    <row r="16" spans="1:14" x14ac:dyDescent="0.25">
      <c r="A16">
        <v>800</v>
      </c>
      <c r="B16">
        <f>'003'!O16</f>
        <v>8.5540955862003827</v>
      </c>
      <c r="C16">
        <f>'006'!O16</f>
        <v>7.363478982001844</v>
      </c>
      <c r="D16">
        <f>'007'!O16</f>
        <v>8.2228094613484632</v>
      </c>
      <c r="E16">
        <f>'012'!O16</f>
        <v>8.4088006466979337</v>
      </c>
      <c r="G16">
        <f t="shared" si="0"/>
        <v>8.1372961690621555</v>
      </c>
      <c r="H16">
        <f t="shared" si="1"/>
        <v>0.46193668333728904</v>
      </c>
      <c r="I16">
        <v>4</v>
      </c>
      <c r="J16">
        <v>1.96</v>
      </c>
      <c r="K16">
        <f t="shared" si="5"/>
        <v>7.6845982193916118</v>
      </c>
      <c r="L16">
        <f t="shared" si="2"/>
        <v>8.5899941187326991</v>
      </c>
      <c r="M16">
        <f t="shared" si="3"/>
        <v>0.45269794967054328</v>
      </c>
      <c r="N16">
        <f t="shared" si="4"/>
        <v>5.5632477946629528</v>
      </c>
    </row>
    <row r="17" spans="1:14" x14ac:dyDescent="0.25">
      <c r="A17">
        <v>900</v>
      </c>
      <c r="B17">
        <f>'003'!O17</f>
        <v>8.9309315650497449</v>
      </c>
      <c r="C17">
        <f>'006'!O17</f>
        <v>7.6645501574457109</v>
      </c>
      <c r="D17">
        <f>'007'!O17</f>
        <v>8.5467681273239631</v>
      </c>
      <c r="E17">
        <f>'012'!O17</f>
        <v>8.7389773623046931</v>
      </c>
      <c r="G17">
        <f t="shared" si="0"/>
        <v>8.4703068030310291</v>
      </c>
      <c r="H17">
        <f t="shared" si="1"/>
        <v>0.48462592450846959</v>
      </c>
      <c r="I17">
        <v>4</v>
      </c>
      <c r="J17">
        <v>1.96</v>
      </c>
      <c r="K17">
        <f t="shared" si="5"/>
        <v>7.9953733970127292</v>
      </c>
      <c r="L17">
        <f t="shared" si="2"/>
        <v>8.945240209049329</v>
      </c>
      <c r="M17">
        <f t="shared" si="3"/>
        <v>0.4749334060183002</v>
      </c>
      <c r="N17">
        <f t="shared" si="4"/>
        <v>5.6070390018027352</v>
      </c>
    </row>
    <row r="18" spans="1:14" x14ac:dyDescent="0.25">
      <c r="A18">
        <v>1000</v>
      </c>
      <c r="B18">
        <f>'003'!O18</f>
        <v>9.2487274686869601</v>
      </c>
      <c r="C18">
        <f>'006'!O18</f>
        <v>7.9066232177582245</v>
      </c>
      <c r="D18">
        <f>'007'!O18</f>
        <v>8.8062476978731201</v>
      </c>
      <c r="E18">
        <f>'012'!O18</f>
        <v>9.0026827482614618</v>
      </c>
      <c r="G18">
        <f t="shared" si="0"/>
        <v>8.7410702831449427</v>
      </c>
      <c r="H18">
        <f t="shared" si="1"/>
        <v>0.50663273193210157</v>
      </c>
      <c r="I18">
        <v>4</v>
      </c>
      <c r="J18">
        <v>1.96</v>
      </c>
      <c r="K18">
        <f t="shared" si="5"/>
        <v>8.2445702058514829</v>
      </c>
      <c r="L18">
        <f t="shared" si="2"/>
        <v>9.2375703604384025</v>
      </c>
      <c r="M18">
        <f t="shared" si="3"/>
        <v>0.49650007729345952</v>
      </c>
      <c r="N18">
        <f t="shared" si="4"/>
        <v>5.680083344608736</v>
      </c>
    </row>
    <row r="19" spans="1:14" x14ac:dyDescent="0.25">
      <c r="A19">
        <v>1500</v>
      </c>
      <c r="B19">
        <f>'003'!O19</f>
        <v>10.282998845212392</v>
      </c>
      <c r="C19">
        <f>'006'!O19</f>
        <v>8.6039152890721677</v>
      </c>
      <c r="D19">
        <f>'007'!O19</f>
        <v>9.5484907321148018</v>
      </c>
      <c r="E19">
        <f>'012'!O19</f>
        <v>9.7515876179435299</v>
      </c>
      <c r="G19">
        <f t="shared" si="0"/>
        <v>9.5467481210857219</v>
      </c>
      <c r="H19">
        <f t="shared" si="1"/>
        <v>0.60682805102967652</v>
      </c>
      <c r="I19">
        <v>4</v>
      </c>
      <c r="J19">
        <v>1.96</v>
      </c>
      <c r="K19">
        <f t="shared" si="5"/>
        <v>8.9520566310766387</v>
      </c>
      <c r="L19">
        <f t="shared" si="2"/>
        <v>10.141439611094805</v>
      </c>
      <c r="M19">
        <f t="shared" si="3"/>
        <v>0.59469149000908295</v>
      </c>
      <c r="N19">
        <f t="shared" si="4"/>
        <v>6.2292571508784134</v>
      </c>
    </row>
    <row r="20" spans="1:14" x14ac:dyDescent="0.25">
      <c r="A20">
        <v>2000</v>
      </c>
      <c r="B20">
        <f>'003'!O20</f>
        <v>10.833501021628491</v>
      </c>
      <c r="C20">
        <f>'006'!O20</f>
        <v>8.9077872802590026</v>
      </c>
      <c r="D20">
        <f>'007'!O20</f>
        <v>9.8694226546142332</v>
      </c>
      <c r="E20">
        <f>'012'!O20</f>
        <v>10.071544921764829</v>
      </c>
      <c r="G20">
        <f t="shared" si="0"/>
        <v>9.9205639695666399</v>
      </c>
      <c r="H20">
        <f t="shared" si="1"/>
        <v>0.68640027779970614</v>
      </c>
      <c r="I20">
        <v>4</v>
      </c>
      <c r="J20">
        <v>1.96</v>
      </c>
      <c r="K20">
        <f t="shared" si="5"/>
        <v>9.2478916973229275</v>
      </c>
      <c r="L20">
        <f t="shared" si="2"/>
        <v>10.593236241810352</v>
      </c>
      <c r="M20">
        <f t="shared" si="3"/>
        <v>0.67267227224371196</v>
      </c>
      <c r="N20">
        <f t="shared" si="4"/>
        <v>6.7805849980633344</v>
      </c>
    </row>
    <row r="21" spans="1:14" x14ac:dyDescent="0.25">
      <c r="A21">
        <v>3000</v>
      </c>
      <c r="B21">
        <f>'003'!O21</f>
        <v>11.384884083521897</v>
      </c>
      <c r="C21">
        <f>'006'!O21</f>
        <v>9.1558192091373716</v>
      </c>
      <c r="E21">
        <f>'012'!O21</f>
        <v>10.328427573559296</v>
      </c>
      <c r="G21">
        <f t="shared" si="0"/>
        <v>10.289710288739521</v>
      </c>
      <c r="H21">
        <f t="shared" si="1"/>
        <v>0.91042364668381581</v>
      </c>
      <c r="I21">
        <v>3</v>
      </c>
      <c r="J21">
        <v>1.96</v>
      </c>
      <c r="K21">
        <f t="shared" si="5"/>
        <v>9.2594689472600962</v>
      </c>
      <c r="L21">
        <f t="shared" si="2"/>
        <v>11.319951630218945</v>
      </c>
      <c r="M21">
        <f>J21*(H21/(I21^0.5))</f>
        <v>1.0302413414794236</v>
      </c>
      <c r="N21">
        <f t="shared" si="4"/>
        <v>10.012345465225213</v>
      </c>
    </row>
    <row r="22" spans="1:14" x14ac:dyDescent="0.25">
      <c r="A22">
        <v>4000</v>
      </c>
      <c r="B22">
        <f>'003'!O22</f>
        <v>11.650282230214426</v>
      </c>
      <c r="G22">
        <f t="shared" si="0"/>
        <v>11.650282230214426</v>
      </c>
      <c r="I22">
        <v>1</v>
      </c>
      <c r="J22">
        <v>1.96</v>
      </c>
      <c r="K22">
        <f t="shared" si="5"/>
        <v>11.650282230214426</v>
      </c>
      <c r="L22">
        <f t="shared" si="2"/>
        <v>11.650282230214426</v>
      </c>
      <c r="M22">
        <f t="shared" si="3"/>
        <v>0</v>
      </c>
      <c r="N22">
        <f t="shared" si="4"/>
        <v>0</v>
      </c>
    </row>
    <row r="23" spans="1:14" x14ac:dyDescent="0.25">
      <c r="A23">
        <v>5000</v>
      </c>
      <c r="B23">
        <f>'003'!O23</f>
        <v>11.802088700866985</v>
      </c>
      <c r="G23">
        <f t="shared" si="0"/>
        <v>11.802088700866985</v>
      </c>
      <c r="I23">
        <v>1</v>
      </c>
      <c r="J23">
        <v>1.96</v>
      </c>
      <c r="K23">
        <f>G23-J23*(H23/(I23^0.5))</f>
        <v>11.802088700866985</v>
      </c>
      <c r="L23">
        <f t="shared" si="2"/>
        <v>11.802088700866985</v>
      </c>
      <c r="M23">
        <f t="shared" si="3"/>
        <v>0</v>
      </c>
      <c r="N23">
        <f t="shared" si="4"/>
        <v>0</v>
      </c>
    </row>
    <row r="24" spans="1:14" x14ac:dyDescent="0.25">
      <c r="M24" s="1"/>
    </row>
    <row r="25" spans="1:14" ht="15.75" thickBot="1" x14ac:dyDescent="0.3">
      <c r="A25" s="15" t="s">
        <v>34</v>
      </c>
    </row>
    <row r="26" spans="1:14" x14ac:dyDescent="0.25">
      <c r="A26" s="25">
        <f>$A$5</f>
        <v>10</v>
      </c>
      <c r="B26" s="26">
        <f>IF(OR(B$5&gt;$F28,B$5&lt;$E28),1,0)</f>
        <v>1</v>
      </c>
      <c r="C26" s="26">
        <f>IF(OR(C$5&gt;$F28,C$5&lt;$E28),1,0)</f>
        <v>0</v>
      </c>
      <c r="D26" s="26">
        <f>IF(OR(D$5&gt;$F28,D$5&lt;$E28),1,0)</f>
        <v>0</v>
      </c>
      <c r="E26" s="26">
        <f>IF(OR(E$5&gt;$F28,E$5&lt;$E28),1,0)</f>
        <v>0</v>
      </c>
      <c r="F26" s="26">
        <f>IF(OR(F$5&gt;$F28,F$5&lt;$E28),1,0)</f>
        <v>1</v>
      </c>
    </row>
    <row r="27" spans="1:14" x14ac:dyDescent="0.25">
      <c r="A27" s="27"/>
      <c r="B27" t="s">
        <v>90</v>
      </c>
      <c r="C27" t="s">
        <v>91</v>
      </c>
      <c r="D27" t="s">
        <v>92</v>
      </c>
      <c r="E27" t="s">
        <v>93</v>
      </c>
      <c r="F27" t="s">
        <v>94</v>
      </c>
    </row>
    <row r="28" spans="1:14" ht="15.75" thickBot="1" x14ac:dyDescent="0.3">
      <c r="A28" s="28"/>
      <c r="B28" s="29">
        <f>QUARTILE($B$5:$F$5,1)</f>
        <v>0.17409608644327687</v>
      </c>
      <c r="C28" s="29">
        <f>QUARTILE($B$5:$F$5,3)</f>
        <v>0.19071614161488762</v>
      </c>
      <c r="D28" s="29">
        <f>$C28-$B28</f>
        <v>1.6620055171610748E-2</v>
      </c>
      <c r="E28" s="29">
        <f>$B28-1.5*$D28</f>
        <v>0.14916600368586075</v>
      </c>
      <c r="F28" s="29">
        <f>$C28+1.5*$D28</f>
        <v>0.21564622437230374</v>
      </c>
    </row>
    <row r="29" spans="1:14" x14ac:dyDescent="0.25">
      <c r="A29" s="25">
        <f>$A$6</f>
        <v>30</v>
      </c>
      <c r="B29" s="26">
        <f>IF(OR(B$6&gt;$F31,B$6&lt;$E31),1,0)</f>
        <v>1</v>
      </c>
      <c r="C29" s="26">
        <f>IF(OR(C$6&gt;$F31,C$6&lt;$E31),1,0)</f>
        <v>0</v>
      </c>
      <c r="D29" s="30">
        <f>IF(OR(D$6&gt;$F31,D$6&lt;$E31),1,0)</f>
        <v>0</v>
      </c>
      <c r="E29" s="26">
        <f>IF(OR(E$6&gt;$F31,E$6&lt;$E31),1,0)</f>
        <v>0</v>
      </c>
      <c r="F29" s="26">
        <f>IF(OR(F$6&gt;$F31,F$6&lt;$E31),1,0)</f>
        <v>1</v>
      </c>
    </row>
    <row r="30" spans="1:14" x14ac:dyDescent="0.25">
      <c r="A30" s="27"/>
      <c r="B30" t="s">
        <v>90</v>
      </c>
      <c r="C30" t="s">
        <v>91</v>
      </c>
      <c r="D30" t="s">
        <v>92</v>
      </c>
      <c r="E30" t="s">
        <v>93</v>
      </c>
      <c r="F30" t="s">
        <v>94</v>
      </c>
    </row>
    <row r="31" spans="1:14" ht="15.75" thickBot="1" x14ac:dyDescent="0.3">
      <c r="A31" s="28"/>
      <c r="B31" s="29">
        <f>QUARTILE($B$6:$F$6,1)</f>
        <v>0.52133288987875293</v>
      </c>
      <c r="C31" s="29">
        <f>QUARTILE($B$6:$F$6,3)</f>
        <v>0.56971957496026659</v>
      </c>
      <c r="D31" s="29">
        <f>$C31-$B31</f>
        <v>4.838668508151367E-2</v>
      </c>
      <c r="E31" s="29">
        <f>$B31-1.5*$D31</f>
        <v>0.44875286225648242</v>
      </c>
      <c r="F31" s="29">
        <f>$C31+1.5*$D31</f>
        <v>0.64229960258253715</v>
      </c>
    </row>
    <row r="32" spans="1:14" x14ac:dyDescent="0.25">
      <c r="A32" s="25">
        <f>$A$7</f>
        <v>50</v>
      </c>
      <c r="B32" s="26">
        <f>IF(OR(B$7&gt;$F34,B$7&lt;$E34),1,0)</f>
        <v>0</v>
      </c>
      <c r="C32" s="26">
        <f>IF(OR(C$7&gt;$F34,C$7&lt;$E34),1,0)</f>
        <v>0</v>
      </c>
      <c r="D32" s="30">
        <f>IF(OR(D$7&gt;$F34,D$7&lt;$E34),1,0)</f>
        <v>0</v>
      </c>
      <c r="E32" s="26">
        <f>IF(OR(E$7&gt;$F34,E$7&lt;$E34),1,0)</f>
        <v>0</v>
      </c>
      <c r="F32" s="26">
        <f>IF(OR(F$7&gt;$F34,F$7&lt;$E34),1,0)</f>
        <v>1</v>
      </c>
    </row>
    <row r="33" spans="1:8" x14ac:dyDescent="0.25">
      <c r="A33" s="27"/>
      <c r="B33" t="s">
        <v>90</v>
      </c>
      <c r="C33" t="s">
        <v>91</v>
      </c>
      <c r="D33" t="s">
        <v>92</v>
      </c>
      <c r="E33" t="s">
        <v>93</v>
      </c>
      <c r="F33" t="s">
        <v>94</v>
      </c>
    </row>
    <row r="34" spans="1:8" ht="15.75" thickBot="1" x14ac:dyDescent="0.3">
      <c r="A34" s="28"/>
      <c r="B34" s="29">
        <f>QUARTILE($B$7:$F$7,1)</f>
        <v>0.86599246399040464</v>
      </c>
      <c r="C34" s="29">
        <f>QUARTILE($B$7:$F$7,3)</f>
        <v>0.94379490527056653</v>
      </c>
      <c r="D34" s="29">
        <f>$C34-$B34</f>
        <v>7.7802441280161894E-2</v>
      </c>
      <c r="E34" s="29">
        <f>$B34-1.5*$D34</f>
        <v>0.7492888020701618</v>
      </c>
      <c r="F34" s="29">
        <f>$C34+1.5*$D34</f>
        <v>1.0604985671908094</v>
      </c>
    </row>
    <row r="35" spans="1:8" x14ac:dyDescent="0.25">
      <c r="A35" s="25">
        <f>$A$8</f>
        <v>70</v>
      </c>
      <c r="B35" s="26">
        <f>IF(OR(B$8&gt;$F37,B$8&lt;$E37),1,0)</f>
        <v>0</v>
      </c>
      <c r="C35" s="26">
        <f>IF(OR(C$8&gt;$F37,C$8&lt;$E37),1,0)</f>
        <v>0</v>
      </c>
      <c r="D35" s="30">
        <f>IF(OR(D$8&gt;$F37,D$8&lt;$E37),1,0)</f>
        <v>0</v>
      </c>
      <c r="E35" s="26">
        <f>IF(OR(E$8&gt;$F37,E$8&lt;$E37),1,0)</f>
        <v>0</v>
      </c>
      <c r="F35" s="26">
        <f>IF(OR(F$8&gt;$F37,F$8&lt;$E37),1,0)</f>
        <v>1</v>
      </c>
      <c r="H35" s="39"/>
    </row>
    <row r="36" spans="1:8" x14ac:dyDescent="0.25">
      <c r="A36" s="27"/>
      <c r="B36" t="s">
        <v>90</v>
      </c>
      <c r="C36" t="s">
        <v>91</v>
      </c>
      <c r="D36" t="s">
        <v>92</v>
      </c>
      <c r="E36" t="s">
        <v>93</v>
      </c>
      <c r="F36" t="s">
        <v>94</v>
      </c>
    </row>
    <row r="37" spans="1:8" ht="15.75" thickBot="1" x14ac:dyDescent="0.3">
      <c r="A37" s="28"/>
      <c r="B37" s="29">
        <f>QUARTILE($B$8:$F$8,1)</f>
        <v>1.2066875315037962</v>
      </c>
      <c r="C37" s="29">
        <f>QUARTILE($B$8:$F$8,3)</f>
        <v>1.3114460896888493</v>
      </c>
      <c r="D37" s="29">
        <f>$C37-$B37</f>
        <v>0.1047585581850532</v>
      </c>
      <c r="E37" s="29">
        <f>$B37-1.5*$D37</f>
        <v>1.0495496942262164</v>
      </c>
      <c r="F37" s="29">
        <f>$C37+1.5*$D37</f>
        <v>1.4685839269664291</v>
      </c>
    </row>
    <row r="38" spans="1:8" x14ac:dyDescent="0.25">
      <c r="A38" s="25">
        <f>$A$9</f>
        <v>100</v>
      </c>
      <c r="B38" s="26">
        <f>IF(OR(B$9&gt;$F40,B$9&lt;$E40),1,0)</f>
        <v>0</v>
      </c>
      <c r="C38" s="26">
        <f>IF(OR(C$9&gt;$F40,C$9&lt;$E40),1,0)</f>
        <v>0</v>
      </c>
      <c r="D38" s="30">
        <f>IF(OR(D$9&gt;$F40,D$9&lt;$E40),1,0)</f>
        <v>0</v>
      </c>
      <c r="E38" s="26">
        <f>IF(OR(E$9&gt;$F40,E$9&lt;$E40),1,0)</f>
        <v>0</v>
      </c>
      <c r="F38" s="26">
        <f>IF(OR(F$9&gt;$F40,F$9&lt;$E40),1,0)</f>
        <v>1</v>
      </c>
    </row>
    <row r="39" spans="1:8" x14ac:dyDescent="0.25">
      <c r="A39" s="27"/>
      <c r="B39" t="s">
        <v>90</v>
      </c>
      <c r="C39" t="s">
        <v>91</v>
      </c>
      <c r="D39" t="s">
        <v>92</v>
      </c>
      <c r="E39" t="s">
        <v>93</v>
      </c>
      <c r="F39" t="s">
        <v>94</v>
      </c>
    </row>
    <row r="40" spans="1:8" ht="15.75" thickBot="1" x14ac:dyDescent="0.3">
      <c r="A40" s="28"/>
      <c r="B40" s="29">
        <f>QUARTILE($B$9:$F$9,1)</f>
        <v>1.7076405883109396</v>
      </c>
      <c r="C40" s="29">
        <f>QUARTILE($B$9:$F$9,3)</f>
        <v>1.8483591067850802</v>
      </c>
      <c r="D40" s="29">
        <f>$C40-$B40</f>
        <v>0.14071851847414063</v>
      </c>
      <c r="E40" s="29">
        <f>$B40-1.5*$D40</f>
        <v>1.4965628105997286</v>
      </c>
      <c r="F40" s="29">
        <f>$C40+1.5*$D40</f>
        <v>2.0594368844962911</v>
      </c>
    </row>
    <row r="41" spans="1:8" x14ac:dyDescent="0.25">
      <c r="A41" s="25">
        <f>$A$10</f>
        <v>200</v>
      </c>
      <c r="B41" s="32">
        <f>IF(OR(B$10&gt;$F43,B$10&lt;$E43),1,0)</f>
        <v>0</v>
      </c>
      <c r="C41" s="32">
        <f>IF(OR(C$10&gt;$F43,C$10&lt;$E43),1,0)</f>
        <v>0</v>
      </c>
      <c r="D41" s="30">
        <f>IF(OR(D$10&gt;$F43,D$10&lt;$E43),1,0)</f>
        <v>0</v>
      </c>
      <c r="E41" s="31">
        <f>IF(OR(E$10&gt;$F43,E$10&lt;$E43),1,0)</f>
        <v>0</v>
      </c>
      <c r="F41" s="31">
        <f>IF(OR(F$10&gt;$F43,F$10&lt;$E43),1,0)</f>
        <v>1</v>
      </c>
    </row>
    <row r="42" spans="1:8" x14ac:dyDescent="0.25">
      <c r="A42" s="27"/>
      <c r="B42" t="s">
        <v>90</v>
      </c>
      <c r="C42" t="s">
        <v>91</v>
      </c>
      <c r="D42" t="s">
        <v>92</v>
      </c>
      <c r="E42" t="s">
        <v>93</v>
      </c>
      <c r="F42" t="s">
        <v>94</v>
      </c>
    </row>
    <row r="43" spans="1:8" ht="15.75" thickBot="1" x14ac:dyDescent="0.3">
      <c r="A43" s="28"/>
      <c r="B43" s="29">
        <f>QUARTILE($B$10:$F$10,1)</f>
        <v>3.252906120980092</v>
      </c>
      <c r="C43" s="29">
        <f>QUARTILE($B$10:$F$10,3)</f>
        <v>3.4814428097554444</v>
      </c>
      <c r="D43" s="29">
        <f>$C43-$B43</f>
        <v>0.22853668877535238</v>
      </c>
      <c r="E43" s="29">
        <f>$B43-1.5*$D43</f>
        <v>2.9101010878170634</v>
      </c>
      <c r="F43" s="29">
        <f>$C43+1.5*$D43</f>
        <v>3.824247842918473</v>
      </c>
    </row>
    <row r="44" spans="1:8" x14ac:dyDescent="0.25">
      <c r="A44" s="25">
        <f>$A$11</f>
        <v>300</v>
      </c>
      <c r="B44" s="32">
        <f>IF(OR(B$11&gt;$F46,B$11&lt;$E46),1,0)</f>
        <v>0</v>
      </c>
      <c r="C44" s="32">
        <f>IF(OR(C$11&gt;$F46,C$11&lt;$E46),1,0)</f>
        <v>0</v>
      </c>
      <c r="D44" s="30">
        <f>IF(OR(D$11&gt;$F46,D$11&lt;$E46),1,0)</f>
        <v>0</v>
      </c>
      <c r="E44" s="31">
        <f>IF(OR(E$11&gt;$F46,E$11&lt;$E46),1,0)</f>
        <v>0</v>
      </c>
      <c r="F44" s="31">
        <f>IF(OR(F$11&gt;$F46,F$11&lt;$E46),1,0)</f>
        <v>1</v>
      </c>
    </row>
    <row r="45" spans="1:8" x14ac:dyDescent="0.25">
      <c r="A45" s="27"/>
      <c r="B45" t="s">
        <v>90</v>
      </c>
      <c r="C45" t="s">
        <v>91</v>
      </c>
      <c r="D45" t="s">
        <v>92</v>
      </c>
      <c r="E45" t="s">
        <v>93</v>
      </c>
      <c r="F45" t="s">
        <v>94</v>
      </c>
    </row>
    <row r="46" spans="1:8" ht="15.75" thickBot="1" x14ac:dyDescent="0.3">
      <c r="A46" s="28"/>
      <c r="B46" s="29">
        <f>QUARTILE($B$11:$F$11,1)</f>
        <v>4.5580581079832996</v>
      </c>
      <c r="C46" s="29">
        <f>QUARTILE($B$11:$F$11,3)</f>
        <v>4.8422267124186753</v>
      </c>
      <c r="D46" s="29">
        <f>$C46-$B46</f>
        <v>0.28416860443537573</v>
      </c>
      <c r="E46" s="29">
        <f>$B46-1.5*$D46</f>
        <v>4.131805201330236</v>
      </c>
      <c r="F46" s="29">
        <f>$C46+1.5*$D46</f>
        <v>5.2684796190717389</v>
      </c>
    </row>
    <row r="47" spans="1:8" x14ac:dyDescent="0.25">
      <c r="A47" s="25">
        <f>$A$12</f>
        <v>400</v>
      </c>
      <c r="B47" s="32">
        <f>IF(OR(B$12&gt;$F49,B$12&lt;$E49),1,0)</f>
        <v>0</v>
      </c>
      <c r="C47" s="32">
        <f>IF(OR(C$12&gt;$F49,C$12&lt;$E49),1,0)</f>
        <v>1</v>
      </c>
      <c r="D47" s="30">
        <f>IF(OR(D$12&gt;$F49,D$12&lt;$E49),1,0)</f>
        <v>0</v>
      </c>
      <c r="E47" s="31">
        <f>IF(OR(E$12&gt;$F49,E$12&lt;$E49),1,0)</f>
        <v>0</v>
      </c>
      <c r="F47" s="31">
        <f>IF(OR(F$12&gt;$F49,F$12&lt;$E49),1,0)</f>
        <v>1</v>
      </c>
    </row>
    <row r="48" spans="1:8" x14ac:dyDescent="0.25">
      <c r="A48" s="27"/>
      <c r="B48" t="s">
        <v>90</v>
      </c>
      <c r="C48" t="s">
        <v>91</v>
      </c>
      <c r="D48" t="s">
        <v>92</v>
      </c>
      <c r="E48" t="s">
        <v>93</v>
      </c>
      <c r="F48" t="s">
        <v>94</v>
      </c>
    </row>
    <row r="49" spans="1:6" ht="15.75" thickBot="1" x14ac:dyDescent="0.3">
      <c r="A49" s="28"/>
      <c r="B49" s="29">
        <f>QUARTILE($B$12:$F$12,1)</f>
        <v>5.613064222352012</v>
      </c>
      <c r="C49" s="29">
        <f>QUARTILE($B$12:$F$12,3)</f>
        <v>5.9369925908313324</v>
      </c>
      <c r="D49" s="29">
        <f>$C49-$B49</f>
        <v>0.32392836847932038</v>
      </c>
      <c r="E49" s="29">
        <f>$B49-1.5*$D49</f>
        <v>5.1271716696330314</v>
      </c>
      <c r="F49" s="29">
        <f>$C49+1.5*$D49</f>
        <v>6.4228851435503129</v>
      </c>
    </row>
    <row r="50" spans="1:6" x14ac:dyDescent="0.25">
      <c r="A50" s="25">
        <f>$A13</f>
        <v>500</v>
      </c>
      <c r="B50" s="32">
        <f>IF(OR(B$13&gt;$F52,B$13&lt;$E52),1,0)</f>
        <v>0</v>
      </c>
      <c r="C50" s="32">
        <f>IF(OR(C$13&gt;$F52,C$13&lt;$E52),1,0)</f>
        <v>1</v>
      </c>
      <c r="D50" s="30">
        <f>IF(OR(D$13&gt;$F52,D$13&lt;$E52),1,0)</f>
        <v>0</v>
      </c>
      <c r="E50" s="31">
        <f>IF(OR(E$13&gt;$F52,E$13&lt;$E52),1,0)</f>
        <v>0</v>
      </c>
      <c r="F50" s="31">
        <f>IF(OR(F$13&gt;$F52,F$13&lt;$E52),1,0)</f>
        <v>1</v>
      </c>
    </row>
    <row r="51" spans="1:6" x14ac:dyDescent="0.25">
      <c r="A51" s="27"/>
      <c r="B51" t="s">
        <v>90</v>
      </c>
      <c r="C51" t="s">
        <v>91</v>
      </c>
      <c r="D51" t="s">
        <v>92</v>
      </c>
      <c r="E51" t="s">
        <v>93</v>
      </c>
      <c r="F51" t="s">
        <v>94</v>
      </c>
    </row>
    <row r="52" spans="1:6" ht="15.75" thickBot="1" x14ac:dyDescent="0.3">
      <c r="A52" s="28"/>
      <c r="B52" s="29">
        <f>QUARTILE($B$13:$F$13,1)</f>
        <v>6.4459103059835856</v>
      </c>
      <c r="C52" s="29">
        <f>QUARTILE($B$13:$F$13,3)</f>
        <v>6.802277258815673</v>
      </c>
      <c r="D52" s="29">
        <f>$C52-$B52</f>
        <v>0.35636695283208741</v>
      </c>
      <c r="E52" s="29">
        <f>$B52-1.5*$D52</f>
        <v>5.9113598767354549</v>
      </c>
      <c r="F52" s="29">
        <f>$C52+1.5*$D52</f>
        <v>7.3368276880638046</v>
      </c>
    </row>
    <row r="53" spans="1:6" x14ac:dyDescent="0.25">
      <c r="A53" s="25">
        <f>$A$14</f>
        <v>600</v>
      </c>
      <c r="B53" s="32">
        <f>IF(OR(B$14&gt;$F55,B$14&lt;$E55),1,0)</f>
        <v>0</v>
      </c>
      <c r="C53" s="32">
        <f>IF(OR(C$14&gt;$F55,C$14&lt;$E55),1,0)</f>
        <v>1</v>
      </c>
      <c r="D53" s="30">
        <f>IF(OR(D$14&gt;$F55,D$14&lt;$E55),1,0)</f>
        <v>0</v>
      </c>
      <c r="E53" s="31">
        <f>IF(OR(E$14&gt;$F55,E$14&lt;$E55),1,0)</f>
        <v>0</v>
      </c>
      <c r="F53" s="31">
        <f>IF(OR(F$14&gt;$F55,F$14&lt;$E55),1,0)</f>
        <v>1</v>
      </c>
    </row>
    <row r="54" spans="1:6" x14ac:dyDescent="0.25">
      <c r="A54" s="27"/>
      <c r="B54" t="s">
        <v>90</v>
      </c>
      <c r="C54" t="s">
        <v>91</v>
      </c>
      <c r="D54" t="s">
        <v>92</v>
      </c>
      <c r="E54" t="s">
        <v>93</v>
      </c>
      <c r="F54" t="s">
        <v>94</v>
      </c>
    </row>
    <row r="55" spans="1:6" ht="15.75" thickBot="1" x14ac:dyDescent="0.3">
      <c r="A55" s="28"/>
      <c r="B55" s="29">
        <f>QUARTILE($B$14:$F$14,1)</f>
        <v>7.0973587860551532</v>
      </c>
      <c r="C55" s="29">
        <f>QUARTILE($B$14:$F$14,3)</f>
        <v>7.4826072731637332</v>
      </c>
      <c r="D55" s="29">
        <f>$C55-$B55</f>
        <v>0.38524848710857995</v>
      </c>
      <c r="E55" s="29">
        <f>$B55-1.5*$D55</f>
        <v>6.5194860553922833</v>
      </c>
      <c r="F55" s="29">
        <f>$C55+1.5*$D55</f>
        <v>8.0604800038266031</v>
      </c>
    </row>
    <row r="56" spans="1:6" x14ac:dyDescent="0.25">
      <c r="A56" s="25">
        <f>$A$15</f>
        <v>700</v>
      </c>
      <c r="B56" s="32">
        <f>IF(OR(B$15&gt;$F58,B$15&lt;$E58),1,0)</f>
        <v>0</v>
      </c>
      <c r="C56" s="32">
        <f>IF(OR(C$15&gt;$F58,C$15&lt;$E58),1,0)</f>
        <v>1</v>
      </c>
      <c r="D56" s="30">
        <f>IF(OR(D$15&gt;$F58,D$15&lt;$E58),1,0)</f>
        <v>0</v>
      </c>
      <c r="E56" s="31">
        <f>IF(OR(E$15&gt;$F58,E$15&lt;$E58),1,0)</f>
        <v>0</v>
      </c>
      <c r="F56" s="31">
        <f>IF(OR(F$15&gt;$F58,F$15&lt;$E58),1,0)</f>
        <v>1</v>
      </c>
    </row>
    <row r="57" spans="1:6" x14ac:dyDescent="0.25">
      <c r="A57" s="27"/>
      <c r="B57" t="s">
        <v>90</v>
      </c>
      <c r="C57" t="s">
        <v>91</v>
      </c>
      <c r="D57" t="s">
        <v>92</v>
      </c>
      <c r="E57" t="s">
        <v>93</v>
      </c>
      <c r="F57" t="s">
        <v>94</v>
      </c>
    </row>
    <row r="58" spans="1:6" ht="15.75" thickBot="1" x14ac:dyDescent="0.3">
      <c r="A58" s="28"/>
      <c r="B58" s="29">
        <f>QUARTILE($B$15:$F$15,1)</f>
        <v>7.6069987004326212</v>
      </c>
      <c r="C58" s="29">
        <f>QUARTILE($B$15:$F$15,3)</f>
        <v>8.0190171901647318</v>
      </c>
      <c r="D58" s="29">
        <f>$C58-$B58</f>
        <v>0.41201848973211064</v>
      </c>
      <c r="E58" s="29">
        <f>$B58-1.5*$D58</f>
        <v>6.9889709658344552</v>
      </c>
      <c r="F58" s="29">
        <f>$C58+1.5*$D58</f>
        <v>8.6370449247628969</v>
      </c>
    </row>
    <row r="59" spans="1:6" x14ac:dyDescent="0.25">
      <c r="A59" s="25">
        <f>$A$16</f>
        <v>800</v>
      </c>
      <c r="B59" s="32">
        <f>IF(OR(B$16&gt;$F61,B$16&lt;$E61),1,0)</f>
        <v>0</v>
      </c>
      <c r="C59" s="32">
        <f>IF(OR(C$16&gt;$F61,C$16&lt;$E61),1,0)</f>
        <v>0</v>
      </c>
      <c r="D59" s="30">
        <f>IF(OR(D$16&gt;$F61,D$16&lt;$E61),1,0)</f>
        <v>0</v>
      </c>
      <c r="E59" s="31">
        <f>IF(OR(E$16&gt;$F61,E$16&lt;$E61),1,0)</f>
        <v>0</v>
      </c>
      <c r="F59" s="31">
        <f>IF(OR(F$16&gt;$F61,F$16&lt;$E61),1,0)</f>
        <v>1</v>
      </c>
    </row>
    <row r="60" spans="1:6" x14ac:dyDescent="0.25">
      <c r="A60" s="27"/>
      <c r="B60" t="s">
        <v>90</v>
      </c>
      <c r="C60" t="s">
        <v>91</v>
      </c>
      <c r="D60" t="s">
        <v>92</v>
      </c>
      <c r="E60" t="s">
        <v>93</v>
      </c>
      <c r="F60" t="s">
        <v>94</v>
      </c>
    </row>
    <row r="61" spans="1:6" ht="15.75" thickBot="1" x14ac:dyDescent="0.3">
      <c r="A61" s="28"/>
      <c r="B61" s="29">
        <f>QUARTILE($B$16:$F$16,1)</f>
        <v>8.0079768415118089</v>
      </c>
      <c r="C61" s="29">
        <f>QUARTILE($B$16:$F$16,3)</f>
        <v>8.4451243815735459</v>
      </c>
      <c r="D61" s="29">
        <f>$C61-$B61</f>
        <v>0.43714754006173706</v>
      </c>
      <c r="E61" s="29">
        <f>$B61-1.5*$D61</f>
        <v>7.3522555314192033</v>
      </c>
      <c r="F61" s="29">
        <f>$C61+1.5*$D61</f>
        <v>9.1008456916661515</v>
      </c>
    </row>
    <row r="62" spans="1:6" x14ac:dyDescent="0.25">
      <c r="A62" s="25">
        <f>$A$17</f>
        <v>900</v>
      </c>
      <c r="B62" s="32">
        <f>IF(OR(B$17&gt;$F64,B$17&lt;$E64),1,0)</f>
        <v>0</v>
      </c>
      <c r="C62" s="32">
        <f>IF(OR(C$17&gt;$F64,C$17&lt;$E64),1,0)</f>
        <v>0</v>
      </c>
      <c r="D62" s="30">
        <f>IF(OR(D$17&gt;$F64,D$17&lt;$E64),1,0)</f>
        <v>0</v>
      </c>
      <c r="E62" s="31">
        <f>IF(OR(E$17&gt;$F64,E$17&lt;$E64),1,0)</f>
        <v>0</v>
      </c>
      <c r="F62" s="31">
        <f>IF(OR(F$17&gt;$F64,F$17&lt;$E64),1,0)</f>
        <v>1</v>
      </c>
    </row>
    <row r="63" spans="1:6" x14ac:dyDescent="0.25">
      <c r="A63" s="27"/>
      <c r="B63" t="s">
        <v>90</v>
      </c>
      <c r="C63" t="s">
        <v>91</v>
      </c>
      <c r="D63" t="s">
        <v>92</v>
      </c>
      <c r="E63" t="s">
        <v>93</v>
      </c>
      <c r="F63" t="s">
        <v>94</v>
      </c>
    </row>
    <row r="64" spans="1:6" ht="15.75" thickBot="1" x14ac:dyDescent="0.3">
      <c r="A64" s="28"/>
      <c r="B64" s="29">
        <f>QUARTILE($B$17:$F$17,1)</f>
        <v>8.3262136348543994</v>
      </c>
      <c r="C64" s="29">
        <f>QUARTILE($B$17:$F$17,3)</f>
        <v>8.7869659129909561</v>
      </c>
      <c r="D64" s="29">
        <f>$C64-$B64</f>
        <v>0.46075227813655673</v>
      </c>
      <c r="E64" s="29">
        <f>$B64-1.5*$D64</f>
        <v>7.6350852176495643</v>
      </c>
      <c r="F64" s="29">
        <f>$C64+1.5*$D64</f>
        <v>9.4780943301957912</v>
      </c>
    </row>
    <row r="65" spans="1:6" x14ac:dyDescent="0.25">
      <c r="A65" s="25">
        <f>$A$18</f>
        <v>1000</v>
      </c>
      <c r="B65" s="32">
        <f>IF(OR(B$18&gt;$F67,B$18&lt;$E67),1,0)</f>
        <v>0</v>
      </c>
      <c r="C65" s="32">
        <f>IF(OR(C$18&gt;$F67,C$18&lt;$E67),1,0)</f>
        <v>0</v>
      </c>
      <c r="D65" s="30">
        <f>IF(OR(D$18&gt;$F67,D$18&lt;$E67),1,0)</f>
        <v>0</v>
      </c>
      <c r="E65" s="31">
        <f>IF(OR(E$18&gt;$F67,E$18&lt;$E67),1,0)</f>
        <v>0</v>
      </c>
      <c r="F65" s="32">
        <f>IF(OR(F$18&gt;$F67,F$18&lt;$E67),1,0)</f>
        <v>1</v>
      </c>
    </row>
    <row r="66" spans="1:6" x14ac:dyDescent="0.25">
      <c r="A66" s="27"/>
      <c r="B66" t="s">
        <v>90</v>
      </c>
      <c r="C66" t="s">
        <v>91</v>
      </c>
      <c r="D66" t="s">
        <v>92</v>
      </c>
      <c r="E66" t="s">
        <v>93</v>
      </c>
      <c r="F66" t="s">
        <v>94</v>
      </c>
    </row>
    <row r="67" spans="1:6" ht="15.75" thickBot="1" x14ac:dyDescent="0.3">
      <c r="A67" s="28"/>
      <c r="B67" s="29">
        <f>QUARTILE($B$18:$F$18,1)</f>
        <v>8.5813415778443964</v>
      </c>
      <c r="C67" s="29">
        <f>QUARTILE($B$18:$F$18,3)</f>
        <v>9.0641939283678354</v>
      </c>
      <c r="D67" s="29">
        <f>$C67-$B67</f>
        <v>0.482852350523439</v>
      </c>
      <c r="E67" s="29">
        <f>$B67-1.5*$D67</f>
        <v>7.8570630520592379</v>
      </c>
      <c r="F67" s="29">
        <f>$C67+1.5*$D67</f>
        <v>9.7884724541529948</v>
      </c>
    </row>
    <row r="68" spans="1:6" x14ac:dyDescent="0.25">
      <c r="A68" s="25">
        <f>$A$19</f>
        <v>1500</v>
      </c>
      <c r="B68" s="32">
        <f>IF(OR(B$19&gt;$F70,B$19&lt;$E70),1,0)</f>
        <v>0</v>
      </c>
      <c r="C68" s="32">
        <f>IF(OR(C$19&gt;$F70,C$19&lt;$E70),1,0)</f>
        <v>0</v>
      </c>
      <c r="D68" s="30">
        <f>IF(OR(D$19&gt;$F70,D$19&lt;$E70),1,0)</f>
        <v>0</v>
      </c>
      <c r="E68" s="31">
        <f>IF(OR(E$19&gt;$F70,E$19&lt;$E70),1,0)</f>
        <v>0</v>
      </c>
      <c r="F68" s="32">
        <f>IF(OR(F$19&gt;$F70,F$19&lt;$E70),1,0)</f>
        <v>1</v>
      </c>
    </row>
    <row r="69" spans="1:6" x14ac:dyDescent="0.25">
      <c r="A69" s="27"/>
      <c r="B69" t="s">
        <v>90</v>
      </c>
      <c r="C69" t="s">
        <v>91</v>
      </c>
      <c r="D69" t="s">
        <v>92</v>
      </c>
      <c r="E69" t="s">
        <v>93</v>
      </c>
      <c r="F69" t="s">
        <v>94</v>
      </c>
    </row>
    <row r="70" spans="1:6" ht="15.75" thickBot="1" x14ac:dyDescent="0.3">
      <c r="A70" s="28"/>
      <c r="B70" s="29">
        <f>QUARTILE($B$19:$F$19,1)</f>
        <v>9.3123468713541442</v>
      </c>
      <c r="C70" s="29">
        <f>QUARTILE($B$19:$F$19,3)</f>
        <v>9.8844404247607454</v>
      </c>
      <c r="D70" s="29">
        <f>$C70-$B70</f>
        <v>0.57209355340660117</v>
      </c>
      <c r="E70" s="29">
        <f>$B70-1.5*$D70</f>
        <v>8.4542065412442433</v>
      </c>
      <c r="F70" s="29">
        <f>$C70+1.5*$D70</f>
        <v>10.742580754870648</v>
      </c>
    </row>
    <row r="71" spans="1:6" x14ac:dyDescent="0.25">
      <c r="A71" s="25">
        <f>$A$20</f>
        <v>2000</v>
      </c>
      <c r="B71" s="32">
        <f>IF(OR(B$20&gt;$F73,B$20&lt;$E73),1,0)</f>
        <v>0</v>
      </c>
      <c r="C71" s="32">
        <f>IF(OR(C$20&gt;$F73,C$20&lt;$E73),1,0)</f>
        <v>0</v>
      </c>
      <c r="D71" s="30">
        <f>IF(OR(D$20&gt;$F73,D$20&lt;$E73),1,0)</f>
        <v>0</v>
      </c>
      <c r="E71" s="31">
        <f>IF(OR(E$20&gt;$F73,E$20&lt;$E73),1,0)</f>
        <v>0</v>
      </c>
      <c r="F71" s="32">
        <f>IF(OR(F$20&gt;$F73,F$20&lt;$E73),1,0)</f>
        <v>1</v>
      </c>
    </row>
    <row r="72" spans="1:6" x14ac:dyDescent="0.25">
      <c r="A72" s="27"/>
      <c r="B72" t="s">
        <v>90</v>
      </c>
      <c r="C72" t="s">
        <v>91</v>
      </c>
      <c r="D72" t="s">
        <v>92</v>
      </c>
      <c r="E72" t="s">
        <v>93</v>
      </c>
      <c r="F72" t="s">
        <v>94</v>
      </c>
    </row>
    <row r="73" spans="1:6" ht="15.75" thickBot="1" x14ac:dyDescent="0.3">
      <c r="A73" s="28"/>
      <c r="B73" s="29">
        <f>QUARTILE($B$20:$F$20,1)</f>
        <v>9.6290138110254251</v>
      </c>
      <c r="C73" s="29">
        <f>QUARTILE($B$20:$F$20,3)</f>
        <v>10.262033946730744</v>
      </c>
      <c r="D73" s="29">
        <f>$C73-$B73</f>
        <v>0.63302013570531912</v>
      </c>
      <c r="E73" s="29">
        <f>$B73-1.5*$D73</f>
        <v>8.6794836074674464</v>
      </c>
      <c r="F73" s="29">
        <f>$C73+1.5*$D73</f>
        <v>11.211564150288723</v>
      </c>
    </row>
    <row r="74" spans="1:6" x14ac:dyDescent="0.25">
      <c r="A74" s="25">
        <v>3000</v>
      </c>
      <c r="B74" s="32">
        <f>IF(OR(B$21&gt;$F76,B$21&lt;$E76),1,0)</f>
        <v>0</v>
      </c>
      <c r="C74" s="32">
        <f>IF(OR(C$21&gt;$F76,C$21&lt;$E76),1,0)</f>
        <v>0</v>
      </c>
      <c r="D74" s="35">
        <f>IF(OR(D$21&gt;$F76,D$21&lt;$E76),1,0)</f>
        <v>1</v>
      </c>
      <c r="E74" s="31">
        <f>IF(OR(E$21&gt;$F76,E$21&lt;$E76),1,0)</f>
        <v>0</v>
      </c>
      <c r="F74" s="34">
        <f>IF(OR(F$21&gt;$F76,F$21&lt;$E76),1,0)</f>
        <v>1</v>
      </c>
    </row>
    <row r="75" spans="1:6" x14ac:dyDescent="0.25">
      <c r="A75" s="27"/>
      <c r="B75" t="s">
        <v>90</v>
      </c>
      <c r="C75" t="s">
        <v>91</v>
      </c>
      <c r="D75" t="s">
        <v>92</v>
      </c>
      <c r="E75" t="s">
        <v>93</v>
      </c>
      <c r="F75" t="s">
        <v>94</v>
      </c>
    </row>
    <row r="76" spans="1:6" ht="15.75" thickBot="1" x14ac:dyDescent="0.3">
      <c r="A76" s="28"/>
      <c r="B76" s="29">
        <f>QUARTILE($B$21:$F$21,1)</f>
        <v>9.7421233913483327</v>
      </c>
      <c r="C76" s="29">
        <f>QUARTILE($B$21:$F$21,3)</f>
        <v>10.856655828540596</v>
      </c>
      <c r="D76" s="29">
        <f>$C76-$B76</f>
        <v>1.1145324371922634</v>
      </c>
      <c r="E76" s="29">
        <f>$B76-1.5*$D76</f>
        <v>8.0703247355599377</v>
      </c>
      <c r="F76" s="29">
        <f>$C76+1.5*$D76</f>
        <v>12.528454484328991</v>
      </c>
    </row>
    <row r="77" spans="1:6" x14ac:dyDescent="0.25">
      <c r="A77" s="25">
        <v>4000</v>
      </c>
      <c r="B77" s="32">
        <f>IF(OR(B$22&gt;$F79,B$22&lt;$E79),1,0)</f>
        <v>0</v>
      </c>
      <c r="C77" s="34">
        <f>IF(OR(C$22&gt;$F79,C$22&lt;$E79),1,0)</f>
        <v>1</v>
      </c>
      <c r="D77" s="35">
        <f>IF(OR(D$22&gt;$F28,D$22&lt;$E28),1,0)</f>
        <v>1</v>
      </c>
      <c r="E77" s="33">
        <f>IF(OR(E$22&gt;$F79,E$22&lt;$E79),1,0)</f>
        <v>1</v>
      </c>
      <c r="F77" s="33">
        <f>IF(OR(F$22&gt;$F79,F$22&lt;$E79),1,0)</f>
        <v>1</v>
      </c>
    </row>
    <row r="78" spans="1:6" x14ac:dyDescent="0.25">
      <c r="A78" s="27"/>
      <c r="B78" t="s">
        <v>90</v>
      </c>
      <c r="C78" t="s">
        <v>91</v>
      </c>
      <c r="D78" t="s">
        <v>92</v>
      </c>
      <c r="E78" t="s">
        <v>93</v>
      </c>
      <c r="F78" t="s">
        <v>94</v>
      </c>
    </row>
    <row r="79" spans="1:6" ht="15.75" thickBot="1" x14ac:dyDescent="0.3">
      <c r="A79" s="28"/>
      <c r="B79" s="29">
        <f>QUARTILE($B$22:$F$22,1)</f>
        <v>11.650282230214426</v>
      </c>
      <c r="C79" s="29">
        <f>QUARTILE($B$22:$F$22,3)</f>
        <v>11.650282230214426</v>
      </c>
      <c r="D79" s="29">
        <f>$C79-$B79</f>
        <v>0</v>
      </c>
      <c r="E79" s="29">
        <f>$B79-1.5*$D79</f>
        <v>11.650282230214426</v>
      </c>
      <c r="F79" s="29">
        <f>$C79+1.5*$D79</f>
        <v>11.650282230214426</v>
      </c>
    </row>
    <row r="80" spans="1:6" x14ac:dyDescent="0.25">
      <c r="A80" s="25">
        <v>5000</v>
      </c>
      <c r="B80" s="32">
        <f>IF(OR(B$23&gt;$F82,B$23&lt;$E82),1,0)</f>
        <v>0</v>
      </c>
      <c r="C80" s="34">
        <f>IF(OR(C$23&gt;$F82,C$23&lt;$E82),1,0)</f>
        <v>1</v>
      </c>
      <c r="D80" s="35">
        <f>IF(OR(D$23&gt;$F28,D$23&lt;$E28),1,0)</f>
        <v>1</v>
      </c>
      <c r="E80" s="33">
        <f>IF(OR(E$23&gt;$F82,E$23&lt;$E82),1,0)</f>
        <v>1</v>
      </c>
      <c r="F80" s="33">
        <f>IF(OR(F$23&gt;$F82,F$23&lt;$E82),1,0)</f>
        <v>1</v>
      </c>
    </row>
    <row r="81" spans="1:6" x14ac:dyDescent="0.25">
      <c r="A81" s="27"/>
      <c r="B81" t="s">
        <v>90</v>
      </c>
      <c r="C81" t="s">
        <v>91</v>
      </c>
      <c r="D81" t="s">
        <v>92</v>
      </c>
      <c r="E81" t="s">
        <v>93</v>
      </c>
      <c r="F81" t="s">
        <v>94</v>
      </c>
    </row>
    <row r="82" spans="1:6" ht="15.75" thickBot="1" x14ac:dyDescent="0.3">
      <c r="A82" s="28"/>
      <c r="B82" s="29">
        <f>QUARTILE($B$23:$F$23,1)</f>
        <v>11.802088700866985</v>
      </c>
      <c r="C82" s="29">
        <f>QUARTILE($B$23:$F$23,3)</f>
        <v>11.802088700866985</v>
      </c>
      <c r="D82" s="29">
        <f>$C82-$B82</f>
        <v>0</v>
      </c>
      <c r="E82" s="29">
        <f>$B82-1.5*$D82</f>
        <v>11.802088700866985</v>
      </c>
      <c r="F82" s="29">
        <f>$C82+1.5*$D82</f>
        <v>11.802088700866985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7ECB-76F1-4BD0-AC33-19B62B7385CE}">
  <dimension ref="A1:P23"/>
  <sheetViews>
    <sheetView workbookViewId="0">
      <selection activeCell="K7" sqref="K7"/>
    </sheetView>
  </sheetViews>
  <sheetFormatPr defaultRowHeight="15" x14ac:dyDescent="0.25"/>
  <cols>
    <col min="4" max="4" width="13.42578125" customWidth="1"/>
    <col min="5" max="5" width="18.85546875" customWidth="1"/>
    <col min="9" max="9" width="14.5703125" customWidth="1"/>
    <col min="10" max="10" width="18.42578125" customWidth="1"/>
    <col min="15" max="15" width="14.85546875" customWidth="1"/>
  </cols>
  <sheetData>
    <row r="1" spans="1:16" x14ac:dyDescent="0.25"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SUM(L5:L13)</f>
        <v>1.3363345508269883E-2</v>
      </c>
      <c r="N2">
        <v>495.59047072020832</v>
      </c>
      <c r="O2">
        <v>6.8141848488708124E-5</v>
      </c>
      <c r="P2">
        <v>0.94669535072154576</v>
      </c>
    </row>
    <row r="3" spans="1:16" x14ac:dyDescent="0.25">
      <c r="A3" t="s">
        <v>32</v>
      </c>
      <c r="B3" t="s">
        <v>34</v>
      </c>
      <c r="C3" t="s">
        <v>33</v>
      </c>
      <c r="D3" t="s">
        <v>35</v>
      </c>
      <c r="E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2.6099999999999999E-3</v>
      </c>
      <c r="B4">
        <f>A4*100</f>
        <v>0.26100000000000001</v>
      </c>
      <c r="C4">
        <v>1.3069999999999999</v>
      </c>
      <c r="D4">
        <f>C4/'Isotherm List'!$C$3</f>
        <v>2.9698470767343041E-2</v>
      </c>
      <c r="E4">
        <f>D4</f>
        <v>2.9698470767343041E-2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5.3719999999999997E-2</v>
      </c>
      <c r="B5">
        <f t="shared" ref="B5:B11" si="0">A5*100</f>
        <v>5.3719999999999999</v>
      </c>
      <c r="C5">
        <v>4.883</v>
      </c>
      <c r="D5">
        <f>C5/'Isotherm List'!$C$3</f>
        <v>0.11095457747278965</v>
      </c>
      <c r="E5">
        <f t="shared" ref="E5:E11" si="1">D5</f>
        <v>0.11095457747278965</v>
      </c>
      <c r="H5">
        <f t="shared" ref="H5:H12" si="2">B4</f>
        <v>0.26100000000000001</v>
      </c>
      <c r="I5">
        <f t="shared" ref="I5:J12" si="3">D4</f>
        <v>2.9698470767343041E-2</v>
      </c>
      <c r="J5">
        <f t="shared" si="3"/>
        <v>2.9698470767343041E-2</v>
      </c>
      <c r="K5">
        <f>($N$2*H5)/(((1/$O$2)+H5^$P$2)^(1/$P$2))</f>
        <v>5.1352869062467176E-3</v>
      </c>
      <c r="L5">
        <f>(K5-J5)^2</f>
        <v>6.0335000139402281E-4</v>
      </c>
      <c r="N5">
        <v>10</v>
      </c>
      <c r="O5">
        <f>($N$2*N5)/(((1/$O$2)+N5^$P$2)^(1/$P$2))</f>
        <v>0.19663307020079826</v>
      </c>
    </row>
    <row r="6" spans="1:16" x14ac:dyDescent="0.25">
      <c r="A6">
        <v>0.10406</v>
      </c>
      <c r="B6">
        <f t="shared" si="0"/>
        <v>10.406000000000001</v>
      </c>
      <c r="C6">
        <v>8.0229999999999997</v>
      </c>
      <c r="D6">
        <f>C6/'Isotherm List'!$C$3</f>
        <v>0.18230361971414938</v>
      </c>
      <c r="E6">
        <f t="shared" si="1"/>
        <v>0.18230361971414938</v>
      </c>
      <c r="H6">
        <f t="shared" si="2"/>
        <v>5.3719999999999999</v>
      </c>
      <c r="I6">
        <f t="shared" si="3"/>
        <v>0.11095457747278965</v>
      </c>
      <c r="J6">
        <f t="shared" si="3"/>
        <v>0.11095457747278965</v>
      </c>
      <c r="K6">
        <f t="shared" ref="K6:K12" si="4">($N$2*H6)/(((1/$O$2)+H6^$P$2)^(1/$P$2))</f>
        <v>0.1056611821308527</v>
      </c>
      <c r="L6">
        <f t="shared" ref="L6:L12" si="5">(K6-J6)^2</f>
        <v>2.8020034246039875E-5</v>
      </c>
      <c r="N6">
        <v>30</v>
      </c>
      <c r="O6">
        <f t="shared" ref="O6:O8" si="6">($N$2*N6)/(((1/$O$2)+N6^$P$2)^(1/$P$2))</f>
        <v>0.58921337031913967</v>
      </c>
    </row>
    <row r="7" spans="1:16" x14ac:dyDescent="0.25">
      <c r="A7">
        <v>0.20263999999999999</v>
      </c>
      <c r="B7">
        <f t="shared" si="0"/>
        <v>20.263999999999999</v>
      </c>
      <c r="C7">
        <v>16.594000000000001</v>
      </c>
      <c r="D7">
        <f>C7/'Isotherm List'!$C$3</f>
        <v>0.37705923788316031</v>
      </c>
      <c r="E7">
        <f t="shared" si="1"/>
        <v>0.37705923788316031</v>
      </c>
      <c r="H7">
        <f t="shared" si="2"/>
        <v>10.406000000000001</v>
      </c>
      <c r="I7">
        <f t="shared" si="3"/>
        <v>0.18230361971414938</v>
      </c>
      <c r="J7">
        <f t="shared" si="3"/>
        <v>0.18230361971414938</v>
      </c>
      <c r="K7">
        <f t="shared" si="4"/>
        <v>0.20461137434691881</v>
      </c>
      <c r="L7">
        <f t="shared" si="5"/>
        <v>4.9763591675584611E-4</v>
      </c>
      <c r="N7">
        <v>50</v>
      </c>
      <c r="O7">
        <f t="shared" si="6"/>
        <v>0.98092526370352218</v>
      </c>
    </row>
    <row r="8" spans="1:16" x14ac:dyDescent="0.25">
      <c r="A8">
        <v>0.30277999999999999</v>
      </c>
      <c r="B8">
        <f t="shared" si="0"/>
        <v>30.277999999999999</v>
      </c>
      <c r="C8">
        <v>23.31</v>
      </c>
      <c r="D8">
        <f>C8/'Isotherm List'!$C$3</f>
        <v>0.52966438682996653</v>
      </c>
      <c r="E8">
        <f t="shared" si="1"/>
        <v>0.52966438682996653</v>
      </c>
      <c r="H8">
        <f t="shared" si="2"/>
        <v>20.263999999999999</v>
      </c>
      <c r="I8">
        <f t="shared" si="3"/>
        <v>0.37705923788316031</v>
      </c>
      <c r="J8">
        <f t="shared" si="3"/>
        <v>0.37705923788316031</v>
      </c>
      <c r="K8">
        <f t="shared" si="4"/>
        <v>0.39821615976122721</v>
      </c>
      <c r="L8">
        <f t="shared" si="5"/>
        <v>4.476153433546255E-4</v>
      </c>
      <c r="N8">
        <v>70</v>
      </c>
      <c r="O8">
        <f t="shared" si="6"/>
        <v>1.3717961099030243</v>
      </c>
    </row>
    <row r="9" spans="1:16" x14ac:dyDescent="0.25">
      <c r="A9">
        <v>0.44257000000000002</v>
      </c>
      <c r="B9">
        <f t="shared" si="0"/>
        <v>44.257000000000005</v>
      </c>
      <c r="C9">
        <v>35.787999999999997</v>
      </c>
      <c r="D9">
        <f>C9/'Isotherm List'!$C$3</f>
        <v>0.81319730055215966</v>
      </c>
      <c r="E9">
        <f t="shared" si="1"/>
        <v>0.81319730055215966</v>
      </c>
      <c r="H9">
        <f t="shared" si="2"/>
        <v>30.277999999999999</v>
      </c>
      <c r="I9">
        <f t="shared" si="3"/>
        <v>0.52966438682996653</v>
      </c>
      <c r="J9">
        <f t="shared" si="3"/>
        <v>0.52966438682996653</v>
      </c>
      <c r="K9">
        <f t="shared" si="4"/>
        <v>0.59466403543980384</v>
      </c>
      <c r="L9">
        <f t="shared" si="5"/>
        <v>4.2249543194023253E-3</v>
      </c>
      <c r="N9">
        <v>100</v>
      </c>
      <c r="O9">
        <f>($N$2*N9)/(((1/$O$2)+N9^$P$2)^(1/$P$2))</f>
        <v>1.9565632997151305</v>
      </c>
    </row>
    <row r="10" spans="1:16" x14ac:dyDescent="0.25">
      <c r="A10">
        <v>0.78107000000000004</v>
      </c>
      <c r="B10">
        <f t="shared" si="0"/>
        <v>78.106999999999999</v>
      </c>
      <c r="C10">
        <v>66.497</v>
      </c>
      <c r="D10">
        <f>C10/'Isotherm List'!$C$3</f>
        <v>1.5109863891476742</v>
      </c>
      <c r="E10">
        <f t="shared" si="1"/>
        <v>1.5109863891476742</v>
      </c>
      <c r="H10">
        <f t="shared" si="2"/>
        <v>44.257000000000005</v>
      </c>
      <c r="I10">
        <f t="shared" si="3"/>
        <v>0.81319730055215966</v>
      </c>
      <c r="J10">
        <f t="shared" si="3"/>
        <v>0.81319730055215966</v>
      </c>
      <c r="K10">
        <f t="shared" si="4"/>
        <v>0.86853221822565252</v>
      </c>
      <c r="L10">
        <f t="shared" si="5"/>
        <v>3.0619531139322322E-3</v>
      </c>
      <c r="N10">
        <v>200</v>
      </c>
    </row>
    <row r="11" spans="1:16" x14ac:dyDescent="0.25">
      <c r="A11">
        <v>1.0814999999999999</v>
      </c>
      <c r="B11">
        <f t="shared" si="0"/>
        <v>108.14999999999999</v>
      </c>
      <c r="C11">
        <v>95.915000000000006</v>
      </c>
      <c r="D11">
        <f>C11/'Isotherm List'!$C$3</f>
        <v>2.179440568974528</v>
      </c>
      <c r="E11">
        <f t="shared" si="1"/>
        <v>2.179440568974528</v>
      </c>
      <c r="H11">
        <f t="shared" si="2"/>
        <v>78.106999999999999</v>
      </c>
      <c r="I11">
        <f t="shared" si="3"/>
        <v>1.5109863891476742</v>
      </c>
      <c r="J11">
        <f t="shared" si="3"/>
        <v>1.5109863891476742</v>
      </c>
      <c r="K11">
        <f t="shared" si="4"/>
        <v>1.5300003072182768</v>
      </c>
      <c r="L11">
        <f t="shared" si="5"/>
        <v>3.61529080395588E-4</v>
      </c>
      <c r="N11">
        <v>300</v>
      </c>
    </row>
    <row r="12" spans="1:16" x14ac:dyDescent="0.25">
      <c r="H12">
        <f t="shared" si="2"/>
        <v>108.14999999999999</v>
      </c>
      <c r="I12">
        <f t="shared" si="3"/>
        <v>2.179440568974528</v>
      </c>
      <c r="J12">
        <f t="shared" si="3"/>
        <v>2.179440568974528</v>
      </c>
      <c r="K12">
        <f t="shared" si="4"/>
        <v>2.1151110446580121</v>
      </c>
      <c r="L12">
        <f t="shared" si="5"/>
        <v>4.1382876987892028E-3</v>
      </c>
      <c r="N12">
        <v>400</v>
      </c>
    </row>
    <row r="13" spans="1:16" x14ac:dyDescent="0.25">
      <c r="N13">
        <v>500</v>
      </c>
    </row>
    <row r="14" spans="1:16" x14ac:dyDescent="0.25">
      <c r="N14">
        <v>600</v>
      </c>
    </row>
    <row r="15" spans="1:16" x14ac:dyDescent="0.25">
      <c r="N15">
        <v>700</v>
      </c>
    </row>
    <row r="16" spans="1:16" x14ac:dyDescent="0.25">
      <c r="N16">
        <v>800</v>
      </c>
    </row>
    <row r="17" spans="14:14" x14ac:dyDescent="0.25">
      <c r="N17">
        <v>900</v>
      </c>
    </row>
    <row r="18" spans="14:14" x14ac:dyDescent="0.25">
      <c r="N18">
        <v>1000</v>
      </c>
    </row>
    <row r="19" spans="14:14" x14ac:dyDescent="0.25">
      <c r="N19">
        <v>1500</v>
      </c>
    </row>
    <row r="20" spans="14:14" x14ac:dyDescent="0.25">
      <c r="N20">
        <v>2000</v>
      </c>
    </row>
    <row r="21" spans="14:14" x14ac:dyDescent="0.25">
      <c r="N21">
        <v>3000</v>
      </c>
    </row>
    <row r="22" spans="14:14" x14ac:dyDescent="0.25">
      <c r="N22">
        <v>4000</v>
      </c>
    </row>
    <row r="23" spans="14:14" x14ac:dyDescent="0.25">
      <c r="N23">
        <v>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7399-9808-4F16-A5FD-594B7A8F7830}">
  <dimension ref="A1:P23"/>
  <sheetViews>
    <sheetView topLeftCell="D1" workbookViewId="0">
      <selection activeCell="I23" sqref="I23"/>
    </sheetView>
  </sheetViews>
  <sheetFormatPr defaultRowHeight="15" x14ac:dyDescent="0.25"/>
  <cols>
    <col min="3" max="3" width="12.28515625" customWidth="1"/>
    <col min="4" max="4" width="19.42578125" customWidth="1"/>
    <col min="15" max="15" width="19" customWidth="1"/>
  </cols>
  <sheetData>
    <row r="1" spans="1:16" x14ac:dyDescent="0.25"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SUM(L5:L23)</f>
        <v>0.42358679701139473</v>
      </c>
      <c r="N2">
        <v>12.26130245886395</v>
      </c>
      <c r="O2">
        <v>1.9503646047645085E-4</v>
      </c>
      <c r="P2">
        <v>1.3482532958588791</v>
      </c>
    </row>
    <row r="3" spans="1:16" x14ac:dyDescent="0.25">
      <c r="A3" t="s">
        <v>32</v>
      </c>
      <c r="B3" t="s">
        <v>34</v>
      </c>
      <c r="C3" t="s">
        <v>35</v>
      </c>
      <c r="D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0.11473800000000001</v>
      </c>
      <c r="B4">
        <f>A4*100</f>
        <v>11.473800000000001</v>
      </c>
      <c r="C4">
        <v>4.5070199999999998E-2</v>
      </c>
      <c r="D4">
        <f>C4*'Isotherm List'!$G$4/'Isotherm List'!$G$13</f>
        <v>5.2164249479999994E-2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0.75830200000000003</v>
      </c>
      <c r="B5">
        <f t="shared" ref="B5:B22" si="0">A5*100</f>
        <v>75.830200000000005</v>
      </c>
      <c r="C5">
        <v>1.1091</v>
      </c>
      <c r="D5">
        <f>C5*'Isotherm List'!$G$4/'Isotherm List'!$G$13</f>
        <v>1.2836723399999999</v>
      </c>
      <c r="H5">
        <f t="shared" ref="H5:H23" si="1">B4</f>
        <v>11.473800000000001</v>
      </c>
      <c r="I5">
        <f t="shared" ref="I5:I23" si="2">C4</f>
        <v>4.5070199999999998E-2</v>
      </c>
      <c r="J5">
        <f t="shared" ref="J5:J23" si="3">D4</f>
        <v>5.2164249479999994E-2</v>
      </c>
      <c r="K5">
        <f>($N$2*H5)/(((1/$O$2)+H5^$P$2)^(1/$P$2))</f>
        <v>0.24827878775622028</v>
      </c>
      <c r="L5">
        <f>(K5-J5)^2</f>
        <v>3.8460912123295068E-2</v>
      </c>
      <c r="N5">
        <v>10</v>
      </c>
      <c r="O5">
        <f>($N$2*N5)/(((1/$O$2)+N5^$P$2)^(1/$P$2))</f>
        <v>0.21652909380943766</v>
      </c>
    </row>
    <row r="6" spans="1:16" x14ac:dyDescent="0.25">
      <c r="A6">
        <v>1.25885</v>
      </c>
      <c r="B6">
        <f t="shared" si="0"/>
        <v>125.88500000000001</v>
      </c>
      <c r="C6">
        <v>2.1387999999999998</v>
      </c>
      <c r="D6">
        <f>C6*'Isotherm List'!$G$4/'Isotherm List'!$G$13</f>
        <v>2.4754471199999997</v>
      </c>
      <c r="H6">
        <f t="shared" si="1"/>
        <v>75.830200000000005</v>
      </c>
      <c r="I6">
        <f t="shared" si="2"/>
        <v>1.1091</v>
      </c>
      <c r="J6">
        <f t="shared" si="3"/>
        <v>1.2836723399999999</v>
      </c>
      <c r="K6">
        <f t="shared" ref="K6:K12" si="4">($N$2*H6)/(((1/$O$2)+H6^$P$2)^(1/$P$2))</f>
        <v>1.5701254899586656</v>
      </c>
      <c r="L6">
        <f t="shared" ref="L6:L12" si="5">(K6-J6)^2</f>
        <v>8.2055407121241861E-2</v>
      </c>
      <c r="N6">
        <v>30</v>
      </c>
      <c r="O6">
        <f t="shared" ref="O6:O8" si="6">($N$2*N6)/(((1/$O$2)+N6^$P$2)^(1/$P$2))</f>
        <v>0.64258756951586304</v>
      </c>
    </row>
    <row r="7" spans="1:16" x14ac:dyDescent="0.25">
      <c r="A7">
        <v>1.9739199999999999</v>
      </c>
      <c r="B7">
        <f t="shared" si="0"/>
        <v>197.392</v>
      </c>
      <c r="C7">
        <v>2.9625599999999999</v>
      </c>
      <c r="D7">
        <f>C7*'Isotherm List'!$G$4/'Isotherm List'!$G$13</f>
        <v>3.4288669439999997</v>
      </c>
      <c r="H7">
        <f t="shared" si="1"/>
        <v>125.88500000000001</v>
      </c>
      <c r="I7">
        <f t="shared" si="2"/>
        <v>2.1387999999999998</v>
      </c>
      <c r="J7">
        <f t="shared" si="3"/>
        <v>2.4754471199999997</v>
      </c>
      <c r="K7">
        <f t="shared" si="4"/>
        <v>2.4938912237501176</v>
      </c>
      <c r="L7">
        <f t="shared" si="5"/>
        <v>3.4018496314511531E-4</v>
      </c>
      <c r="N7">
        <v>50</v>
      </c>
      <c r="O7">
        <f t="shared" si="6"/>
        <v>1.056437921552337</v>
      </c>
    </row>
    <row r="8" spans="1:16" x14ac:dyDescent="0.25">
      <c r="A8">
        <v>2.4744700000000002</v>
      </c>
      <c r="B8">
        <f t="shared" si="0"/>
        <v>247.447</v>
      </c>
      <c r="C8">
        <v>3.7863199999999999</v>
      </c>
      <c r="D8">
        <f>C8*'Isotherm List'!$G$4/'Isotherm List'!$G$13</f>
        <v>4.3822867680000002</v>
      </c>
      <c r="H8">
        <f t="shared" si="1"/>
        <v>197.392</v>
      </c>
      <c r="I8">
        <f t="shared" si="2"/>
        <v>2.9625599999999999</v>
      </c>
      <c r="J8">
        <f t="shared" si="3"/>
        <v>3.4288669439999997</v>
      </c>
      <c r="K8">
        <f t="shared" si="4"/>
        <v>3.6499837217229887</v>
      </c>
      <c r="L8">
        <f t="shared" si="5"/>
        <v>4.8892629390597721E-2</v>
      </c>
      <c r="N8">
        <v>70</v>
      </c>
      <c r="O8">
        <f t="shared" si="6"/>
        <v>1.4563256070304302</v>
      </c>
    </row>
    <row r="9" spans="1:16" x14ac:dyDescent="0.25">
      <c r="A9">
        <v>2.9750200000000002</v>
      </c>
      <c r="B9">
        <f t="shared" si="0"/>
        <v>297.50200000000001</v>
      </c>
      <c r="C9">
        <v>4.5242800000000001</v>
      </c>
      <c r="D9">
        <f>C9*'Isotherm List'!$G$4/'Isotherm List'!$G$13</f>
        <v>5.2364016720000004</v>
      </c>
      <c r="H9">
        <f t="shared" si="1"/>
        <v>247.447</v>
      </c>
      <c r="I9">
        <f t="shared" si="2"/>
        <v>3.7863199999999999</v>
      </c>
      <c r="J9">
        <f t="shared" si="3"/>
        <v>4.3822867680000002</v>
      </c>
      <c r="K9">
        <f t="shared" si="4"/>
        <v>4.3530002470168707</v>
      </c>
      <c r="L9">
        <f t="shared" si="5"/>
        <v>8.5770031129528152E-4</v>
      </c>
      <c r="N9">
        <v>100</v>
      </c>
      <c r="O9">
        <f>($N$2*N9)/(((1/$O$2)+N9^$P$2)^(1/$P$2))</f>
        <v>2.0281616234116639</v>
      </c>
    </row>
    <row r="10" spans="1:16" x14ac:dyDescent="0.25">
      <c r="A10">
        <v>5.9783200000000001</v>
      </c>
      <c r="B10">
        <f t="shared" si="0"/>
        <v>597.83199999999999</v>
      </c>
      <c r="C10">
        <v>6.6008500000000003</v>
      </c>
      <c r="D10">
        <f>C10*'Isotherm List'!$G$4/'Isotherm List'!$G$13</f>
        <v>7.6398237900000003</v>
      </c>
      <c r="H10">
        <f t="shared" si="1"/>
        <v>297.50200000000001</v>
      </c>
      <c r="I10">
        <f t="shared" si="2"/>
        <v>4.5242800000000001</v>
      </c>
      <c r="J10">
        <f t="shared" si="3"/>
        <v>5.2364016720000004</v>
      </c>
      <c r="K10">
        <f t="shared" si="4"/>
        <v>4.9781218259890725</v>
      </c>
      <c r="L10">
        <f t="shared" si="5"/>
        <v>6.6708478855428632E-2</v>
      </c>
      <c r="N10">
        <v>200</v>
      </c>
      <c r="O10">
        <f t="shared" ref="O10:O23" si="7">($N$2*N10)/(((1/$O$2)+N10^$P$2)^(1/$P$2))</f>
        <v>3.688677409558569</v>
      </c>
    </row>
    <row r="11" spans="1:16" x14ac:dyDescent="0.25">
      <c r="A11">
        <v>8.7670999999999992</v>
      </c>
      <c r="B11">
        <f t="shared" si="0"/>
        <v>876.70999999999992</v>
      </c>
      <c r="C11">
        <v>7.8021700000000003</v>
      </c>
      <c r="D11">
        <f>C11*'Isotherm List'!$G$4/'Isotherm List'!$G$13</f>
        <v>9.0302315580000005</v>
      </c>
      <c r="H11">
        <f t="shared" si="1"/>
        <v>597.83199999999999</v>
      </c>
      <c r="I11">
        <f t="shared" si="2"/>
        <v>6.6008500000000003</v>
      </c>
      <c r="J11">
        <f t="shared" si="3"/>
        <v>7.6398237900000003</v>
      </c>
      <c r="K11">
        <f t="shared" si="4"/>
        <v>7.5422200784697875</v>
      </c>
      <c r="L11">
        <f t="shared" si="5"/>
        <v>9.5264845044730068E-3</v>
      </c>
      <c r="N11">
        <v>300</v>
      </c>
      <c r="O11">
        <f t="shared" si="7"/>
        <v>5.0074368327177465</v>
      </c>
    </row>
    <row r="12" spans="1:16" x14ac:dyDescent="0.25">
      <c r="A12">
        <v>12.271000000000001</v>
      </c>
      <c r="B12">
        <f t="shared" si="0"/>
        <v>1227.1000000000001</v>
      </c>
      <c r="C12">
        <v>8.4543099999999995</v>
      </c>
      <c r="D12">
        <f>C12*'Isotherm List'!$G$4/'Isotherm List'!$G$13</f>
        <v>9.7850183939999997</v>
      </c>
      <c r="H12">
        <f t="shared" si="1"/>
        <v>876.70999999999992</v>
      </c>
      <c r="I12">
        <f t="shared" si="2"/>
        <v>7.8021700000000003</v>
      </c>
      <c r="J12">
        <f t="shared" si="3"/>
        <v>9.0302315580000005</v>
      </c>
      <c r="K12">
        <f t="shared" si="4"/>
        <v>8.8489449730764989</v>
      </c>
      <c r="L12">
        <f t="shared" si="5"/>
        <v>3.2864825873225992E-2</v>
      </c>
      <c r="N12">
        <v>400</v>
      </c>
      <c r="O12">
        <f t="shared" si="7"/>
        <v>6.0517037198426431</v>
      </c>
    </row>
    <row r="13" spans="1:16" x14ac:dyDescent="0.25">
      <c r="A13">
        <v>15.2027</v>
      </c>
      <c r="B13">
        <f t="shared" si="0"/>
        <v>1520.27</v>
      </c>
      <c r="C13">
        <v>8.8490300000000008</v>
      </c>
      <c r="D13">
        <f>C13*'Isotherm List'!$G$4/'Isotherm List'!$G$13</f>
        <v>10.241867322000001</v>
      </c>
      <c r="H13">
        <f t="shared" si="1"/>
        <v>1227.1000000000001</v>
      </c>
      <c r="I13">
        <f t="shared" si="2"/>
        <v>8.4543099999999995</v>
      </c>
      <c r="J13">
        <f t="shared" si="3"/>
        <v>9.7850183939999997</v>
      </c>
      <c r="K13">
        <f t="shared" ref="K13:K21" si="8">($N$2*H13)/(((1/$O$2)+H13^$P$2)^(1/$P$2))</f>
        <v>9.8091747048612685</v>
      </c>
      <c r="L13">
        <f t="shared" ref="L13:L21" si="9">(K13-J13)^2</f>
        <v>5.8352735442625259E-4</v>
      </c>
      <c r="N13">
        <v>500</v>
      </c>
      <c r="O13">
        <f t="shared" si="7"/>
        <v>6.884329408256761</v>
      </c>
    </row>
    <row r="14" spans="1:16" x14ac:dyDescent="0.25">
      <c r="A14">
        <v>18.2776</v>
      </c>
      <c r="B14">
        <f t="shared" si="0"/>
        <v>1827.76</v>
      </c>
      <c r="C14">
        <v>9.1064600000000002</v>
      </c>
      <c r="D14">
        <f>C14*'Isotherm List'!$G$4/'Isotherm List'!$G$13</f>
        <v>10.539816804000001</v>
      </c>
      <c r="H14">
        <f t="shared" si="1"/>
        <v>1520.27</v>
      </c>
      <c r="I14">
        <f t="shared" si="2"/>
        <v>8.8490300000000008</v>
      </c>
      <c r="J14">
        <f t="shared" si="3"/>
        <v>10.241867322000001</v>
      </c>
      <c r="K14">
        <f t="shared" si="8"/>
        <v>10.311982622696</v>
      </c>
      <c r="L14">
        <f t="shared" si="9"/>
        <v>4.9161553916903774E-3</v>
      </c>
      <c r="N14">
        <v>600</v>
      </c>
      <c r="O14">
        <f t="shared" si="7"/>
        <v>7.5553372443089506</v>
      </c>
    </row>
    <row r="15" spans="1:16" x14ac:dyDescent="0.25">
      <c r="A15">
        <v>21.280899999999999</v>
      </c>
      <c r="B15">
        <f t="shared" si="0"/>
        <v>2128.0899999999997</v>
      </c>
      <c r="C15">
        <v>9.3467199999999995</v>
      </c>
      <c r="D15">
        <f>C15*'Isotherm List'!$G$4/'Isotherm List'!$G$13</f>
        <v>10.817893728</v>
      </c>
      <c r="H15">
        <f t="shared" si="1"/>
        <v>1827.76</v>
      </c>
      <c r="I15">
        <f t="shared" si="2"/>
        <v>9.1064600000000002</v>
      </c>
      <c r="J15">
        <f t="shared" si="3"/>
        <v>10.539816804000001</v>
      </c>
      <c r="K15">
        <f t="shared" si="8"/>
        <v>10.676737407708034</v>
      </c>
      <c r="L15">
        <f t="shared" si="9"/>
        <v>1.8747251719772172E-2</v>
      </c>
      <c r="N15">
        <v>700</v>
      </c>
      <c r="O15">
        <f t="shared" si="7"/>
        <v>8.1025437129455185</v>
      </c>
    </row>
    <row r="16" spans="1:16" x14ac:dyDescent="0.25">
      <c r="A16">
        <v>24.5702</v>
      </c>
      <c r="B16">
        <f t="shared" si="0"/>
        <v>2457.02</v>
      </c>
      <c r="C16">
        <v>9.5011799999999997</v>
      </c>
      <c r="D16">
        <f>C16*'Isotherm List'!$G$4/'Isotherm List'!$G$13</f>
        <v>10.996665732</v>
      </c>
      <c r="H16">
        <f t="shared" si="1"/>
        <v>2128.0899999999997</v>
      </c>
      <c r="I16">
        <f t="shared" si="2"/>
        <v>9.3467199999999995</v>
      </c>
      <c r="J16">
        <f t="shared" si="3"/>
        <v>10.817893728</v>
      </c>
      <c r="K16">
        <f t="shared" si="8"/>
        <v>10.933759178240775</v>
      </c>
      <c r="L16">
        <f t="shared" si="9"/>
        <v>1.342480255949766E-2</v>
      </c>
      <c r="N16">
        <v>800</v>
      </c>
      <c r="O16">
        <f t="shared" si="7"/>
        <v>8.5540955862003827</v>
      </c>
    </row>
    <row r="17" spans="1:15" x14ac:dyDescent="0.25">
      <c r="A17">
        <v>27.430499999999999</v>
      </c>
      <c r="B17">
        <f t="shared" si="0"/>
        <v>2743.0499999999997</v>
      </c>
      <c r="C17">
        <v>9.6899499999999996</v>
      </c>
      <c r="D17">
        <f>C17*'Isotherm List'!$G$4/'Isotherm List'!$G$13</f>
        <v>11.215148129999999</v>
      </c>
      <c r="H17">
        <f t="shared" si="1"/>
        <v>2457.02</v>
      </c>
      <c r="I17">
        <f t="shared" si="2"/>
        <v>9.5011799999999997</v>
      </c>
      <c r="J17">
        <f t="shared" si="3"/>
        <v>10.996665732</v>
      </c>
      <c r="K17">
        <f t="shared" si="8"/>
        <v>11.142865821695539</v>
      </c>
      <c r="L17">
        <f t="shared" si="9"/>
        <v>2.1374466226983486E-2</v>
      </c>
      <c r="N17">
        <v>900</v>
      </c>
      <c r="O17">
        <f t="shared" si="7"/>
        <v>8.9309315650497449</v>
      </c>
    </row>
    <row r="18" spans="1:15" x14ac:dyDescent="0.25">
      <c r="A18">
        <v>30.362300000000001</v>
      </c>
      <c r="B18">
        <f t="shared" si="0"/>
        <v>3036.23</v>
      </c>
      <c r="C18">
        <v>9.77576</v>
      </c>
      <c r="D18">
        <f>C18*'Isotherm List'!$G$4/'Isotherm List'!$G$13</f>
        <v>11.314464623999999</v>
      </c>
      <c r="H18">
        <f t="shared" si="1"/>
        <v>2743.0499999999997</v>
      </c>
      <c r="I18">
        <f t="shared" si="2"/>
        <v>9.6899499999999996</v>
      </c>
      <c r="J18">
        <f t="shared" si="3"/>
        <v>11.215148129999999</v>
      </c>
      <c r="K18">
        <f t="shared" si="8"/>
        <v>11.282869549807288</v>
      </c>
      <c r="L18">
        <f t="shared" si="9"/>
        <v>4.5861907007149648E-3</v>
      </c>
      <c r="N18">
        <v>1000</v>
      </c>
      <c r="O18">
        <f t="shared" si="7"/>
        <v>9.2487274686869601</v>
      </c>
    </row>
    <row r="19" spans="1:15" x14ac:dyDescent="0.25">
      <c r="A19">
        <v>33.580100000000002</v>
      </c>
      <c r="B19">
        <f t="shared" si="0"/>
        <v>3358.01</v>
      </c>
      <c r="C19">
        <v>9.9130599999999998</v>
      </c>
      <c r="D19">
        <f>C19*'Isotherm List'!$G$4/'Isotherm List'!$G$13</f>
        <v>11.473375643999999</v>
      </c>
      <c r="H19">
        <f t="shared" si="1"/>
        <v>3036.23</v>
      </c>
      <c r="I19">
        <f t="shared" si="2"/>
        <v>9.77576</v>
      </c>
      <c r="J19">
        <f t="shared" si="3"/>
        <v>11.314464623999999</v>
      </c>
      <c r="K19">
        <f t="shared" si="8"/>
        <v>11.397800863732549</v>
      </c>
      <c r="L19">
        <f t="shared" si="9"/>
        <v>6.9449288527609525E-3</v>
      </c>
      <c r="N19">
        <v>1500</v>
      </c>
      <c r="O19">
        <f t="shared" si="7"/>
        <v>10.282998845212392</v>
      </c>
    </row>
    <row r="20" spans="1:15" x14ac:dyDescent="0.25">
      <c r="A20">
        <v>39.658200000000001</v>
      </c>
      <c r="B20">
        <f t="shared" si="0"/>
        <v>3965.82</v>
      </c>
      <c r="C20">
        <v>10.101800000000001</v>
      </c>
      <c r="D20">
        <f>C20*'Isotherm List'!$G$4/'Isotherm List'!$G$13</f>
        <v>11.691823320000001</v>
      </c>
      <c r="H20">
        <f t="shared" si="1"/>
        <v>3358.01</v>
      </c>
      <c r="I20">
        <f t="shared" si="2"/>
        <v>9.9130599999999998</v>
      </c>
      <c r="J20">
        <f t="shared" si="3"/>
        <v>11.473375643999999</v>
      </c>
      <c r="K20">
        <f t="shared" si="8"/>
        <v>11.499522793605987</v>
      </c>
      <c r="L20">
        <f t="shared" si="9"/>
        <v>6.8367343251791643E-4</v>
      </c>
      <c r="N20">
        <v>2000</v>
      </c>
      <c r="O20">
        <f t="shared" si="7"/>
        <v>10.833501021628491</v>
      </c>
    </row>
    <row r="21" spans="1:15" x14ac:dyDescent="0.25">
      <c r="A21">
        <v>45.521799999999999</v>
      </c>
      <c r="B21">
        <f t="shared" si="0"/>
        <v>4552.18</v>
      </c>
      <c r="C21">
        <v>10.2906</v>
      </c>
      <c r="D21">
        <f>C21*'Isotherm List'!$G$4/'Isotherm List'!$G$13</f>
        <v>11.910340439999999</v>
      </c>
      <c r="H21">
        <f t="shared" si="1"/>
        <v>3965.82</v>
      </c>
      <c r="I21">
        <f t="shared" si="2"/>
        <v>10.101800000000001</v>
      </c>
      <c r="J21">
        <f t="shared" si="3"/>
        <v>11.691823320000001</v>
      </c>
      <c r="K21">
        <f t="shared" si="8"/>
        <v>11.643589612029606</v>
      </c>
      <c r="L21">
        <f t="shared" si="9"/>
        <v>2.3264905845733408E-3</v>
      </c>
      <c r="N21">
        <v>3000</v>
      </c>
      <c r="O21">
        <f t="shared" si="7"/>
        <v>11.384884083521897</v>
      </c>
    </row>
    <row r="22" spans="1:15" x14ac:dyDescent="0.25">
      <c r="A22">
        <v>48.525100000000002</v>
      </c>
      <c r="B22">
        <f t="shared" si="0"/>
        <v>4852.51</v>
      </c>
      <c r="C22">
        <v>10.359299999999999</v>
      </c>
      <c r="D22">
        <f>C22*'Isotherm List'!$G$4/'Isotherm List'!$G$13</f>
        <v>11.989853819999999</v>
      </c>
      <c r="H22">
        <f t="shared" si="1"/>
        <v>4552.18</v>
      </c>
      <c r="I22">
        <f t="shared" si="2"/>
        <v>10.2906</v>
      </c>
      <c r="J22">
        <f t="shared" si="3"/>
        <v>11.910340439999999</v>
      </c>
      <c r="K22">
        <f t="shared" ref="K22:K23" si="10">($N$2*H22)/(((1/$O$2)+H22^$P$2)^(1/$P$2))</f>
        <v>11.743217436146272</v>
      </c>
      <c r="L22">
        <f t="shared" ref="L22:L23" si="11">(K22-J22)^2</f>
        <v>2.7930098417092635E-2</v>
      </c>
      <c r="N22">
        <v>4000</v>
      </c>
      <c r="O22">
        <f t="shared" si="7"/>
        <v>11.650282230214426</v>
      </c>
    </row>
    <row r="23" spans="1:15" x14ac:dyDescent="0.25">
      <c r="H23">
        <f t="shared" si="1"/>
        <v>4852.51</v>
      </c>
      <c r="I23">
        <f t="shared" si="2"/>
        <v>10.359299999999999</v>
      </c>
      <c r="J23">
        <f t="shared" si="3"/>
        <v>11.989853819999999</v>
      </c>
      <c r="K23">
        <f t="shared" si="10"/>
        <v>11.784032080067934</v>
      </c>
      <c r="L23">
        <f t="shared" si="11"/>
        <v>4.2362588628662316E-2</v>
      </c>
      <c r="N23">
        <v>5000</v>
      </c>
      <c r="O23">
        <f t="shared" si="7"/>
        <v>11.802088700866985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9F57-63BF-4845-9054-E853A913F4AB}">
  <dimension ref="A1:P23"/>
  <sheetViews>
    <sheetView workbookViewId="0">
      <selection activeCell="P4" sqref="P4"/>
    </sheetView>
  </sheetViews>
  <sheetFormatPr defaultRowHeight="15" x14ac:dyDescent="0.25"/>
  <cols>
    <col min="3" max="3" width="12.42578125" customWidth="1"/>
    <col min="4" max="4" width="18.28515625" customWidth="1"/>
    <col min="15" max="15" width="17.42578125" customWidth="1"/>
  </cols>
  <sheetData>
    <row r="1" spans="1:16" x14ac:dyDescent="0.25"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SUM(L5:L14)</f>
        <v>0.20954669402573523</v>
      </c>
      <c r="N2">
        <v>9.3921671847556158</v>
      </c>
      <c r="O2">
        <v>6.5907083416408142E-6</v>
      </c>
      <c r="P2">
        <v>1.8673919129617642</v>
      </c>
    </row>
    <row r="3" spans="1:16" x14ac:dyDescent="0.25">
      <c r="A3" t="s">
        <v>32</v>
      </c>
      <c r="B3" t="s">
        <v>34</v>
      </c>
      <c r="C3" t="s">
        <v>35</v>
      </c>
      <c r="D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0.64239999999999997</v>
      </c>
      <c r="B4">
        <f>A4*100</f>
        <v>64.239999999999995</v>
      </c>
      <c r="C4">
        <v>0.68169999999999997</v>
      </c>
      <c r="D4">
        <f>C4*'Isotherm List'!$G$4/'Isotherm List'!$H$14</f>
        <v>0.82016588357588349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1.8915</v>
      </c>
      <c r="B5">
        <f t="shared" ref="B5:B13" si="0">A5*100</f>
        <v>189.15</v>
      </c>
      <c r="C5">
        <v>2.2284000000000002</v>
      </c>
      <c r="D5">
        <f>C5*'Isotherm List'!$G$4/'Isotherm List'!$H$14</f>
        <v>2.6810292723492726</v>
      </c>
      <c r="H5">
        <f t="shared" ref="H5:H14" si="1">B4</f>
        <v>64.239999999999995</v>
      </c>
      <c r="I5">
        <f t="shared" ref="I5:I14" si="2">C4</f>
        <v>0.68169999999999997</v>
      </c>
      <c r="J5">
        <f t="shared" ref="J5:J14" si="3">D4</f>
        <v>0.82016588357588349</v>
      </c>
      <c r="K5">
        <f>($N$2*H5)/(((1/$O$2)+H5^$P$2)^(1/$P$2))</f>
        <v>1.0056879608318832</v>
      </c>
      <c r="L5">
        <f>(K5-J5)^2</f>
        <v>3.4418441149381113E-2</v>
      </c>
      <c r="N5">
        <v>10</v>
      </c>
      <c r="O5">
        <f>($N$2*N5)/(((1/$O$2)+N5^$P$2)^(1/$P$2))</f>
        <v>0.15781880928588349</v>
      </c>
    </row>
    <row r="6" spans="1:16" x14ac:dyDescent="0.25">
      <c r="A6">
        <v>3.9186000000000001</v>
      </c>
      <c r="B6">
        <f t="shared" si="0"/>
        <v>391.86</v>
      </c>
      <c r="C6">
        <v>4.3173000000000004</v>
      </c>
      <c r="D6">
        <f>C6*'Isotherm List'!$G$4/'Isotherm List'!$H$14</f>
        <v>5.1942235135135135</v>
      </c>
      <c r="H6">
        <f t="shared" si="1"/>
        <v>189.15</v>
      </c>
      <c r="I6">
        <f t="shared" si="2"/>
        <v>2.2284000000000002</v>
      </c>
      <c r="J6">
        <f t="shared" si="3"/>
        <v>2.6810292723492726</v>
      </c>
      <c r="K6">
        <f t="shared" ref="K6:K14" si="4">($N$2*H6)/(((1/$O$2)+H6^$P$2)^(1/$P$2))</f>
        <v>2.8132496385025534</v>
      </c>
      <c r="L6">
        <f t="shared" ref="L6:L14" si="5">(K6-J6)^2</f>
        <v>1.7482225225707644E-2</v>
      </c>
      <c r="N6">
        <v>30</v>
      </c>
      <c r="O6">
        <f t="shared" ref="O6:O8" si="6">($N$2*N6)/(((1/$O$2)+N6^$P$2)^(1/$P$2))</f>
        <v>0.47262412111364527</v>
      </c>
    </row>
    <row r="7" spans="1:16" x14ac:dyDescent="0.25">
      <c r="A7">
        <v>6.7523</v>
      </c>
      <c r="B7">
        <f t="shared" si="0"/>
        <v>675.23</v>
      </c>
      <c r="C7">
        <v>5.8509000000000002</v>
      </c>
      <c r="D7">
        <f>C7*'Isotherm List'!$G$4/'Isotherm List'!$H$14</f>
        <v>7.0393260498960499</v>
      </c>
      <c r="H7">
        <f t="shared" si="1"/>
        <v>391.86</v>
      </c>
      <c r="I7">
        <f t="shared" si="2"/>
        <v>4.3173000000000004</v>
      </c>
      <c r="J7">
        <f t="shared" si="3"/>
        <v>5.1942235135135135</v>
      </c>
      <c r="K7">
        <f t="shared" si="4"/>
        <v>5.053965940655881</v>
      </c>
      <c r="L7">
        <f t="shared" si="5"/>
        <v>1.9672186743914095E-2</v>
      </c>
      <c r="N7">
        <v>50</v>
      </c>
      <c r="O7">
        <f t="shared" si="6"/>
        <v>0.78518466125663011</v>
      </c>
    </row>
    <row r="8" spans="1:16" x14ac:dyDescent="0.25">
      <c r="A8">
        <v>10.028600000000001</v>
      </c>
      <c r="B8">
        <f t="shared" si="0"/>
        <v>1002.8600000000001</v>
      </c>
      <c r="C8">
        <v>6.5039999999999996</v>
      </c>
      <c r="D8">
        <f>C8*'Isotherm List'!$G$4/'Isotherm List'!$H$14</f>
        <v>7.825082744282744</v>
      </c>
      <c r="H8">
        <f t="shared" si="1"/>
        <v>675.23</v>
      </c>
      <c r="I8">
        <f t="shared" si="2"/>
        <v>5.8509000000000002</v>
      </c>
      <c r="J8">
        <f t="shared" si="3"/>
        <v>7.0393260498960499</v>
      </c>
      <c r="K8">
        <f t="shared" si="4"/>
        <v>6.8773570428183648</v>
      </c>
      <c r="L8">
        <f t="shared" si="5"/>
        <v>2.6233959253731218E-2</v>
      </c>
      <c r="N8">
        <v>70</v>
      </c>
      <c r="O8">
        <f t="shared" si="6"/>
        <v>1.0942911826520021</v>
      </c>
    </row>
    <row r="9" spans="1:16" x14ac:dyDescent="0.25">
      <c r="A9">
        <v>13.3405</v>
      </c>
      <c r="B9">
        <f t="shared" si="0"/>
        <v>1334.05</v>
      </c>
      <c r="C9">
        <v>6.9324000000000003</v>
      </c>
      <c r="D9">
        <f>C9*'Isotherm List'!$G$4/'Isotherm List'!$H$14</f>
        <v>8.3404987110187108</v>
      </c>
      <c r="H9">
        <f t="shared" si="1"/>
        <v>1002.8600000000001</v>
      </c>
      <c r="I9">
        <f t="shared" si="2"/>
        <v>6.5039999999999996</v>
      </c>
      <c r="J9">
        <f t="shared" si="3"/>
        <v>7.825082744282744</v>
      </c>
      <c r="K9">
        <f t="shared" si="4"/>
        <v>7.9128222734545046</v>
      </c>
      <c r="L9">
        <f t="shared" si="5"/>
        <v>7.6982249792822369E-3</v>
      </c>
      <c r="N9">
        <v>100</v>
      </c>
      <c r="O9">
        <f>($N$2*N9)/(((1/$O$2)+N9^$P$2)^(1/$P$2))</f>
        <v>1.5491534218688814</v>
      </c>
    </row>
    <row r="10" spans="1:16" x14ac:dyDescent="0.25">
      <c r="A10">
        <v>16.6524</v>
      </c>
      <c r="B10">
        <f t="shared" si="0"/>
        <v>1665.24</v>
      </c>
      <c r="C10">
        <v>7.1102999999999996</v>
      </c>
      <c r="D10">
        <f>C10*'Isotherm List'!$G$4/'Isotherm List'!$H$14</f>
        <v>8.5545334927234915</v>
      </c>
      <c r="H10">
        <f t="shared" si="1"/>
        <v>1334.05</v>
      </c>
      <c r="I10">
        <f t="shared" si="2"/>
        <v>6.9324000000000003</v>
      </c>
      <c r="J10">
        <f t="shared" si="3"/>
        <v>8.3404987110187108</v>
      </c>
      <c r="K10">
        <f t="shared" si="4"/>
        <v>8.4383173095812278</v>
      </c>
      <c r="L10">
        <f t="shared" si="5"/>
        <v>9.5684782247348662E-3</v>
      </c>
      <c r="N10">
        <v>200</v>
      </c>
      <c r="O10">
        <f t="shared" ref="O10:O21" si="7">($N$2*N10)/(((1/$O$2)+N10^$P$2)^(1/$P$2))</f>
        <v>2.9563763696853935</v>
      </c>
    </row>
    <row r="11" spans="1:16" x14ac:dyDescent="0.25">
      <c r="A11">
        <v>20.05</v>
      </c>
      <c r="B11">
        <f t="shared" si="0"/>
        <v>2005</v>
      </c>
      <c r="C11">
        <v>7.3140000000000001</v>
      </c>
      <c r="D11">
        <f>C11*'Isotherm List'!$G$4/'Isotherm List'!$H$14</f>
        <v>8.7996087318087319</v>
      </c>
      <c r="H11">
        <f t="shared" si="1"/>
        <v>1665.24</v>
      </c>
      <c r="I11">
        <f t="shared" si="2"/>
        <v>7.1102999999999996</v>
      </c>
      <c r="J11">
        <f t="shared" si="3"/>
        <v>8.5545334927234915</v>
      </c>
      <c r="K11">
        <f t="shared" si="4"/>
        <v>8.7298513659173427</v>
      </c>
      <c r="L11">
        <f t="shared" si="5"/>
        <v>3.073635666121528E-2</v>
      </c>
      <c r="N11">
        <v>300</v>
      </c>
      <c r="O11">
        <f t="shared" si="7"/>
        <v>4.1521209696508281</v>
      </c>
    </row>
    <row r="12" spans="1:16" x14ac:dyDescent="0.25">
      <c r="A12">
        <v>23.269100000000002</v>
      </c>
      <c r="B12">
        <f t="shared" si="0"/>
        <v>2326.9100000000003</v>
      </c>
      <c r="C12">
        <v>7.5693000000000001</v>
      </c>
      <c r="D12">
        <f>C12*'Isotherm List'!$G$4/'Isotherm List'!$H$14</f>
        <v>9.1067648856548864</v>
      </c>
      <c r="H12">
        <f t="shared" si="1"/>
        <v>2005</v>
      </c>
      <c r="I12">
        <f t="shared" si="2"/>
        <v>7.3140000000000001</v>
      </c>
      <c r="J12">
        <f t="shared" si="3"/>
        <v>8.7996087318087319</v>
      </c>
      <c r="K12">
        <f t="shared" si="4"/>
        <v>8.9098771065938234</v>
      </c>
      <c r="L12">
        <f t="shared" si="5"/>
        <v>1.2159114477745389E-2</v>
      </c>
      <c r="N12">
        <v>400</v>
      </c>
      <c r="O12">
        <f t="shared" si="7"/>
        <v>5.1252770095069131</v>
      </c>
    </row>
    <row r="13" spans="1:16" x14ac:dyDescent="0.25">
      <c r="A13">
        <v>25.674499999999998</v>
      </c>
      <c r="B13">
        <f t="shared" si="0"/>
        <v>2567.4499999999998</v>
      </c>
      <c r="C13">
        <v>7.7214999999999998</v>
      </c>
      <c r="D13">
        <f>C13*'Isotherm List'!$G$4/'Isotherm List'!$H$14</f>
        <v>9.2898795218295209</v>
      </c>
      <c r="H13">
        <f t="shared" si="1"/>
        <v>2326.9100000000003</v>
      </c>
      <c r="I13">
        <f t="shared" si="2"/>
        <v>7.5693000000000001</v>
      </c>
      <c r="J13">
        <f t="shared" si="3"/>
        <v>9.1067648856548864</v>
      </c>
      <c r="K13">
        <f t="shared" si="4"/>
        <v>9.0203921118088335</v>
      </c>
      <c r="L13">
        <f t="shared" si="5"/>
        <v>7.4602560618614016E-3</v>
      </c>
      <c r="N13">
        <v>500</v>
      </c>
      <c r="O13">
        <f t="shared" si="7"/>
        <v>5.8985867180534477</v>
      </c>
    </row>
    <row r="14" spans="1:16" x14ac:dyDescent="0.25">
      <c r="H14">
        <f t="shared" si="1"/>
        <v>2567.4499999999998</v>
      </c>
      <c r="I14">
        <f t="shared" si="2"/>
        <v>7.7214999999999998</v>
      </c>
      <c r="J14">
        <f t="shared" si="3"/>
        <v>9.2898795218295209</v>
      </c>
      <c r="K14">
        <f t="shared" si="4"/>
        <v>9.0798379753484451</v>
      </c>
      <c r="L14">
        <f t="shared" si="5"/>
        <v>4.4117451248161958E-2</v>
      </c>
      <c r="N14">
        <v>600</v>
      </c>
      <c r="O14">
        <f t="shared" si="7"/>
        <v>6.5070440573579642</v>
      </c>
    </row>
    <row r="15" spans="1:16" x14ac:dyDescent="0.25">
      <c r="N15">
        <v>700</v>
      </c>
      <c r="O15">
        <f t="shared" si="7"/>
        <v>6.9854642315595177</v>
      </c>
    </row>
    <row r="16" spans="1:16" x14ac:dyDescent="0.25">
      <c r="N16">
        <v>800</v>
      </c>
      <c r="O16">
        <f t="shared" si="7"/>
        <v>7.363478982001844</v>
      </c>
    </row>
    <row r="17" spans="14:15" x14ac:dyDescent="0.25">
      <c r="N17">
        <v>900</v>
      </c>
      <c r="O17">
        <f t="shared" si="7"/>
        <v>7.6645501574457109</v>
      </c>
    </row>
    <row r="18" spans="14:15" x14ac:dyDescent="0.25">
      <c r="N18">
        <v>1000</v>
      </c>
      <c r="O18">
        <f t="shared" si="7"/>
        <v>7.9066232177582245</v>
      </c>
    </row>
    <row r="19" spans="14:15" x14ac:dyDescent="0.25">
      <c r="N19">
        <v>1500</v>
      </c>
      <c r="O19">
        <f t="shared" si="7"/>
        <v>8.6039152890721677</v>
      </c>
    </row>
    <row r="20" spans="14:15" x14ac:dyDescent="0.25">
      <c r="N20">
        <v>2000</v>
      </c>
      <c r="O20">
        <f t="shared" si="7"/>
        <v>8.9077872802590026</v>
      </c>
    </row>
    <row r="21" spans="14:15" x14ac:dyDescent="0.25">
      <c r="N21">
        <v>3000</v>
      </c>
      <c r="O21">
        <f t="shared" si="7"/>
        <v>9.1558192091373716</v>
      </c>
    </row>
    <row r="22" spans="14:15" x14ac:dyDescent="0.25">
      <c r="N22">
        <v>4000</v>
      </c>
    </row>
    <row r="23" spans="14:15" x14ac:dyDescent="0.25">
      <c r="N23">
        <v>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5B5E-4E6C-4D3C-8363-9E5771FC05CD}">
  <dimension ref="A1:P23"/>
  <sheetViews>
    <sheetView workbookViewId="0">
      <selection activeCell="P4" sqref="P4"/>
    </sheetView>
  </sheetViews>
  <sheetFormatPr defaultRowHeight="15" x14ac:dyDescent="0.25"/>
  <cols>
    <col min="1" max="1" width="13.140625" customWidth="1"/>
    <col min="3" max="3" width="15.140625" customWidth="1"/>
    <col min="4" max="4" width="16.28515625" customWidth="1"/>
    <col min="5" max="5" width="20.7109375" customWidth="1"/>
    <col min="6" max="6" width="10.28515625" customWidth="1"/>
    <col min="9" max="9" width="13.28515625" customWidth="1"/>
    <col min="10" max="10" width="13.5703125" customWidth="1"/>
    <col min="15" max="15" width="17.28515625" customWidth="1"/>
  </cols>
  <sheetData>
    <row r="1" spans="1:16" x14ac:dyDescent="0.25">
      <c r="A1" s="17" t="s">
        <v>63</v>
      </c>
      <c r="B1" s="17" t="s">
        <v>64</v>
      </c>
      <c r="C1" s="17">
        <v>1.06</v>
      </c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SUM(L5:L13)</f>
        <v>0.15800281425235632</v>
      </c>
      <c r="N2">
        <v>10.377478595537349</v>
      </c>
      <c r="O2">
        <v>6.917780090040088E-6</v>
      </c>
      <c r="P2">
        <v>1.8683210033495274</v>
      </c>
    </row>
    <row r="3" spans="1:16" x14ac:dyDescent="0.25">
      <c r="A3" t="s">
        <v>32</v>
      </c>
      <c r="B3" t="s">
        <v>34</v>
      </c>
      <c r="C3" t="s">
        <v>62</v>
      </c>
      <c r="D3" t="s">
        <v>35</v>
      </c>
      <c r="E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0.93258399999999997</v>
      </c>
      <c r="B4">
        <f>A4*100</f>
        <v>93.258399999999995</v>
      </c>
      <c r="C4">
        <v>1126.26</v>
      </c>
      <c r="D4">
        <f>C4/$C$1/1000</f>
        <v>1.062509433962264</v>
      </c>
      <c r="E4">
        <f>D4*'Isotherm List'!$G$4/'Isotherm List'!$G$15</f>
        <v>1.6180900248262162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1.3330200000000001</v>
      </c>
      <c r="B5">
        <f t="shared" ref="B5:B12" si="0">A5*100</f>
        <v>133.30200000000002</v>
      </c>
      <c r="C5">
        <v>1572.46</v>
      </c>
      <c r="D5">
        <f t="shared" ref="D5:D12" si="1">C5/$C$1/1000</f>
        <v>1.4834528301886791</v>
      </c>
      <c r="E5">
        <f>D5*'Isotherm List'!$G$4/'Isotherm List'!$G$15</f>
        <v>2.2591425074478648</v>
      </c>
      <c r="H5">
        <f t="shared" ref="H5:H13" si="2">B4</f>
        <v>93.258399999999995</v>
      </c>
      <c r="I5">
        <f t="shared" ref="I5:I13" si="3">D4</f>
        <v>1.062509433962264</v>
      </c>
      <c r="J5">
        <f t="shared" ref="J5:J13" si="4">E4</f>
        <v>1.6180900248262162</v>
      </c>
      <c r="K5">
        <f>($N$2*H5)/(((1/$O$2)+H5^$P$2)^(1/$P$2))</f>
        <v>1.6457045995350215</v>
      </c>
      <c r="L5">
        <f>(K5-J5)^2</f>
        <v>7.6256473634818596E-4</v>
      </c>
      <c r="N5">
        <v>10</v>
      </c>
      <c r="O5">
        <f>($N$2*N5)/(((1/$O$2)+N5^$P$2)^(1/$P$2))</f>
        <v>0.17952184549574132</v>
      </c>
    </row>
    <row r="6" spans="1:16" x14ac:dyDescent="0.25">
      <c r="A6">
        <v>1.9050800000000001</v>
      </c>
      <c r="B6">
        <f t="shared" si="0"/>
        <v>190.50800000000001</v>
      </c>
      <c r="C6">
        <v>2173.12</v>
      </c>
      <c r="D6">
        <f t="shared" si="1"/>
        <v>2.0501132075471697</v>
      </c>
      <c r="E6">
        <f>D6*'Isotherm List'!$G$4/'Isotherm List'!$G$15</f>
        <v>3.1221066137040712</v>
      </c>
      <c r="H6">
        <f t="shared" si="2"/>
        <v>133.30200000000002</v>
      </c>
      <c r="I6">
        <f t="shared" si="3"/>
        <v>1.4834528301886791</v>
      </c>
      <c r="J6">
        <f t="shared" si="4"/>
        <v>2.2591425074478648</v>
      </c>
      <c r="K6">
        <f t="shared" ref="K6:K13" si="5">($N$2*H6)/(((1/$O$2)+H6^$P$2)^(1/$P$2))</f>
        <v>2.3149095572757665</v>
      </c>
      <c r="L6">
        <f t="shared" ref="L6:L13" si="6">(K6-J6)^2</f>
        <v>3.1099638465076716E-3</v>
      </c>
      <c r="N6">
        <v>30</v>
      </c>
      <c r="O6">
        <f t="shared" ref="O6:O8" si="7">($N$2*N6)/(((1/$O$2)+N6^$P$2)^(1/$P$2))</f>
        <v>0.53756914613378881</v>
      </c>
    </row>
    <row r="7" spans="1:16" x14ac:dyDescent="0.25">
      <c r="A7">
        <v>2.9347799999999999</v>
      </c>
      <c r="B7">
        <f t="shared" si="0"/>
        <v>293.47800000000001</v>
      </c>
      <c r="C7">
        <v>3391.6</v>
      </c>
      <c r="D7">
        <f t="shared" si="1"/>
        <v>3.1996226415094338</v>
      </c>
      <c r="E7">
        <f>D7*'Isotherm List'!$G$4/'Isotherm List'!$G$15</f>
        <v>4.8726884806355502</v>
      </c>
      <c r="H7">
        <f t="shared" si="2"/>
        <v>190.50800000000001</v>
      </c>
      <c r="I7">
        <f t="shared" si="3"/>
        <v>2.0501132075471697</v>
      </c>
      <c r="J7">
        <f t="shared" si="4"/>
        <v>3.1221066137040712</v>
      </c>
      <c r="K7">
        <f t="shared" si="5"/>
        <v>3.2107859438371151</v>
      </c>
      <c r="L7">
        <f t="shared" si="6"/>
        <v>7.864023592845399E-3</v>
      </c>
      <c r="N7">
        <v>50</v>
      </c>
      <c r="O7">
        <f t="shared" si="7"/>
        <v>0.89292839823499615</v>
      </c>
    </row>
    <row r="8" spans="1:16" x14ac:dyDescent="0.25">
      <c r="A8">
        <v>5.0227899999999996</v>
      </c>
      <c r="B8">
        <f t="shared" si="0"/>
        <v>502.27899999999994</v>
      </c>
      <c r="C8">
        <v>4644.41</v>
      </c>
      <c r="D8">
        <f t="shared" si="1"/>
        <v>4.3815188679245276</v>
      </c>
      <c r="E8">
        <f>D8*'Isotherm List'!$G$4/'Isotherm List'!$G$15</f>
        <v>6.6725920233366427</v>
      </c>
      <c r="H8">
        <f t="shared" si="2"/>
        <v>293.47800000000001</v>
      </c>
      <c r="I8">
        <f t="shared" si="3"/>
        <v>3.1996226415094338</v>
      </c>
      <c r="J8">
        <f t="shared" si="4"/>
        <v>4.8726884806355502</v>
      </c>
      <c r="K8">
        <f t="shared" si="5"/>
        <v>4.6139464872290796</v>
      </c>
      <c r="L8">
        <f t="shared" si="6"/>
        <v>6.6947419151954041E-2</v>
      </c>
      <c r="N8">
        <v>70</v>
      </c>
      <c r="O8">
        <f t="shared" si="7"/>
        <v>1.2441529811210608</v>
      </c>
    </row>
    <row r="9" spans="1:16" x14ac:dyDescent="0.25">
      <c r="A9">
        <v>7.9116799999999996</v>
      </c>
      <c r="B9">
        <f t="shared" si="0"/>
        <v>791.16800000000001</v>
      </c>
      <c r="C9">
        <v>5622.63</v>
      </c>
      <c r="D9">
        <f t="shared" si="1"/>
        <v>5.304367924528302</v>
      </c>
      <c r="E9">
        <f>D9*'Isotherm List'!$G$4/'Isotherm List'!$G$15</f>
        <v>8.0779939945382324</v>
      </c>
      <c r="H9">
        <f t="shared" si="2"/>
        <v>502.27899999999994</v>
      </c>
      <c r="I9">
        <f t="shared" si="3"/>
        <v>4.3815188679245276</v>
      </c>
      <c r="J9">
        <f t="shared" si="4"/>
        <v>6.6725920233366427</v>
      </c>
      <c r="K9">
        <f t="shared" si="5"/>
        <v>6.6454400854598834</v>
      </c>
      <c r="L9">
        <f t="shared" si="6"/>
        <v>7.3722773046339585E-4</v>
      </c>
      <c r="N9">
        <v>100</v>
      </c>
      <c r="O9">
        <f>($N$2*N9)/(((1/$O$2)+N9^$P$2)^(1/$P$2))</f>
        <v>1.7604696437916256</v>
      </c>
    </row>
    <row r="10" spans="1:16" x14ac:dyDescent="0.25">
      <c r="A10">
        <v>9.9424799999999998</v>
      </c>
      <c r="B10">
        <f t="shared" si="0"/>
        <v>994.24799999999993</v>
      </c>
      <c r="C10">
        <v>6000.19</v>
      </c>
      <c r="D10">
        <f t="shared" si="1"/>
        <v>5.6605566037735846</v>
      </c>
      <c r="E10">
        <f>D10*'Isotherm List'!$G$4/'Isotherm List'!$G$15</f>
        <v>8.6204318594836149</v>
      </c>
      <c r="H10">
        <f t="shared" si="2"/>
        <v>791.16800000000001</v>
      </c>
      <c r="I10">
        <f t="shared" si="3"/>
        <v>5.304367924528302</v>
      </c>
      <c r="J10">
        <f t="shared" si="4"/>
        <v>8.0779939945382324</v>
      </c>
      <c r="K10">
        <f t="shared" si="5"/>
        <v>8.1904687820885904</v>
      </c>
      <c r="L10">
        <f t="shared" si="6"/>
        <v>1.2650577834498168E-2</v>
      </c>
      <c r="N10">
        <v>200</v>
      </c>
      <c r="O10">
        <f t="shared" ref="O10:O20" si="8">($N$2*N10)/(((1/$O$2)+N10^$P$2)^(1/$P$2))</f>
        <v>3.3517493714116582</v>
      </c>
    </row>
    <row r="11" spans="1:16" x14ac:dyDescent="0.25">
      <c r="A11">
        <v>14.948</v>
      </c>
      <c r="B11">
        <f t="shared" si="0"/>
        <v>1494.8</v>
      </c>
      <c r="C11">
        <v>6618.01</v>
      </c>
      <c r="D11">
        <f t="shared" si="1"/>
        <v>6.2434056603773591</v>
      </c>
      <c r="E11">
        <f>D11*'Isotherm List'!$G$4/'Isotherm List'!$G$15</f>
        <v>9.5080496201588893</v>
      </c>
      <c r="H11">
        <f t="shared" si="2"/>
        <v>994.24799999999993</v>
      </c>
      <c r="I11">
        <f t="shared" si="3"/>
        <v>5.6605566037735846</v>
      </c>
      <c r="J11">
        <f t="shared" si="4"/>
        <v>8.6204318594836149</v>
      </c>
      <c r="K11">
        <f t="shared" si="5"/>
        <v>8.7927857332703514</v>
      </c>
      <c r="L11">
        <f t="shared" si="6"/>
        <v>2.9705857809294297E-2</v>
      </c>
      <c r="N11">
        <v>300</v>
      </c>
      <c r="O11">
        <f t="shared" si="8"/>
        <v>4.6933704874274573</v>
      </c>
    </row>
    <row r="12" spans="1:16" x14ac:dyDescent="0.25">
      <c r="A12">
        <v>19.867699999999999</v>
      </c>
      <c r="B12">
        <f t="shared" si="0"/>
        <v>1986.77</v>
      </c>
      <c r="C12">
        <v>6995.57</v>
      </c>
      <c r="D12">
        <f t="shared" si="1"/>
        <v>6.5995943396226409</v>
      </c>
      <c r="E12">
        <f>D12*'Isotherm List'!$G$4/'Isotherm List'!$G$15</f>
        <v>10.05048748510427</v>
      </c>
      <c r="H12">
        <f t="shared" si="2"/>
        <v>1494.8</v>
      </c>
      <c r="I12">
        <f t="shared" si="3"/>
        <v>6.2434056603773591</v>
      </c>
      <c r="J12">
        <f t="shared" si="4"/>
        <v>9.5080496201588893</v>
      </c>
      <c r="K12">
        <f t="shared" si="5"/>
        <v>9.5437020059827233</v>
      </c>
      <c r="L12">
        <f t="shared" si="6"/>
        <v>1.2710926149315203E-3</v>
      </c>
      <c r="N12">
        <v>400</v>
      </c>
      <c r="O12">
        <f t="shared" si="8"/>
        <v>5.7756599599670446</v>
      </c>
    </row>
    <row r="13" spans="1:16" x14ac:dyDescent="0.25">
      <c r="H13">
        <f t="shared" si="2"/>
        <v>1986.77</v>
      </c>
      <c r="I13">
        <f t="shared" si="3"/>
        <v>6.5995943396226409</v>
      </c>
      <c r="J13">
        <f t="shared" si="4"/>
        <v>10.05048748510427</v>
      </c>
      <c r="K13">
        <f t="shared" si="5"/>
        <v>9.8635273638604239</v>
      </c>
      <c r="L13">
        <f t="shared" si="6"/>
        <v>3.4954086935513627E-2</v>
      </c>
      <c r="N13">
        <v>500</v>
      </c>
      <c r="O13">
        <f t="shared" si="8"/>
        <v>6.6283515019602985</v>
      </c>
    </row>
    <row r="14" spans="1:16" x14ac:dyDescent="0.25">
      <c r="N14">
        <v>600</v>
      </c>
      <c r="O14">
        <f t="shared" si="8"/>
        <v>7.2941303622875493</v>
      </c>
    </row>
    <row r="15" spans="1:16" x14ac:dyDescent="0.25">
      <c r="N15">
        <v>700</v>
      </c>
      <c r="O15">
        <f t="shared" si="8"/>
        <v>7.8141768567236563</v>
      </c>
    </row>
    <row r="16" spans="1:16" x14ac:dyDescent="0.25">
      <c r="N16">
        <v>800</v>
      </c>
      <c r="O16">
        <f t="shared" si="8"/>
        <v>8.2228094613484632</v>
      </c>
    </row>
    <row r="17" spans="14:15" x14ac:dyDescent="0.25">
      <c r="N17">
        <v>900</v>
      </c>
      <c r="O17">
        <f t="shared" si="8"/>
        <v>8.5467681273239631</v>
      </c>
    </row>
    <row r="18" spans="14:15" x14ac:dyDescent="0.25">
      <c r="N18">
        <v>1000</v>
      </c>
      <c r="O18">
        <f t="shared" si="8"/>
        <v>8.8062476978731201</v>
      </c>
    </row>
    <row r="19" spans="14:15" x14ac:dyDescent="0.25">
      <c r="N19">
        <v>1500</v>
      </c>
      <c r="O19">
        <f t="shared" si="8"/>
        <v>9.5484907321148018</v>
      </c>
    </row>
    <row r="20" spans="14:15" x14ac:dyDescent="0.25">
      <c r="N20">
        <v>2000</v>
      </c>
      <c r="O20">
        <f t="shared" si="8"/>
        <v>9.8694226546142332</v>
      </c>
    </row>
    <row r="21" spans="14:15" x14ac:dyDescent="0.25">
      <c r="N21">
        <v>3000</v>
      </c>
    </row>
    <row r="22" spans="14:15" x14ac:dyDescent="0.25">
      <c r="N22">
        <v>4000</v>
      </c>
    </row>
    <row r="23" spans="14:15" x14ac:dyDescent="0.25">
      <c r="N23">
        <v>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D7A3-0280-409D-B5C9-660FE7212241}">
  <dimension ref="A1:P23"/>
  <sheetViews>
    <sheetView workbookViewId="0">
      <selection activeCell="L28" sqref="L28"/>
    </sheetView>
  </sheetViews>
  <sheetFormatPr defaultRowHeight="15" x14ac:dyDescent="0.25"/>
  <cols>
    <col min="2" max="2" width="12.85546875" customWidth="1"/>
    <col min="3" max="3" width="12.5703125" customWidth="1"/>
    <col min="4" max="4" width="21.85546875" customWidth="1"/>
  </cols>
  <sheetData>
    <row r="1" spans="1:16" x14ac:dyDescent="0.25"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SUM(L5:L16)</f>
        <v>0.37688520459819103</v>
      </c>
      <c r="N2">
        <v>10.565790280749585</v>
      </c>
      <c r="O2">
        <v>5.6367351428064511E-6</v>
      </c>
      <c r="P2">
        <v>1.8994193081533346</v>
      </c>
    </row>
    <row r="3" spans="1:16" x14ac:dyDescent="0.25">
      <c r="A3" t="s">
        <v>32</v>
      </c>
      <c r="B3" t="s">
        <v>34</v>
      </c>
      <c r="C3" t="s">
        <v>35</v>
      </c>
      <c r="D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0.10580000000000001</v>
      </c>
      <c r="B4">
        <f>A4*100</f>
        <v>10.58</v>
      </c>
      <c r="C4">
        <v>0.10630000000000001</v>
      </c>
      <c r="D4">
        <f>C4*'Isotherm List'!$G$4/'Isotherm List'!$H$17</f>
        <v>0.14611831353919241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0.21840000000000001</v>
      </c>
      <c r="B5">
        <f t="shared" ref="B5:B15" si="0">A5*100</f>
        <v>21.84</v>
      </c>
      <c r="C5">
        <v>0.2384</v>
      </c>
      <c r="D5">
        <f>C5*'Isotherm List'!$G$4/'Isotherm List'!$H$17</f>
        <v>0.32770090261282658</v>
      </c>
      <c r="H5">
        <f t="shared" ref="H5:H16" si="1">B4</f>
        <v>10.58</v>
      </c>
      <c r="I5">
        <f t="shared" ref="I5:I16" si="2">C4</f>
        <v>0.10630000000000001</v>
      </c>
      <c r="J5">
        <f t="shared" ref="J5:J16" si="3">D4</f>
        <v>0.14611831353919241</v>
      </c>
      <c r="K5">
        <f>($N$2*H5)/(((1/$O$2)+H5^$P$2)^(1/$P$2))</f>
        <v>0.19266918554749346</v>
      </c>
      <c r="L5">
        <f>(K5-J5)^2</f>
        <v>2.1669836847332258E-3</v>
      </c>
      <c r="N5">
        <v>10</v>
      </c>
      <c r="O5">
        <f>($N$2*N5)/(((1/$O$2)+N5^$P$2)^(1/$P$2))</f>
        <v>0.18211182421670427</v>
      </c>
    </row>
    <row r="6" spans="1:16" x14ac:dyDescent="0.25">
      <c r="A6">
        <v>0.67</v>
      </c>
      <c r="B6">
        <f t="shared" si="0"/>
        <v>67</v>
      </c>
      <c r="C6">
        <v>0.67490000000000006</v>
      </c>
      <c r="D6">
        <f>C6*'Isotherm List'!$G$4/'Isotherm List'!$H$17</f>
        <v>0.92770695961995253</v>
      </c>
      <c r="H6">
        <f t="shared" si="1"/>
        <v>21.84</v>
      </c>
      <c r="I6">
        <f t="shared" si="2"/>
        <v>0.2384</v>
      </c>
      <c r="J6">
        <f t="shared" si="3"/>
        <v>0.32770090261282658</v>
      </c>
      <c r="K6">
        <f t="shared" ref="K6:K13" si="4">($N$2*H6)/(((1/$O$2)+H6^$P$2)^(1/$P$2))</f>
        <v>0.39741351058843477</v>
      </c>
      <c r="L6">
        <f t="shared" ref="L6:L13" si="5">(K6-J6)^2</f>
        <v>4.85984771076083E-3</v>
      </c>
      <c r="N6">
        <v>30</v>
      </c>
      <c r="O6">
        <f t="shared" ref="O6:O8" si="6">($N$2*N6)/(((1/$O$2)+N6^$P$2)^(1/$P$2))</f>
        <v>0.54543024344173452</v>
      </c>
    </row>
    <row r="7" spans="1:16" x14ac:dyDescent="0.25">
      <c r="A7">
        <v>1.8782000000000001</v>
      </c>
      <c r="B7">
        <f t="shared" si="0"/>
        <v>187.82000000000002</v>
      </c>
      <c r="C7">
        <v>2.2202000000000002</v>
      </c>
      <c r="D7">
        <f>C7*'Isotherm List'!$G$4/'Isotherm List'!$H$17</f>
        <v>3.0518521140142525</v>
      </c>
      <c r="H7">
        <f t="shared" si="1"/>
        <v>67</v>
      </c>
      <c r="I7">
        <f t="shared" si="2"/>
        <v>0.67490000000000006</v>
      </c>
      <c r="J7">
        <f t="shared" si="3"/>
        <v>0.92770695961995253</v>
      </c>
      <c r="K7">
        <f t="shared" si="4"/>
        <v>1.2099180113709216</v>
      </c>
      <c r="L7">
        <f t="shared" si="5"/>
        <v>7.9643077730388132E-2</v>
      </c>
      <c r="N7">
        <v>50</v>
      </c>
      <c r="O7">
        <f t="shared" si="6"/>
        <v>0.90624723317664302</v>
      </c>
    </row>
    <row r="8" spans="1:16" x14ac:dyDescent="0.25">
      <c r="A8">
        <v>3.8513000000000002</v>
      </c>
      <c r="B8">
        <f t="shared" si="0"/>
        <v>385.13</v>
      </c>
      <c r="C8">
        <v>4.3226000000000004</v>
      </c>
      <c r="D8">
        <f>C8*'Isotherm List'!$G$4/'Isotherm List'!$H$17</f>
        <v>5.941778194774348</v>
      </c>
      <c r="H8">
        <f t="shared" si="1"/>
        <v>187.82000000000002</v>
      </c>
      <c r="I8">
        <f t="shared" si="2"/>
        <v>2.2202000000000002</v>
      </c>
      <c r="J8">
        <f t="shared" si="3"/>
        <v>3.0518521140142525</v>
      </c>
      <c r="K8">
        <f t="shared" si="4"/>
        <v>3.2269573886905181</v>
      </c>
      <c r="L8">
        <f t="shared" si="5"/>
        <v>3.0661857219450413E-2</v>
      </c>
      <c r="N8">
        <v>70</v>
      </c>
      <c r="O8">
        <f t="shared" si="6"/>
        <v>1.2631529172416558</v>
      </c>
    </row>
    <row r="9" spans="1:16" x14ac:dyDescent="0.25">
      <c r="A9">
        <v>6.6783999999999999</v>
      </c>
      <c r="B9">
        <f t="shared" si="0"/>
        <v>667.84</v>
      </c>
      <c r="C9">
        <v>5.8388999999999998</v>
      </c>
      <c r="D9">
        <f>C9*'Isotherm List'!$G$4/'Isotherm List'!$H$17</f>
        <v>8.026060403800475</v>
      </c>
      <c r="H9">
        <f t="shared" si="1"/>
        <v>385.13</v>
      </c>
      <c r="I9">
        <f t="shared" si="2"/>
        <v>4.3226000000000004</v>
      </c>
      <c r="J9">
        <f t="shared" si="3"/>
        <v>5.941778194774348</v>
      </c>
      <c r="K9">
        <f t="shared" si="4"/>
        <v>5.749307539879501</v>
      </c>
      <c r="L9">
        <f t="shared" si="5"/>
        <v>3.7044952995651269E-2</v>
      </c>
      <c r="N9">
        <v>100</v>
      </c>
      <c r="O9">
        <f>($N$2*N9)/(((1/$O$2)+N9^$P$2)^(1/$P$2))</f>
        <v>1.7884249345762191</v>
      </c>
    </row>
    <row r="10" spans="1:16" x14ac:dyDescent="0.25">
      <c r="A10">
        <v>9.9481999999999999</v>
      </c>
      <c r="B10">
        <f t="shared" si="0"/>
        <v>994.81999999999994</v>
      </c>
      <c r="C10">
        <v>6.4992000000000001</v>
      </c>
      <c r="D10">
        <f>C10*'Isotherm List'!$G$4/'Isotherm List'!$H$17</f>
        <v>8.9336984323040376</v>
      </c>
      <c r="H10">
        <f t="shared" si="1"/>
        <v>667.84</v>
      </c>
      <c r="I10">
        <f t="shared" si="2"/>
        <v>5.8388999999999998</v>
      </c>
      <c r="J10">
        <f t="shared" si="3"/>
        <v>8.026060403800475</v>
      </c>
      <c r="K10">
        <f t="shared" si="4"/>
        <v>7.8339330192504244</v>
      </c>
      <c r="L10">
        <f t="shared" si="5"/>
        <v>3.691293189404303E-2</v>
      </c>
      <c r="N10">
        <v>200</v>
      </c>
      <c r="O10">
        <f t="shared" ref="O10:O21" si="7">($N$2*N10)/(((1/$O$2)+N10^$P$2)^(1/$P$2))</f>
        <v>3.4123646098210694</v>
      </c>
    </row>
    <row r="11" spans="1:16" x14ac:dyDescent="0.25">
      <c r="A11">
        <v>13.250400000000001</v>
      </c>
      <c r="B11">
        <f t="shared" si="0"/>
        <v>1325.0400000000002</v>
      </c>
      <c r="C11">
        <v>6.9123999999999999</v>
      </c>
      <c r="D11">
        <f>C11*'Isotherm List'!$G$4/'Isotherm List'!$H$17</f>
        <v>9.5016766745843242</v>
      </c>
      <c r="H11">
        <f t="shared" si="1"/>
        <v>994.81999999999994</v>
      </c>
      <c r="I11">
        <f t="shared" si="2"/>
        <v>6.4992000000000001</v>
      </c>
      <c r="J11">
        <f t="shared" si="3"/>
        <v>8.9336984323040376</v>
      </c>
      <c r="K11">
        <f t="shared" si="4"/>
        <v>8.9903868588997309</v>
      </c>
      <c r="L11">
        <f t="shared" si="5"/>
        <v>3.2135777098953057E-3</v>
      </c>
      <c r="N11">
        <v>300</v>
      </c>
      <c r="O11">
        <f t="shared" si="7"/>
        <v>4.7871566723189849</v>
      </c>
    </row>
    <row r="12" spans="1:16" x14ac:dyDescent="0.25">
      <c r="A12">
        <v>16.541499999999999</v>
      </c>
      <c r="B12">
        <f t="shared" si="0"/>
        <v>1654.1499999999999</v>
      </c>
      <c r="C12">
        <v>7.1131000000000002</v>
      </c>
      <c r="D12">
        <f>C12*'Isotherm List'!$G$4/'Isotherm List'!$H$17</f>
        <v>9.7775557482185285</v>
      </c>
      <c r="H12">
        <f t="shared" si="1"/>
        <v>1325.0400000000002</v>
      </c>
      <c r="I12">
        <f t="shared" si="2"/>
        <v>6.9123999999999999</v>
      </c>
      <c r="J12">
        <f t="shared" si="3"/>
        <v>9.5016766745843242</v>
      </c>
      <c r="K12">
        <f t="shared" si="4"/>
        <v>9.5642625405327593</v>
      </c>
      <c r="L12">
        <f t="shared" si="5"/>
        <v>3.9169906165154849E-3</v>
      </c>
      <c r="N12">
        <v>400</v>
      </c>
      <c r="O12">
        <f t="shared" si="7"/>
        <v>5.8987555478275624</v>
      </c>
    </row>
    <row r="13" spans="1:16" x14ac:dyDescent="0.25">
      <c r="A13">
        <v>19.9329</v>
      </c>
      <c r="B13">
        <f t="shared" si="0"/>
        <v>1993.29</v>
      </c>
      <c r="C13">
        <v>7.3137999999999996</v>
      </c>
      <c r="D13">
        <f>C13*'Isotherm List'!$G$4/'Isotherm List'!$H$17</f>
        <v>10.053434821852731</v>
      </c>
      <c r="H13">
        <f t="shared" si="1"/>
        <v>1654.1499999999999</v>
      </c>
      <c r="I13">
        <f t="shared" si="2"/>
        <v>7.1131000000000002</v>
      </c>
      <c r="J13">
        <f t="shared" si="3"/>
        <v>9.7775557482185285</v>
      </c>
      <c r="K13">
        <f t="shared" si="4"/>
        <v>9.8768766010911424</v>
      </c>
      <c r="L13">
        <f t="shared" si="5"/>
        <v>9.8646318153434252E-3</v>
      </c>
      <c r="N13">
        <v>500</v>
      </c>
      <c r="O13">
        <f t="shared" si="7"/>
        <v>6.7749265423353107</v>
      </c>
    </row>
    <row r="14" spans="1:16" x14ac:dyDescent="0.25">
      <c r="A14">
        <v>23.151900000000001</v>
      </c>
      <c r="B14">
        <f t="shared" si="0"/>
        <v>2315.19</v>
      </c>
      <c r="C14">
        <v>7.5488999999999997</v>
      </c>
      <c r="D14">
        <f>C14*'Isotherm List'!$G$4/'Isotherm List'!$H$17</f>
        <v>10.376599596199524</v>
      </c>
      <c r="H14">
        <f t="shared" si="1"/>
        <v>1993.29</v>
      </c>
      <c r="I14">
        <f t="shared" si="2"/>
        <v>7.3137999999999996</v>
      </c>
      <c r="J14">
        <f t="shared" si="3"/>
        <v>10.053434821852731</v>
      </c>
      <c r="K14">
        <f t="shared" ref="K14:K16" si="8">($N$2*H14)/(((1/$O$2)+H14^$P$2)^(1/$P$2))</f>
        <v>10.068592804632056</v>
      </c>
      <c r="L14">
        <f t="shared" ref="L14:L16" si="9">(K14-J14)^2</f>
        <v>2.2976444193831012E-4</v>
      </c>
      <c r="N14">
        <v>600</v>
      </c>
      <c r="O14">
        <f t="shared" si="7"/>
        <v>7.4583639494486613</v>
      </c>
    </row>
    <row r="15" spans="1:16" x14ac:dyDescent="0.25">
      <c r="A15">
        <v>25.67</v>
      </c>
      <c r="B15">
        <f t="shared" si="0"/>
        <v>2567</v>
      </c>
      <c r="C15">
        <v>7.7210000000000001</v>
      </c>
      <c r="D15">
        <f>C15*'Isotherm List'!$G$4/'Isotherm List'!$H$17</f>
        <v>10.613165558194774</v>
      </c>
      <c r="H15">
        <f t="shared" si="1"/>
        <v>2315.19</v>
      </c>
      <c r="I15">
        <f t="shared" si="2"/>
        <v>7.5488999999999997</v>
      </c>
      <c r="J15">
        <f t="shared" si="3"/>
        <v>10.376599596199524</v>
      </c>
      <c r="K15">
        <f t="shared" si="8"/>
        <v>10.185304622831367</v>
      </c>
      <c r="L15">
        <f t="shared" si="9"/>
        <v>3.6593766835923823E-2</v>
      </c>
      <c r="N15">
        <v>700</v>
      </c>
      <c r="O15">
        <f t="shared" si="7"/>
        <v>7.991175015904469</v>
      </c>
    </row>
    <row r="16" spans="1:16" x14ac:dyDescent="0.25">
      <c r="H16">
        <f t="shared" si="1"/>
        <v>2567</v>
      </c>
      <c r="I16">
        <f t="shared" si="2"/>
        <v>7.7210000000000001</v>
      </c>
      <c r="J16">
        <f t="shared" si="3"/>
        <v>10.613165558194774</v>
      </c>
      <c r="K16">
        <f t="shared" si="8"/>
        <v>10.250154784327734</v>
      </c>
      <c r="L16">
        <f t="shared" si="9"/>
        <v>0.13177682194354778</v>
      </c>
      <c r="N16">
        <v>800</v>
      </c>
      <c r="O16">
        <f t="shared" si="7"/>
        <v>8.4088006466979337</v>
      </c>
    </row>
    <row r="17" spans="14:15" x14ac:dyDescent="0.25">
      <c r="N17">
        <v>900</v>
      </c>
      <c r="O17">
        <f t="shared" si="7"/>
        <v>8.7389773623046931</v>
      </c>
    </row>
    <row r="18" spans="14:15" x14ac:dyDescent="0.25">
      <c r="N18">
        <v>1000</v>
      </c>
      <c r="O18">
        <f t="shared" si="7"/>
        <v>9.0026827482614618</v>
      </c>
    </row>
    <row r="19" spans="14:15" x14ac:dyDescent="0.25">
      <c r="N19">
        <v>1500</v>
      </c>
      <c r="O19">
        <f t="shared" si="7"/>
        <v>9.7515876179435299</v>
      </c>
    </row>
    <row r="20" spans="14:15" x14ac:dyDescent="0.25">
      <c r="N20">
        <v>2000</v>
      </c>
      <c r="O20">
        <f t="shared" si="7"/>
        <v>10.071544921764829</v>
      </c>
    </row>
    <row r="21" spans="14:15" x14ac:dyDescent="0.25">
      <c r="N21">
        <v>3000</v>
      </c>
      <c r="O21">
        <f t="shared" si="7"/>
        <v>10.328427573559296</v>
      </c>
    </row>
    <row r="22" spans="14:15" x14ac:dyDescent="0.25">
      <c r="N22">
        <v>4000</v>
      </c>
    </row>
    <row r="23" spans="14:15" x14ac:dyDescent="0.25">
      <c r="N23">
        <v>5000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155B-312C-4FB3-97F4-A4DF5CF63C37}">
  <dimension ref="A1:P23"/>
  <sheetViews>
    <sheetView workbookViewId="0">
      <selection activeCell="O3" sqref="O3"/>
    </sheetView>
  </sheetViews>
  <sheetFormatPr defaultRowHeight="15" x14ac:dyDescent="0.25"/>
  <cols>
    <col min="3" max="3" width="13.140625" customWidth="1"/>
    <col min="4" max="4" width="19.5703125" customWidth="1"/>
  </cols>
  <sheetData>
    <row r="1" spans="1:16" x14ac:dyDescent="0.25">
      <c r="H1" s="13" t="s">
        <v>37</v>
      </c>
      <c r="L1" s="1" t="s">
        <v>38</v>
      </c>
      <c r="N1" s="1" t="s">
        <v>39</v>
      </c>
      <c r="O1" s="1" t="s">
        <v>40</v>
      </c>
      <c r="P1" s="1" t="s">
        <v>41</v>
      </c>
    </row>
    <row r="2" spans="1:16" x14ac:dyDescent="0.25">
      <c r="L2">
        <f>SUM(L5:L18)</f>
        <v>1.5310713822794568</v>
      </c>
      <c r="N2">
        <v>11.187693763869975</v>
      </c>
      <c r="O2">
        <v>3.7126579331428871E-6</v>
      </c>
      <c r="P2">
        <v>2.0047949081861933</v>
      </c>
    </row>
    <row r="3" spans="1:16" x14ac:dyDescent="0.25">
      <c r="A3" t="s">
        <v>32</v>
      </c>
      <c r="B3" t="s">
        <v>34</v>
      </c>
      <c r="C3" t="s">
        <v>35</v>
      </c>
      <c r="D3" t="s">
        <v>36</v>
      </c>
      <c r="H3" s="1" t="s">
        <v>34</v>
      </c>
      <c r="I3" s="1" t="s">
        <v>35</v>
      </c>
      <c r="J3" s="1" t="s">
        <v>36</v>
      </c>
      <c r="K3" s="1" t="s">
        <v>42</v>
      </c>
      <c r="L3" s="1" t="s">
        <v>43</v>
      </c>
      <c r="M3" s="1"/>
      <c r="N3" s="14" t="s">
        <v>34</v>
      </c>
      <c r="O3" s="15" t="s">
        <v>44</v>
      </c>
    </row>
    <row r="4" spans="1:16" x14ac:dyDescent="0.25">
      <c r="A4">
        <v>0.36199999999999999</v>
      </c>
      <c r="B4">
        <f>A4*100</f>
        <v>36.199999999999996</v>
      </c>
      <c r="C4">
        <v>0.39119999999999999</v>
      </c>
      <c r="D4">
        <f>C4*'Isotherm List'!$G$4/'Isotherm List'!$H$18</f>
        <v>0.6253796685082873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</row>
    <row r="5" spans="1:16" x14ac:dyDescent="0.25">
      <c r="A5">
        <v>0.64900000000000002</v>
      </c>
      <c r="B5">
        <f t="shared" ref="B5:B17" si="0">A5*100</f>
        <v>64.900000000000006</v>
      </c>
      <c r="C5">
        <v>0.7712</v>
      </c>
      <c r="D5">
        <f>C5*'Isotherm List'!$G$4/'Isotherm List'!$H$18</f>
        <v>1.2328548066298342</v>
      </c>
      <c r="H5">
        <f t="shared" ref="H5:H18" si="1">B4</f>
        <v>36.199999999999996</v>
      </c>
      <c r="I5">
        <f t="shared" ref="I5:I18" si="2">C4</f>
        <v>0.39119999999999999</v>
      </c>
      <c r="J5">
        <f t="shared" ref="J5:J18" si="3">D4</f>
        <v>0.6253796685082873</v>
      </c>
      <c r="K5">
        <f>($N$2*H5)/(((1/$O$2)+H5^$P$2)^(1/$P$2))</f>
        <v>0.79016159067201053</v>
      </c>
      <c r="L5">
        <f>(K5-J5)^2</f>
        <v>2.7153081871971341E-2</v>
      </c>
      <c r="N5">
        <v>10</v>
      </c>
      <c r="O5">
        <f>($N$2*N5)/(((1/$O$2)+N5^$P$2)^(1/$P$2))</f>
        <v>0.2187739616581682</v>
      </c>
    </row>
    <row r="6" spans="1:16" x14ac:dyDescent="0.25">
      <c r="A6">
        <v>1.073</v>
      </c>
      <c r="B6">
        <f t="shared" si="0"/>
        <v>107.3</v>
      </c>
      <c r="C6">
        <v>1.5878000000000001</v>
      </c>
      <c r="D6">
        <f>C6*'Isotherm List'!$G$4/'Isotherm List'!$H$18</f>
        <v>2.5382869060773485</v>
      </c>
      <c r="H6">
        <f t="shared" si="1"/>
        <v>64.900000000000006</v>
      </c>
      <c r="I6">
        <f t="shared" si="2"/>
        <v>0.7712</v>
      </c>
      <c r="J6">
        <f t="shared" si="3"/>
        <v>1.2328548066298342</v>
      </c>
      <c r="K6">
        <f t="shared" ref="K6:K16" si="4">($N$2*H6)/(((1/$O$2)+H6^$P$2)^(1/$P$2))</f>
        <v>1.408941220082246</v>
      </c>
      <c r="L6">
        <f t="shared" ref="L6:L16" si="5">(K6-J6)^2</f>
        <v>3.100642500253372E-2</v>
      </c>
      <c r="N6">
        <v>30</v>
      </c>
      <c r="O6">
        <f t="shared" ref="O6:O8" si="6">($N$2*N6)/(((1/$O$2)+N6^$P$2)^(1/$P$2))</f>
        <v>0.65533550289808506</v>
      </c>
    </row>
    <row r="7" spans="1:16" x14ac:dyDescent="0.25">
      <c r="A7">
        <v>1.5740000000000001</v>
      </c>
      <c r="B7">
        <f t="shared" si="0"/>
        <v>157.4</v>
      </c>
      <c r="C7">
        <v>2.3136999999999999</v>
      </c>
      <c r="D7">
        <f>C7*'Isotherm List'!$G$4/'Isotherm List'!$H$18</f>
        <v>3.6987242817679555</v>
      </c>
      <c r="H7">
        <f t="shared" si="1"/>
        <v>107.3</v>
      </c>
      <c r="I7">
        <f t="shared" si="2"/>
        <v>1.5878000000000001</v>
      </c>
      <c r="J7">
        <f t="shared" si="3"/>
        <v>2.5382869060773485</v>
      </c>
      <c r="K7">
        <f t="shared" si="4"/>
        <v>2.2983074032809254</v>
      </c>
      <c r="L7">
        <f t="shared" si="5"/>
        <v>5.7590161762418442E-2</v>
      </c>
      <c r="N7">
        <v>50</v>
      </c>
      <c r="O7">
        <f t="shared" si="6"/>
        <v>1.0889497318758978</v>
      </c>
    </row>
    <row r="8" spans="1:16" x14ac:dyDescent="0.25">
      <c r="A8">
        <v>2.0030000000000001</v>
      </c>
      <c r="B8">
        <f t="shared" si="0"/>
        <v>200.3</v>
      </c>
      <c r="C8">
        <v>2.9659</v>
      </c>
      <c r="D8">
        <f>C8*'Isotherm List'!$G$4/'Isotherm List'!$H$18</f>
        <v>4.7413434530386747</v>
      </c>
      <c r="H8">
        <f t="shared" si="1"/>
        <v>157.4</v>
      </c>
      <c r="I8">
        <f t="shared" si="2"/>
        <v>2.3136999999999999</v>
      </c>
      <c r="J8">
        <f t="shared" si="3"/>
        <v>3.6987242817679555</v>
      </c>
      <c r="K8">
        <f t="shared" si="4"/>
        <v>3.2928535847890692</v>
      </c>
      <c r="L8">
        <f t="shared" si="5"/>
        <v>0.16473102266612696</v>
      </c>
      <c r="N8">
        <v>70</v>
      </c>
      <c r="O8">
        <f t="shared" si="6"/>
        <v>1.5177136955907415</v>
      </c>
    </row>
    <row r="9" spans="1:16" x14ac:dyDescent="0.25">
      <c r="A9">
        <v>2.996</v>
      </c>
      <c r="B9">
        <f t="shared" si="0"/>
        <v>299.60000000000002</v>
      </c>
      <c r="C9">
        <v>3.8957000000000002</v>
      </c>
      <c r="D9">
        <f>C9*'Isotherm List'!$G$4/'Isotherm List'!$H$18</f>
        <v>6.2277391988950273</v>
      </c>
      <c r="H9">
        <f t="shared" si="1"/>
        <v>200.3</v>
      </c>
      <c r="I9">
        <f t="shared" si="2"/>
        <v>2.9659</v>
      </c>
      <c r="J9">
        <f t="shared" si="3"/>
        <v>4.7413434530386747</v>
      </c>
      <c r="K9">
        <f t="shared" si="4"/>
        <v>4.0827934148103058</v>
      </c>
      <c r="L9">
        <f t="shared" si="5"/>
        <v>0.43368815285058609</v>
      </c>
      <c r="N9">
        <v>100</v>
      </c>
      <c r="O9">
        <f>($N$2*N9)/(((1/$O$2)+N9^$P$2)^(1/$P$2))</f>
        <v>2.1478646729632582</v>
      </c>
    </row>
    <row r="10" spans="1:16" x14ac:dyDescent="0.25">
      <c r="A10">
        <v>4.4379999999999997</v>
      </c>
      <c r="B10">
        <f t="shared" si="0"/>
        <v>443.79999999999995</v>
      </c>
      <c r="C10">
        <v>4.7346000000000004</v>
      </c>
      <c r="D10">
        <f>C10*'Isotherm List'!$G$4/'Isotherm List'!$H$18</f>
        <v>7.5688204972375699</v>
      </c>
      <c r="H10">
        <f t="shared" si="1"/>
        <v>299.60000000000002</v>
      </c>
      <c r="I10">
        <f t="shared" si="2"/>
        <v>3.8957000000000002</v>
      </c>
      <c r="J10">
        <f t="shared" si="3"/>
        <v>6.2277391988950273</v>
      </c>
      <c r="K10">
        <f t="shared" si="4"/>
        <v>5.6600042518103209</v>
      </c>
      <c r="L10">
        <f t="shared" si="5"/>
        <v>0.32232297014127437</v>
      </c>
      <c r="N10">
        <v>200</v>
      </c>
      <c r="O10">
        <f t="shared" ref="O10:O20" si="7">($N$2*N10)/(((1/$O$2)+N10^$P$2)^(1/$P$2))</f>
        <v>4.0774872767201007</v>
      </c>
    </row>
    <row r="11" spans="1:16" x14ac:dyDescent="0.25">
      <c r="A11">
        <v>5.99</v>
      </c>
      <c r="B11">
        <f t="shared" si="0"/>
        <v>599</v>
      </c>
      <c r="C11">
        <v>5.2161</v>
      </c>
      <c r="D11">
        <f>C11*'Isotherm List'!$G$4/'Isotherm List'!$H$18</f>
        <v>8.3385554419889498</v>
      </c>
      <c r="H11">
        <f t="shared" si="1"/>
        <v>443.79999999999995</v>
      </c>
      <c r="I11">
        <f t="shared" si="2"/>
        <v>4.7346000000000004</v>
      </c>
      <c r="J11">
        <f t="shared" si="3"/>
        <v>7.5688204972375699</v>
      </c>
      <c r="K11">
        <f t="shared" si="4"/>
        <v>7.3396253788133139</v>
      </c>
      <c r="L11">
        <f t="shared" si="5"/>
        <v>5.2530402309508728E-2</v>
      </c>
      <c r="N11">
        <v>300</v>
      </c>
      <c r="O11">
        <f t="shared" si="7"/>
        <v>5.6656302912452903</v>
      </c>
    </row>
    <row r="12" spans="1:16" x14ac:dyDescent="0.25">
      <c r="A12">
        <v>7.915</v>
      </c>
      <c r="B12">
        <f t="shared" si="0"/>
        <v>791.5</v>
      </c>
      <c r="C12">
        <v>5.6803999999999997</v>
      </c>
      <c r="D12">
        <f>C12*'Isotherm List'!$G$4/'Isotherm List'!$H$18</f>
        <v>9.0807941436464077</v>
      </c>
      <c r="H12">
        <f t="shared" si="1"/>
        <v>599</v>
      </c>
      <c r="I12">
        <f t="shared" si="2"/>
        <v>5.2161</v>
      </c>
      <c r="J12">
        <f t="shared" si="3"/>
        <v>8.3385554419889498</v>
      </c>
      <c r="K12">
        <f t="shared" si="4"/>
        <v>8.5162840139665352</v>
      </c>
      <c r="L12">
        <f t="shared" si="5"/>
        <v>3.1587445297191756E-2</v>
      </c>
      <c r="N12">
        <v>400</v>
      </c>
      <c r="O12">
        <f t="shared" si="7"/>
        <v>6.8990824766806673</v>
      </c>
    </row>
    <row r="13" spans="1:16" x14ac:dyDescent="0.25">
      <c r="A13">
        <v>9.9440000000000008</v>
      </c>
      <c r="B13">
        <f t="shared" si="0"/>
        <v>994.40000000000009</v>
      </c>
      <c r="C13">
        <v>6.0027999999999997</v>
      </c>
      <c r="D13">
        <f>C13*'Isotherm List'!$G$4/'Isotherm List'!$H$18</f>
        <v>9.5961888397790052</v>
      </c>
      <c r="H13">
        <f t="shared" si="1"/>
        <v>791.5</v>
      </c>
      <c r="I13">
        <f t="shared" si="2"/>
        <v>5.6803999999999997</v>
      </c>
      <c r="J13">
        <f t="shared" si="3"/>
        <v>9.0807941436464077</v>
      </c>
      <c r="K13">
        <f t="shared" si="4"/>
        <v>9.4043269509385841</v>
      </c>
      <c r="L13">
        <f t="shared" si="5"/>
        <v>0.10467347739435653</v>
      </c>
      <c r="N13">
        <v>500</v>
      </c>
      <c r="O13">
        <f t="shared" si="7"/>
        <v>7.8286076925380765</v>
      </c>
    </row>
    <row r="14" spans="1:16" x14ac:dyDescent="0.25">
      <c r="A14">
        <v>12.865</v>
      </c>
      <c r="B14">
        <f t="shared" si="0"/>
        <v>1286.5</v>
      </c>
      <c r="C14">
        <v>6.3985000000000003</v>
      </c>
      <c r="D14">
        <f>C14*'Isotherm List'!$G$4/'Isotherm List'!$H$18</f>
        <v>10.228762292817681</v>
      </c>
      <c r="H14">
        <f t="shared" si="1"/>
        <v>994.40000000000009</v>
      </c>
      <c r="I14">
        <f t="shared" si="2"/>
        <v>6.0027999999999997</v>
      </c>
      <c r="J14">
        <f t="shared" si="3"/>
        <v>9.5961888397790052</v>
      </c>
      <c r="K14">
        <f t="shared" si="4"/>
        <v>9.955666518146872</v>
      </c>
      <c r="L14">
        <f t="shared" si="5"/>
        <v>0.12922420124475151</v>
      </c>
      <c r="N14">
        <v>600</v>
      </c>
      <c r="O14">
        <f t="shared" si="7"/>
        <v>8.5222652101555667</v>
      </c>
    </row>
    <row r="15" spans="1:16" x14ac:dyDescent="0.25">
      <c r="A15">
        <v>16.832000000000001</v>
      </c>
      <c r="B15">
        <f t="shared" si="0"/>
        <v>1683.2</v>
      </c>
      <c r="C15">
        <v>6.7256999999999998</v>
      </c>
      <c r="D15">
        <f>C15*'Isotherm List'!$G$4/'Isotherm List'!$H$18</f>
        <v>10.751830359116022</v>
      </c>
      <c r="H15">
        <f t="shared" si="1"/>
        <v>1286.5</v>
      </c>
      <c r="I15">
        <f t="shared" si="2"/>
        <v>6.3985000000000003</v>
      </c>
      <c r="J15">
        <f t="shared" si="3"/>
        <v>10.228762292817681</v>
      </c>
      <c r="K15">
        <f t="shared" si="4"/>
        <v>10.401671425289203</v>
      </c>
      <c r="L15">
        <f t="shared" si="5"/>
        <v>2.9897568092054481E-2</v>
      </c>
      <c r="N15">
        <v>700</v>
      </c>
      <c r="O15">
        <f t="shared" si="7"/>
        <v>9.0413807789812264</v>
      </c>
    </row>
    <row r="16" spans="1:16" x14ac:dyDescent="0.25">
      <c r="A16">
        <v>21.77</v>
      </c>
      <c r="B16">
        <f t="shared" si="0"/>
        <v>2177</v>
      </c>
      <c r="C16">
        <v>6.9730999999999996</v>
      </c>
      <c r="D16">
        <f>C16*'Isotherm List'!$G$4/'Isotherm List'!$H$18</f>
        <v>11.147328646408839</v>
      </c>
      <c r="H16">
        <f t="shared" si="1"/>
        <v>1683.2</v>
      </c>
      <c r="I16">
        <f t="shared" si="2"/>
        <v>6.7256999999999998</v>
      </c>
      <c r="J16">
        <f t="shared" si="3"/>
        <v>10.751830359116022</v>
      </c>
      <c r="K16">
        <f t="shared" si="4"/>
        <v>10.708431905762589</v>
      </c>
      <c r="L16">
        <f t="shared" si="5"/>
        <v>1.8834257534700862E-3</v>
      </c>
      <c r="N16">
        <v>800</v>
      </c>
      <c r="O16">
        <f t="shared" si="7"/>
        <v>9.4336827150194171</v>
      </c>
    </row>
    <row r="17" spans="1:15" x14ac:dyDescent="0.25">
      <c r="A17">
        <v>22.341000000000001</v>
      </c>
      <c r="B17">
        <f t="shared" si="0"/>
        <v>2234.1</v>
      </c>
      <c r="C17">
        <v>7.0011999999999999</v>
      </c>
      <c r="D17">
        <f>C17*'Isotherm List'!$G$4/'Isotherm List'!$H$18</f>
        <v>11.192249834254143</v>
      </c>
      <c r="H17">
        <f t="shared" si="1"/>
        <v>2177</v>
      </c>
      <c r="I17">
        <f t="shared" si="2"/>
        <v>6.9730999999999996</v>
      </c>
      <c r="J17">
        <f t="shared" si="3"/>
        <v>11.147328646408839</v>
      </c>
      <c r="K17">
        <f t="shared" ref="K17:K18" si="8">($N$2*H17)/(((1/$O$2)+H17^$P$2)^(1/$P$2))</f>
        <v>10.894017404841026</v>
      </c>
      <c r="L17">
        <f t="shared" ref="L17:L18" si="9">(K17-J17)^2</f>
        <v>6.4166585104626875E-2</v>
      </c>
      <c r="N17">
        <v>900</v>
      </c>
      <c r="O17">
        <f t="shared" si="7"/>
        <v>9.7340380150506061</v>
      </c>
    </row>
    <row r="18" spans="1:15" x14ac:dyDescent="0.25">
      <c r="H18">
        <f t="shared" si="1"/>
        <v>2234.1</v>
      </c>
      <c r="I18">
        <f t="shared" si="2"/>
        <v>7.0011999999999999</v>
      </c>
      <c r="J18">
        <f t="shared" si="3"/>
        <v>11.192249834254143</v>
      </c>
      <c r="K18">
        <f t="shared" si="8"/>
        <v>10.908319450553163</v>
      </c>
      <c r="L18">
        <f t="shared" si="9"/>
        <v>8.0616462788585794E-2</v>
      </c>
      <c r="N18">
        <v>1000</v>
      </c>
      <c r="O18">
        <f t="shared" si="7"/>
        <v>9.9672818580396463</v>
      </c>
    </row>
    <row r="19" spans="1:15" x14ac:dyDescent="0.25">
      <c r="N19">
        <v>1500</v>
      </c>
      <c r="O19">
        <f t="shared" si="7"/>
        <v>10.593657800621456</v>
      </c>
    </row>
    <row r="20" spans="1:15" x14ac:dyDescent="0.25">
      <c r="N20">
        <v>2000</v>
      </c>
      <c r="O20">
        <f t="shared" si="7"/>
        <v>10.842096616385613</v>
      </c>
    </row>
    <row r="21" spans="1:15" x14ac:dyDescent="0.25">
      <c r="N21">
        <v>3000</v>
      </c>
    </row>
    <row r="22" spans="1:15" x14ac:dyDescent="0.25">
      <c r="N22">
        <v>4000</v>
      </c>
    </row>
    <row r="23" spans="1:15" x14ac:dyDescent="0.25">
      <c r="N23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Isotherm List</vt:lpstr>
      <vt:lpstr>Average</vt:lpstr>
      <vt:lpstr>no outliers</vt:lpstr>
      <vt:lpstr>001</vt:lpstr>
      <vt:lpstr>003</vt:lpstr>
      <vt:lpstr>006</vt:lpstr>
      <vt:lpstr>007</vt:lpstr>
      <vt:lpstr>012</vt:lpstr>
      <vt:lpstr>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Blaney (Student)</dc:creator>
  <cp:lastModifiedBy>Rhys Blaney (Student)</cp:lastModifiedBy>
  <dcterms:created xsi:type="dcterms:W3CDTF">2024-03-07T13:34:49Z</dcterms:created>
  <dcterms:modified xsi:type="dcterms:W3CDTF">2024-04-14T18:42:59Z</dcterms:modified>
</cp:coreProperties>
</file>