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ster's Project\MOF-5\"/>
    </mc:Choice>
  </mc:AlternateContent>
  <xr:revisionPtr revIDLastSave="0" documentId="13_ncr:1_{8FEA36AF-CAC4-4966-BF8B-85A06EE4BE23}" xr6:coauthVersionLast="47" xr6:coauthVersionMax="47" xr10:uidLastSave="{00000000-0000-0000-0000-000000000000}"/>
  <bookViews>
    <workbookView xWindow="-120" yWindow="-120" windowWidth="29040" windowHeight="15840" xr2:uid="{0EE1CAEC-F01E-4A9F-96FD-BB4173BABC71}"/>
  </bookViews>
  <sheets>
    <sheet name="Isotherm List" sheetId="1" r:id="rId1"/>
    <sheet name="Average" sheetId="16" r:id="rId2"/>
    <sheet name="no outliers" sheetId="21" r:id="rId3"/>
    <sheet name="007" sheetId="2" r:id="rId4"/>
    <sheet name="008" sheetId="3" r:id="rId5"/>
    <sheet name="010" sheetId="4" r:id="rId6"/>
    <sheet name="010b" sheetId="18" r:id="rId7"/>
    <sheet name="014" sheetId="7" r:id="rId8"/>
    <sheet name="015" sheetId="8" r:id="rId9"/>
    <sheet name="020" sheetId="9" r:id="rId10"/>
    <sheet name="023" sheetId="11" r:id="rId11"/>
    <sheet name="025" sheetId="12" r:id="rId12"/>
    <sheet name="027" sheetId="5" r:id="rId13"/>
    <sheet name="043" sheetId="14" r:id="rId14"/>
    <sheet name="046" sheetId="15" r:id="rId15"/>
  </sheets>
  <definedNames>
    <definedName name="CIQWBGuid" hidden="1">"50d6f717-50a9-45d7-864e-c2cf8c1ba57f"</definedName>
    <definedName name="CIQWBInfo" hidden="1">"{ ""CIQVersion"":""9.50.2716.4594"" }"</definedName>
    <definedName name="solver_adj" localSheetId="3" hidden="1">'007'!$N$2:$P$2</definedName>
    <definedName name="solver_adj" localSheetId="4" hidden="1">'008'!$AG$2:$AI$2</definedName>
    <definedName name="solver_adj" localSheetId="5" hidden="1">'010'!$AG$2:$AI$2</definedName>
    <definedName name="solver_adj" localSheetId="6" hidden="1">'010b'!$AG$2:$AI$2</definedName>
    <definedName name="solver_adj" localSheetId="7" hidden="1">'014'!$AG$2:$AI$2</definedName>
    <definedName name="solver_adj" localSheetId="8" hidden="1">'015'!$AG$2:$AI$2</definedName>
    <definedName name="solver_adj" localSheetId="9" hidden="1">'020'!$AG$2:$AI$2</definedName>
    <definedName name="solver_adj" localSheetId="11" hidden="1">'025'!$AG$2:$AI$2</definedName>
    <definedName name="solver_adj" localSheetId="12" hidden="1">'027'!$AG$2:$AI$2</definedName>
    <definedName name="solver_adj" localSheetId="13" hidden="1">'043'!$AG$2:$AI$2</definedName>
    <definedName name="solver_adj" localSheetId="14" hidden="1">'046'!$AG$2:$AI$2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neg" localSheetId="3" hidden="1">1</definedName>
    <definedName name="solver_neg" localSheetId="4" hidden="1">2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opt" localSheetId="3" hidden="1">'007'!$L$2</definedName>
    <definedName name="solver_opt" localSheetId="4" hidden="1">'008'!$AE$2</definedName>
    <definedName name="solver_opt" localSheetId="5" hidden="1">'010'!$AE$2</definedName>
    <definedName name="solver_opt" localSheetId="6" hidden="1">'010b'!$AE$2</definedName>
    <definedName name="solver_opt" localSheetId="7" hidden="1">'014'!$AE$2</definedName>
    <definedName name="solver_opt" localSheetId="8" hidden="1">'015'!$AE$2</definedName>
    <definedName name="solver_opt" localSheetId="9" hidden="1">'020'!$AE$2</definedName>
    <definedName name="solver_opt" localSheetId="11" hidden="1">'025'!$AE$2</definedName>
    <definedName name="solver_opt" localSheetId="12" hidden="1">'027'!$AE$2</definedName>
    <definedName name="solver_opt" localSheetId="13" hidden="1">'043'!$AE$2</definedName>
    <definedName name="solver_opt" localSheetId="14" hidden="1">'046'!$AE$2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4" i="5"/>
  <c r="Z6" i="4"/>
  <c r="Z7" i="4"/>
  <c r="Z8" i="4"/>
  <c r="Z9" i="4"/>
  <c r="Z10" i="4"/>
  <c r="Z11" i="4"/>
  <c r="Z12" i="4"/>
  <c r="Z13" i="4"/>
  <c r="Z5" i="4"/>
  <c r="Z6" i="15" l="1"/>
  <c r="Z7" i="15"/>
  <c r="Z8" i="15"/>
  <c r="Z9" i="15"/>
  <c r="Z10" i="15"/>
  <c r="Z11" i="15"/>
  <c r="Z12" i="15"/>
  <c r="Z13" i="15"/>
  <c r="Z14" i="15"/>
  <c r="Z5" i="15"/>
  <c r="Z5" i="14"/>
  <c r="Z6" i="14"/>
  <c r="Z7" i="14"/>
  <c r="Z8" i="14"/>
  <c r="Z9" i="14"/>
  <c r="Z10" i="14"/>
  <c r="Z11" i="14"/>
  <c r="Z4" i="14"/>
  <c r="Z6" i="12"/>
  <c r="Z7" i="12"/>
  <c r="Z8" i="12"/>
  <c r="Z9" i="12"/>
  <c r="Z10" i="12"/>
  <c r="Z11" i="12"/>
  <c r="Z12" i="12"/>
  <c r="Z13" i="12"/>
  <c r="Z14" i="12"/>
  <c r="Z5" i="12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5" i="9"/>
  <c r="Z6" i="8"/>
  <c r="Z7" i="8"/>
  <c r="Z8" i="8"/>
  <c r="Z9" i="8"/>
  <c r="Z10" i="8"/>
  <c r="Z11" i="8"/>
  <c r="Z12" i="8"/>
  <c r="Z5" i="8"/>
  <c r="Z6" i="7"/>
  <c r="Z7" i="7"/>
  <c r="Z8" i="7"/>
  <c r="Z9" i="7"/>
  <c r="Z10" i="7"/>
  <c r="Z11" i="7"/>
  <c r="Z12" i="7"/>
  <c r="Z13" i="7"/>
  <c r="Z14" i="7"/>
  <c r="Z5" i="7"/>
  <c r="Z6" i="18"/>
  <c r="Z7" i="18"/>
  <c r="Z8" i="18"/>
  <c r="Z9" i="18"/>
  <c r="Z10" i="18"/>
  <c r="Z11" i="18"/>
  <c r="Z12" i="18"/>
  <c r="Z13" i="18"/>
  <c r="Z5" i="18"/>
  <c r="Z6" i="3"/>
  <c r="Z7" i="3"/>
  <c r="Z8" i="3"/>
  <c r="Z9" i="3"/>
  <c r="Z10" i="3"/>
  <c r="Z11" i="3"/>
  <c r="Z12" i="3"/>
  <c r="Z13" i="3"/>
  <c r="Z14" i="3"/>
  <c r="Z5" i="3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5" i="2"/>
  <c r="B67" i="21"/>
  <c r="J22" i="21"/>
  <c r="I22" i="21"/>
  <c r="C22" i="21"/>
  <c r="B22" i="21"/>
  <c r="C82" i="21" s="1"/>
  <c r="K21" i="21"/>
  <c r="J21" i="21"/>
  <c r="I21" i="21"/>
  <c r="M21" i="21" s="1"/>
  <c r="R21" i="21" s="1"/>
  <c r="C21" i="21"/>
  <c r="B21" i="21"/>
  <c r="K20" i="21"/>
  <c r="J20" i="21"/>
  <c r="I20" i="21"/>
  <c r="C20" i="21"/>
  <c r="B20" i="21"/>
  <c r="K19" i="21"/>
  <c r="J19" i="21"/>
  <c r="I19" i="21"/>
  <c r="E19" i="21"/>
  <c r="C19" i="21"/>
  <c r="B19" i="21"/>
  <c r="C73" i="21" s="1"/>
  <c r="K18" i="21"/>
  <c r="J18" i="21"/>
  <c r="I18" i="21"/>
  <c r="E18" i="21"/>
  <c r="C18" i="21"/>
  <c r="B18" i="21"/>
  <c r="M17" i="21"/>
  <c r="R17" i="21" s="1"/>
  <c r="K17" i="21"/>
  <c r="J17" i="21"/>
  <c r="I17" i="21"/>
  <c r="E17" i="21"/>
  <c r="C17" i="21"/>
  <c r="B17" i="21"/>
  <c r="M16" i="21"/>
  <c r="R16" i="21" s="1"/>
  <c r="K16" i="21"/>
  <c r="J16" i="21"/>
  <c r="I16" i="21"/>
  <c r="E16" i="21"/>
  <c r="C16" i="21"/>
  <c r="B16" i="21"/>
  <c r="B64" i="21" s="1"/>
  <c r="K15" i="21"/>
  <c r="J15" i="21"/>
  <c r="I15" i="21"/>
  <c r="E15" i="21"/>
  <c r="C15" i="21"/>
  <c r="B15" i="21"/>
  <c r="C61" i="21" s="1"/>
  <c r="K14" i="21"/>
  <c r="J14" i="21"/>
  <c r="I14" i="21"/>
  <c r="E14" i="21"/>
  <c r="C14" i="21"/>
  <c r="B14" i="21"/>
  <c r="K13" i="21"/>
  <c r="J13" i="21"/>
  <c r="I13" i="21"/>
  <c r="E13" i="21"/>
  <c r="C13" i="21"/>
  <c r="B13" i="21"/>
  <c r="K12" i="21"/>
  <c r="J12" i="21"/>
  <c r="I12" i="21"/>
  <c r="E12" i="21"/>
  <c r="C12" i="21"/>
  <c r="M12" i="21" s="1"/>
  <c r="R12" i="21" s="1"/>
  <c r="B12" i="21"/>
  <c r="K11" i="21"/>
  <c r="J11" i="21"/>
  <c r="I11" i="21"/>
  <c r="E11" i="21"/>
  <c r="C11" i="21"/>
  <c r="B11" i="21"/>
  <c r="K10" i="21"/>
  <c r="J10" i="21"/>
  <c r="I10" i="21"/>
  <c r="E10" i="21"/>
  <c r="C46" i="21" s="1"/>
  <c r="C10" i="21"/>
  <c r="B10" i="21"/>
  <c r="K9" i="21"/>
  <c r="J9" i="21"/>
  <c r="I9" i="21"/>
  <c r="G9" i="21"/>
  <c r="E9" i="21"/>
  <c r="C9" i="21"/>
  <c r="B43" i="21" s="1"/>
  <c r="B9" i="21"/>
  <c r="K8" i="21"/>
  <c r="J8" i="21"/>
  <c r="I8" i="21"/>
  <c r="G8" i="21"/>
  <c r="E8" i="21"/>
  <c r="C8" i="21"/>
  <c r="B8" i="21"/>
  <c r="K7" i="21"/>
  <c r="J7" i="21"/>
  <c r="I7" i="21"/>
  <c r="G7" i="21"/>
  <c r="E7" i="21"/>
  <c r="C7" i="21"/>
  <c r="B7" i="21"/>
  <c r="M6" i="21"/>
  <c r="R6" i="21" s="1"/>
  <c r="K6" i="21"/>
  <c r="J6" i="21"/>
  <c r="I6" i="21"/>
  <c r="G6" i="21"/>
  <c r="E6" i="21"/>
  <c r="C6" i="21"/>
  <c r="B6" i="21"/>
  <c r="K5" i="21"/>
  <c r="J5" i="21"/>
  <c r="I5" i="21"/>
  <c r="G5" i="21"/>
  <c r="E5" i="21"/>
  <c r="C5" i="21"/>
  <c r="B5" i="21"/>
  <c r="K4" i="21"/>
  <c r="J4" i="21"/>
  <c r="I4" i="21"/>
  <c r="G4" i="21"/>
  <c r="E4" i="21"/>
  <c r="C4" i="21"/>
  <c r="B4" i="21"/>
  <c r="B28" i="16"/>
  <c r="B31" i="16"/>
  <c r="B5" i="16"/>
  <c r="C5" i="16"/>
  <c r="E5" i="16"/>
  <c r="F5" i="16"/>
  <c r="G5" i="16"/>
  <c r="H5" i="16"/>
  <c r="I5" i="16"/>
  <c r="J5" i="16"/>
  <c r="K5" i="16"/>
  <c r="B6" i="16"/>
  <c r="C6" i="16"/>
  <c r="E6" i="16"/>
  <c r="F6" i="16"/>
  <c r="G6" i="16"/>
  <c r="H6" i="16"/>
  <c r="I6" i="16"/>
  <c r="J6" i="16"/>
  <c r="K6" i="16"/>
  <c r="B7" i="16"/>
  <c r="C7" i="16"/>
  <c r="E7" i="16"/>
  <c r="F7" i="16"/>
  <c r="G7" i="16"/>
  <c r="H7" i="16"/>
  <c r="I7" i="16"/>
  <c r="J7" i="16"/>
  <c r="K7" i="16"/>
  <c r="B8" i="16"/>
  <c r="C8" i="16"/>
  <c r="E8" i="16"/>
  <c r="F8" i="16"/>
  <c r="G8" i="16"/>
  <c r="H8" i="16"/>
  <c r="I8" i="16"/>
  <c r="J8" i="16"/>
  <c r="K8" i="16"/>
  <c r="B9" i="16"/>
  <c r="C9" i="16"/>
  <c r="E9" i="16"/>
  <c r="F9" i="16"/>
  <c r="G9" i="16"/>
  <c r="H9" i="16"/>
  <c r="I9" i="16"/>
  <c r="J9" i="16"/>
  <c r="K9" i="16"/>
  <c r="B10" i="16"/>
  <c r="C10" i="16"/>
  <c r="E10" i="16"/>
  <c r="F10" i="16"/>
  <c r="I10" i="16"/>
  <c r="J10" i="16"/>
  <c r="K10" i="16"/>
  <c r="B11" i="16"/>
  <c r="C11" i="16"/>
  <c r="E11" i="16"/>
  <c r="F11" i="16"/>
  <c r="I11" i="16"/>
  <c r="J11" i="16"/>
  <c r="K11" i="16"/>
  <c r="B12" i="16"/>
  <c r="C12" i="16"/>
  <c r="E12" i="16"/>
  <c r="F12" i="16"/>
  <c r="I12" i="16"/>
  <c r="J12" i="16"/>
  <c r="K12" i="16"/>
  <c r="B13" i="16"/>
  <c r="C13" i="16"/>
  <c r="E13" i="16"/>
  <c r="F13" i="16"/>
  <c r="I13" i="16"/>
  <c r="J13" i="16"/>
  <c r="K13" i="16"/>
  <c r="B14" i="16"/>
  <c r="C14" i="16"/>
  <c r="E14" i="16"/>
  <c r="F14" i="16"/>
  <c r="I14" i="16"/>
  <c r="J14" i="16"/>
  <c r="K14" i="16"/>
  <c r="B15" i="16"/>
  <c r="C15" i="16"/>
  <c r="E15" i="16"/>
  <c r="F15" i="16"/>
  <c r="I15" i="16"/>
  <c r="J15" i="16"/>
  <c r="K15" i="16"/>
  <c r="B16" i="16"/>
  <c r="C16" i="16"/>
  <c r="E16" i="16"/>
  <c r="F16" i="16"/>
  <c r="I16" i="16"/>
  <c r="J16" i="16"/>
  <c r="K16" i="16"/>
  <c r="B17" i="16"/>
  <c r="C17" i="16"/>
  <c r="E17" i="16"/>
  <c r="F17" i="16"/>
  <c r="I17" i="16"/>
  <c r="J17" i="16"/>
  <c r="K17" i="16"/>
  <c r="B18" i="16"/>
  <c r="C18" i="16"/>
  <c r="E18" i="16"/>
  <c r="F18" i="16"/>
  <c r="I18" i="16"/>
  <c r="J18" i="16"/>
  <c r="K18" i="16"/>
  <c r="B19" i="16"/>
  <c r="C19" i="16"/>
  <c r="E19" i="16"/>
  <c r="I19" i="16"/>
  <c r="J19" i="16"/>
  <c r="K19" i="16"/>
  <c r="B20" i="16"/>
  <c r="C20" i="16"/>
  <c r="I20" i="16"/>
  <c r="J20" i="16"/>
  <c r="K20" i="16"/>
  <c r="B21" i="16"/>
  <c r="C21" i="16"/>
  <c r="I21" i="16"/>
  <c r="J21" i="16"/>
  <c r="K21" i="16"/>
  <c r="B22" i="16"/>
  <c r="B82" i="16" s="1"/>
  <c r="C22" i="16"/>
  <c r="I22" i="16"/>
  <c r="J22" i="16"/>
  <c r="K4" i="16"/>
  <c r="J4" i="16"/>
  <c r="I4" i="16"/>
  <c r="H4" i="16"/>
  <c r="G4" i="16"/>
  <c r="F4" i="16"/>
  <c r="E4" i="16"/>
  <c r="C4" i="16"/>
  <c r="B4" i="16"/>
  <c r="AD6" i="18"/>
  <c r="AD5" i="18"/>
  <c r="AB6" i="18"/>
  <c r="AC6" i="18"/>
  <c r="AB7" i="18"/>
  <c r="AC7" i="18"/>
  <c r="AB8" i="18"/>
  <c r="AC8" i="18"/>
  <c r="AB9" i="18"/>
  <c r="AC9" i="18"/>
  <c r="AB10" i="18"/>
  <c r="AC10" i="18"/>
  <c r="AB11" i="18"/>
  <c r="AC11" i="18"/>
  <c r="AB12" i="18"/>
  <c r="AC12" i="18"/>
  <c r="AB13" i="18"/>
  <c r="AC13" i="18"/>
  <c r="AC5" i="18"/>
  <c r="AB5" i="18"/>
  <c r="AA6" i="18"/>
  <c r="AA7" i="18"/>
  <c r="AD7" i="18" s="1"/>
  <c r="AE7" i="18" s="1"/>
  <c r="AA8" i="18"/>
  <c r="AA9" i="18"/>
  <c r="AA10" i="18"/>
  <c r="AD10" i="18" s="1"/>
  <c r="AE10" i="18" s="1"/>
  <c r="AA11" i="18"/>
  <c r="AD11" i="18" s="1"/>
  <c r="AE11" i="18" s="1"/>
  <c r="AA12" i="18"/>
  <c r="AA13" i="18"/>
  <c r="AA5" i="18"/>
  <c r="AH22" i="18"/>
  <c r="AH21" i="18"/>
  <c r="AH20" i="18"/>
  <c r="AH19" i="18"/>
  <c r="AH18" i="18"/>
  <c r="AH17" i="18"/>
  <c r="AH16" i="18"/>
  <c r="AH15" i="18"/>
  <c r="AH14" i="18"/>
  <c r="AH13" i="18"/>
  <c r="AD13" i="18"/>
  <c r="AH12" i="18"/>
  <c r="AD12" i="18"/>
  <c r="AE12" i="18" s="1"/>
  <c r="AH11" i="18"/>
  <c r="AH10" i="18"/>
  <c r="AH9" i="18"/>
  <c r="AD9" i="18"/>
  <c r="AE9" i="18" s="1"/>
  <c r="AH8" i="18"/>
  <c r="AD8" i="18"/>
  <c r="AE8" i="18" s="1"/>
  <c r="AH7" i="18"/>
  <c r="AH6" i="18"/>
  <c r="AH5" i="18"/>
  <c r="AD4" i="18"/>
  <c r="AE4" i="18" s="1"/>
  <c r="L2" i="18"/>
  <c r="AE2" i="3"/>
  <c r="AE2" i="4"/>
  <c r="B40" i="21" l="1"/>
  <c r="L18" i="21"/>
  <c r="M9" i="21"/>
  <c r="R9" i="21" s="1"/>
  <c r="C55" i="21"/>
  <c r="B55" i="21"/>
  <c r="M13" i="21"/>
  <c r="R13" i="21" s="1"/>
  <c r="C70" i="21"/>
  <c r="L17" i="21"/>
  <c r="S17" i="21" s="1"/>
  <c r="C67" i="21"/>
  <c r="C28" i="21"/>
  <c r="B28" i="21"/>
  <c r="M4" i="21"/>
  <c r="R4" i="21" s="1"/>
  <c r="B31" i="21"/>
  <c r="C40" i="21"/>
  <c r="M8" i="21"/>
  <c r="R8" i="21" s="1"/>
  <c r="L10" i="21"/>
  <c r="C52" i="21"/>
  <c r="B52" i="21"/>
  <c r="L12" i="21"/>
  <c r="S12" i="21" s="1"/>
  <c r="L14" i="21"/>
  <c r="M5" i="21"/>
  <c r="R5" i="21" s="1"/>
  <c r="L4" i="21"/>
  <c r="L5" i="21"/>
  <c r="C37" i="21"/>
  <c r="B37" i="21"/>
  <c r="M7" i="21"/>
  <c r="R7" i="21" s="1"/>
  <c r="L7" i="21"/>
  <c r="L8" i="21"/>
  <c r="L9" i="21"/>
  <c r="L13" i="21"/>
  <c r="B76" i="21"/>
  <c r="M20" i="21"/>
  <c r="R20" i="21" s="1"/>
  <c r="C79" i="21"/>
  <c r="B79" i="21"/>
  <c r="C43" i="21"/>
  <c r="B34" i="21"/>
  <c r="B46" i="21"/>
  <c r="M10" i="21"/>
  <c r="R10" i="21" s="1"/>
  <c r="S10" i="21" s="1"/>
  <c r="L11" i="21"/>
  <c r="B58" i="21"/>
  <c r="M14" i="21"/>
  <c r="R14" i="21" s="1"/>
  <c r="L16" i="21"/>
  <c r="C64" i="21"/>
  <c r="C58" i="21"/>
  <c r="L6" i="21"/>
  <c r="C49" i="21"/>
  <c r="B49" i="21"/>
  <c r="M11" i="21"/>
  <c r="R11" i="21" s="1"/>
  <c r="B70" i="21"/>
  <c r="L19" i="21"/>
  <c r="L20" i="21"/>
  <c r="L21" i="21"/>
  <c r="S21" i="21" s="1"/>
  <c r="B82" i="21"/>
  <c r="D82" i="21" s="1"/>
  <c r="F82" i="21" s="1"/>
  <c r="M22" i="21"/>
  <c r="R22" i="21" s="1"/>
  <c r="L22" i="21"/>
  <c r="C31" i="21"/>
  <c r="L15" i="21"/>
  <c r="M18" i="21"/>
  <c r="R18" i="21" s="1"/>
  <c r="S18" i="21" s="1"/>
  <c r="M19" i="21"/>
  <c r="R19" i="21" s="1"/>
  <c r="B61" i="21"/>
  <c r="B73" i="21"/>
  <c r="C76" i="21"/>
  <c r="M15" i="21"/>
  <c r="R15" i="21" s="1"/>
  <c r="AE6" i="18"/>
  <c r="AE13" i="18"/>
  <c r="AE5" i="18"/>
  <c r="AE2" i="18" s="1"/>
  <c r="S19" i="21" l="1"/>
  <c r="S9" i="21"/>
  <c r="S11" i="21"/>
  <c r="S14" i="21"/>
  <c r="S5" i="21"/>
  <c r="S4" i="21"/>
  <c r="D31" i="21"/>
  <c r="F31" i="21" s="1"/>
  <c r="Q6" i="21"/>
  <c r="P6" i="21"/>
  <c r="Q16" i="21"/>
  <c r="P16" i="21"/>
  <c r="E79" i="21"/>
  <c r="D37" i="21"/>
  <c r="E37" i="21" s="1"/>
  <c r="D52" i="21"/>
  <c r="E52" i="21" s="1"/>
  <c r="P10" i="21"/>
  <c r="Q10" i="21"/>
  <c r="S13" i="21"/>
  <c r="D76" i="21"/>
  <c r="E76" i="21" s="1"/>
  <c r="F76" i="21"/>
  <c r="P22" i="21"/>
  <c r="Q22" i="21"/>
  <c r="Q21" i="21"/>
  <c r="P21" i="21"/>
  <c r="D58" i="21"/>
  <c r="F58" i="21" s="1"/>
  <c r="D79" i="21"/>
  <c r="F79" i="21" s="1"/>
  <c r="P7" i="21"/>
  <c r="Q7" i="21"/>
  <c r="Q5" i="21"/>
  <c r="P5" i="21"/>
  <c r="D67" i="21"/>
  <c r="E67" i="21" s="1"/>
  <c r="Q18" i="21"/>
  <c r="D46" i="21"/>
  <c r="F46" i="21" s="1"/>
  <c r="D73" i="21"/>
  <c r="F73" i="21" s="1"/>
  <c r="P15" i="21"/>
  <c r="Q15" i="21"/>
  <c r="S22" i="21"/>
  <c r="Q20" i="21"/>
  <c r="P20" i="21"/>
  <c r="D43" i="21"/>
  <c r="E43" i="21" s="1"/>
  <c r="S20" i="21"/>
  <c r="P8" i="21"/>
  <c r="Q8" i="21"/>
  <c r="S7" i="21"/>
  <c r="Q14" i="21"/>
  <c r="P14" i="21"/>
  <c r="Q12" i="21"/>
  <c r="P12" i="21"/>
  <c r="S8" i="21"/>
  <c r="D70" i="21"/>
  <c r="F70" i="21" s="1"/>
  <c r="P18" i="21"/>
  <c r="D55" i="21"/>
  <c r="F55" i="21" s="1"/>
  <c r="S15" i="21"/>
  <c r="E82" i="21"/>
  <c r="H80" i="21" s="1"/>
  <c r="P19" i="21"/>
  <c r="Q19" i="21"/>
  <c r="D49" i="21"/>
  <c r="E49" i="21" s="1"/>
  <c r="D64" i="21"/>
  <c r="E64" i="21" s="1"/>
  <c r="E58" i="21"/>
  <c r="P11" i="21"/>
  <c r="Q11" i="21"/>
  <c r="Q9" i="21"/>
  <c r="P9" i="21"/>
  <c r="P4" i="21"/>
  <c r="Q4" i="21"/>
  <c r="D61" i="21"/>
  <c r="F61" i="21" s="1"/>
  <c r="D40" i="21"/>
  <c r="E40" i="21" s="1"/>
  <c r="E31" i="21"/>
  <c r="D28" i="21"/>
  <c r="E28" i="21" s="1"/>
  <c r="Q17" i="21"/>
  <c r="P17" i="21"/>
  <c r="S16" i="21"/>
  <c r="S6" i="21"/>
  <c r="Q13" i="21"/>
  <c r="P13" i="21"/>
  <c r="F52" i="21" l="1"/>
  <c r="F28" i="21"/>
  <c r="D56" i="21" s="1"/>
  <c r="C34" i="21"/>
  <c r="D34" i="21" s="1"/>
  <c r="E34" i="21" s="1"/>
  <c r="E73" i="21"/>
  <c r="F40" i="21"/>
  <c r="G38" i="21" s="1"/>
  <c r="F64" i="21"/>
  <c r="C62" i="21" s="1"/>
  <c r="F43" i="21"/>
  <c r="J41" i="21" s="1"/>
  <c r="F67" i="21"/>
  <c r="I65" i="21" s="1"/>
  <c r="E70" i="21"/>
  <c r="G68" i="21" s="1"/>
  <c r="H29" i="21"/>
  <c r="F29" i="21"/>
  <c r="K29" i="21"/>
  <c r="C29" i="21"/>
  <c r="J29" i="21"/>
  <c r="E29" i="21"/>
  <c r="B29" i="21"/>
  <c r="I29" i="21"/>
  <c r="G29" i="21"/>
  <c r="H56" i="21"/>
  <c r="G56" i="21"/>
  <c r="B56" i="21"/>
  <c r="J56" i="21"/>
  <c r="I56" i="21"/>
  <c r="F56" i="21"/>
  <c r="E56" i="21"/>
  <c r="K56" i="21"/>
  <c r="C56" i="21"/>
  <c r="B68" i="21"/>
  <c r="I68" i="21"/>
  <c r="C68" i="21"/>
  <c r="G65" i="21"/>
  <c r="E65" i="21"/>
  <c r="F65" i="21"/>
  <c r="K65" i="21"/>
  <c r="J65" i="21"/>
  <c r="E80" i="21"/>
  <c r="K80" i="21"/>
  <c r="K38" i="21"/>
  <c r="H38" i="21"/>
  <c r="F38" i="21"/>
  <c r="I38" i="21"/>
  <c r="F49" i="21"/>
  <c r="E61" i="21"/>
  <c r="F59" i="21" s="1"/>
  <c r="E46" i="21"/>
  <c r="G44" i="21" s="1"/>
  <c r="F37" i="21"/>
  <c r="C80" i="21"/>
  <c r="B80" i="21"/>
  <c r="D68" i="21"/>
  <c r="D44" i="21"/>
  <c r="D47" i="21"/>
  <c r="D35" i="21"/>
  <c r="D77" i="21"/>
  <c r="D53" i="21"/>
  <c r="D38" i="21"/>
  <c r="F26" i="21"/>
  <c r="G26" i="21"/>
  <c r="B26" i="21"/>
  <c r="H62" i="21"/>
  <c r="G62" i="21"/>
  <c r="F62" i="21"/>
  <c r="I41" i="21"/>
  <c r="C41" i="21"/>
  <c r="E55" i="21"/>
  <c r="G53" i="21" s="1"/>
  <c r="G77" i="21"/>
  <c r="F77" i="21"/>
  <c r="E77" i="21"/>
  <c r="H77" i="21"/>
  <c r="B77" i="21"/>
  <c r="I77" i="21"/>
  <c r="J77" i="21"/>
  <c r="C77" i="21"/>
  <c r="K77" i="21"/>
  <c r="H50" i="21"/>
  <c r="G50" i="21"/>
  <c r="C50" i="21"/>
  <c r="F50" i="21"/>
  <c r="J50" i="21"/>
  <c r="E50" i="21"/>
  <c r="B50" i="21"/>
  <c r="I50" i="21"/>
  <c r="K50" i="21"/>
  <c r="I80" i="21"/>
  <c r="F80" i="21"/>
  <c r="H71" i="21"/>
  <c r="J71" i="21"/>
  <c r="B71" i="21"/>
  <c r="G71" i="21"/>
  <c r="F71" i="21"/>
  <c r="I71" i="21"/>
  <c r="C71" i="21"/>
  <c r="K71" i="21"/>
  <c r="E71" i="21"/>
  <c r="J80" i="21"/>
  <c r="G80" i="21"/>
  <c r="F74" i="21"/>
  <c r="E74" i="21"/>
  <c r="K74" i="21"/>
  <c r="H74" i="21"/>
  <c r="G74" i="21"/>
  <c r="I74" i="21"/>
  <c r="J74" i="21"/>
  <c r="B74" i="21"/>
  <c r="C74" i="21"/>
  <c r="G41" i="21" l="1"/>
  <c r="B41" i="21"/>
  <c r="J62" i="21"/>
  <c r="I26" i="21"/>
  <c r="D65" i="21"/>
  <c r="D26" i="21"/>
  <c r="D71" i="21"/>
  <c r="K41" i="21"/>
  <c r="F41" i="21"/>
  <c r="E62" i="21"/>
  <c r="K26" i="21"/>
  <c r="J26" i="21"/>
  <c r="D62" i="21"/>
  <c r="D74" i="21"/>
  <c r="D32" i="21"/>
  <c r="H44" i="21"/>
  <c r="C38" i="21"/>
  <c r="K68" i="21"/>
  <c r="H68" i="21"/>
  <c r="H41" i="21"/>
  <c r="E26" i="21"/>
  <c r="D80" i="21"/>
  <c r="C59" i="21"/>
  <c r="C44" i="21"/>
  <c r="I59" i="21"/>
  <c r="E41" i="21"/>
  <c r="B62" i="21"/>
  <c r="K62" i="21"/>
  <c r="C26" i="21"/>
  <c r="H26" i="21"/>
  <c r="D41" i="21"/>
  <c r="D29" i="21"/>
  <c r="D50" i="21"/>
  <c r="D59" i="21"/>
  <c r="B44" i="21"/>
  <c r="J38" i="21"/>
  <c r="E38" i="21"/>
  <c r="B59" i="21"/>
  <c r="E68" i="21"/>
  <c r="J68" i="21"/>
  <c r="E53" i="21"/>
  <c r="K53" i="21"/>
  <c r="E59" i="21"/>
  <c r="G59" i="21"/>
  <c r="H53" i="21"/>
  <c r="I62" i="21"/>
  <c r="I44" i="21"/>
  <c r="B38" i="21"/>
  <c r="C65" i="21"/>
  <c r="H65" i="21"/>
  <c r="K59" i="21"/>
  <c r="H59" i="21"/>
  <c r="F68" i="21"/>
  <c r="J53" i="21"/>
  <c r="B53" i="21"/>
  <c r="F44" i="21"/>
  <c r="B65" i="21"/>
  <c r="F53" i="21"/>
  <c r="F34" i="21"/>
  <c r="K44" i="21"/>
  <c r="E44" i="21"/>
  <c r="J59" i="21"/>
  <c r="C53" i="21"/>
  <c r="I53" i="21"/>
  <c r="C35" i="21"/>
  <c r="E35" i="21"/>
  <c r="J35" i="21"/>
  <c r="B35" i="21"/>
  <c r="H35" i="21"/>
  <c r="I35" i="21"/>
  <c r="K35" i="21"/>
  <c r="F35" i="21"/>
  <c r="G35" i="21"/>
  <c r="H47" i="21"/>
  <c r="G47" i="21"/>
  <c r="F47" i="21"/>
  <c r="B47" i="21"/>
  <c r="C47" i="21"/>
  <c r="J47" i="21"/>
  <c r="E47" i="21"/>
  <c r="I47" i="21"/>
  <c r="K47" i="21"/>
  <c r="J44" i="21"/>
  <c r="J32" i="21" l="1"/>
  <c r="B32" i="21"/>
  <c r="I32" i="21"/>
  <c r="K32" i="21"/>
  <c r="F32" i="21"/>
  <c r="C32" i="21"/>
  <c r="E32" i="21"/>
  <c r="H32" i="21"/>
  <c r="G32" i="21"/>
  <c r="AD5" i="3" l="1"/>
  <c r="AH5" i="3"/>
  <c r="AA5" i="3"/>
  <c r="AH20" i="15" l="1"/>
  <c r="AA13" i="15"/>
  <c r="AB13" i="15"/>
  <c r="AA14" i="15"/>
  <c r="AB14" i="15"/>
  <c r="AA6" i="15"/>
  <c r="AB6" i="15"/>
  <c r="AA7" i="15"/>
  <c r="AB7" i="15"/>
  <c r="AA8" i="15"/>
  <c r="AB8" i="15"/>
  <c r="AA9" i="15"/>
  <c r="AB9" i="15"/>
  <c r="AA10" i="15"/>
  <c r="AB10" i="15"/>
  <c r="AA11" i="15"/>
  <c r="AB11" i="15"/>
  <c r="AA12" i="15"/>
  <c r="AB12" i="15"/>
  <c r="AB5" i="15"/>
  <c r="AH21" i="15"/>
  <c r="AA5" i="15"/>
  <c r="AD7" i="14"/>
  <c r="AA5" i="14"/>
  <c r="AD5" i="14"/>
  <c r="AA6" i="14"/>
  <c r="AD6" i="14"/>
  <c r="AA7" i="14"/>
  <c r="AA8" i="14"/>
  <c r="AD8" i="14" s="1"/>
  <c r="AA9" i="14"/>
  <c r="AD9" i="14" s="1"/>
  <c r="AA10" i="14"/>
  <c r="AD10" i="14" s="1"/>
  <c r="AA11" i="14"/>
  <c r="AD11" i="14"/>
  <c r="AH22" i="14"/>
  <c r="AH21" i="14"/>
  <c r="AH20" i="14"/>
  <c r="AH19" i="14"/>
  <c r="AH18" i="14"/>
  <c r="AH17" i="14"/>
  <c r="AH16" i="14"/>
  <c r="AH15" i="14"/>
  <c r="AH14" i="14"/>
  <c r="AH13" i="14"/>
  <c r="AH12" i="14"/>
  <c r="AH11" i="14"/>
  <c r="AH10" i="14"/>
  <c r="AH9" i="14"/>
  <c r="AH8" i="14"/>
  <c r="AH7" i="14"/>
  <c r="AH6" i="14"/>
  <c r="AH5" i="14"/>
  <c r="AA4" i="14"/>
  <c r="AD4" i="14" s="1"/>
  <c r="AH10" i="5"/>
  <c r="AA14" i="5"/>
  <c r="AB14" i="5"/>
  <c r="AA15" i="5"/>
  <c r="AB15" i="5"/>
  <c r="AA16" i="5"/>
  <c r="AB16" i="5"/>
  <c r="AA17" i="5"/>
  <c r="AB17" i="5"/>
  <c r="AA18" i="5"/>
  <c r="AB18" i="5"/>
  <c r="AA19" i="5"/>
  <c r="AB19" i="5"/>
  <c r="AA20" i="5"/>
  <c r="AB20" i="5"/>
  <c r="AA21" i="5"/>
  <c r="AB21" i="5"/>
  <c r="AA22" i="5"/>
  <c r="AB22" i="5"/>
  <c r="AA23" i="5"/>
  <c r="AB23" i="5"/>
  <c r="AA24" i="5"/>
  <c r="AB24" i="5"/>
  <c r="AA25" i="5"/>
  <c r="AB25" i="5"/>
  <c r="AA26" i="5"/>
  <c r="AB26" i="5"/>
  <c r="AA27" i="5"/>
  <c r="AB27" i="5"/>
  <c r="AA28" i="5"/>
  <c r="AB28" i="5"/>
  <c r="AA29" i="5"/>
  <c r="AB29" i="5"/>
  <c r="AA30" i="5"/>
  <c r="AB30" i="5"/>
  <c r="AA31" i="5"/>
  <c r="AB31" i="5"/>
  <c r="AA32" i="5"/>
  <c r="AB32" i="5"/>
  <c r="AA33" i="5"/>
  <c r="AB33" i="5"/>
  <c r="AA34" i="5"/>
  <c r="AB34" i="5"/>
  <c r="AA35" i="5"/>
  <c r="AB35" i="5"/>
  <c r="AB13" i="5"/>
  <c r="AA13" i="5"/>
  <c r="AB12" i="5"/>
  <c r="AA12" i="5"/>
  <c r="AB11" i="5"/>
  <c r="AA11" i="5"/>
  <c r="AB10" i="5"/>
  <c r="AA10" i="5"/>
  <c r="AB9" i="5"/>
  <c r="AA9" i="5"/>
  <c r="AB8" i="5"/>
  <c r="AA8" i="5"/>
  <c r="AB7" i="5"/>
  <c r="AA7" i="5"/>
  <c r="AB6" i="5"/>
  <c r="AA6" i="5"/>
  <c r="AB5" i="5"/>
  <c r="AA5" i="5"/>
  <c r="AB4" i="5"/>
  <c r="AA4" i="5"/>
  <c r="AB14" i="12"/>
  <c r="AA14" i="12"/>
  <c r="AD14" i="12" s="1"/>
  <c r="AB13" i="12"/>
  <c r="AA13" i="12"/>
  <c r="AD13" i="12" s="1"/>
  <c r="AB12" i="12"/>
  <c r="AA12" i="12"/>
  <c r="AD12" i="12" s="1"/>
  <c r="AB11" i="12"/>
  <c r="AA11" i="12"/>
  <c r="AD11" i="12" s="1"/>
  <c r="AB10" i="12"/>
  <c r="AA10" i="12"/>
  <c r="AD10" i="12" s="1"/>
  <c r="AH9" i="12"/>
  <c r="AB9" i="12"/>
  <c r="AA9" i="12"/>
  <c r="AD9" i="12" s="1"/>
  <c r="AH8" i="12"/>
  <c r="AB8" i="12"/>
  <c r="AA8" i="12"/>
  <c r="AD8" i="12" s="1"/>
  <c r="AH7" i="12"/>
  <c r="AB7" i="12"/>
  <c r="AA7" i="12"/>
  <c r="AD7" i="12" s="1"/>
  <c r="AH6" i="12"/>
  <c r="AB6" i="12"/>
  <c r="AA6" i="12"/>
  <c r="AD6" i="12" s="1"/>
  <c r="AH5" i="12"/>
  <c r="AB5" i="12"/>
  <c r="AA5" i="12"/>
  <c r="AD5" i="12" s="1"/>
  <c r="AD16" i="9"/>
  <c r="AD20" i="9"/>
  <c r="AD24" i="9"/>
  <c r="AA13" i="9"/>
  <c r="AD13" i="9" s="1"/>
  <c r="AB13" i="9"/>
  <c r="AA14" i="9"/>
  <c r="AD14" i="9" s="1"/>
  <c r="AB14" i="9"/>
  <c r="AA15" i="9"/>
  <c r="AD15" i="9" s="1"/>
  <c r="AB15" i="9"/>
  <c r="AA16" i="9"/>
  <c r="AB16" i="9"/>
  <c r="AA17" i="9"/>
  <c r="AD17" i="9" s="1"/>
  <c r="AB17" i="9"/>
  <c r="AA18" i="9"/>
  <c r="AD18" i="9" s="1"/>
  <c r="AB18" i="9"/>
  <c r="AA19" i="9"/>
  <c r="AD19" i="9" s="1"/>
  <c r="AB19" i="9"/>
  <c r="AA20" i="9"/>
  <c r="AB20" i="9"/>
  <c r="AA21" i="9"/>
  <c r="AD21" i="9" s="1"/>
  <c r="AB21" i="9"/>
  <c r="AA22" i="9"/>
  <c r="AD22" i="9" s="1"/>
  <c r="AB22" i="9"/>
  <c r="AA23" i="9"/>
  <c r="AD23" i="9" s="1"/>
  <c r="AB23" i="9"/>
  <c r="AA24" i="9"/>
  <c r="AB24" i="9"/>
  <c r="AA6" i="9"/>
  <c r="AD6" i="9" s="1"/>
  <c r="AB6" i="9"/>
  <c r="AA7" i="9"/>
  <c r="AD7" i="9" s="1"/>
  <c r="AB7" i="9"/>
  <c r="AA8" i="9"/>
  <c r="AB8" i="9"/>
  <c r="AA9" i="9"/>
  <c r="AB9" i="9"/>
  <c r="AA10" i="9"/>
  <c r="AD10" i="9" s="1"/>
  <c r="AB10" i="9"/>
  <c r="AA11" i="9"/>
  <c r="AD11" i="9" s="1"/>
  <c r="AB11" i="9"/>
  <c r="AA12" i="9"/>
  <c r="AB12" i="9"/>
  <c r="AB5" i="9"/>
  <c r="AA5" i="9"/>
  <c r="AD5" i="9" s="1"/>
  <c r="AD12" i="9"/>
  <c r="AH9" i="9"/>
  <c r="AD9" i="9"/>
  <c r="AH8" i="9"/>
  <c r="AD8" i="9"/>
  <c r="AH7" i="9"/>
  <c r="AH6" i="9"/>
  <c r="AH5" i="9"/>
  <c r="AH10" i="8"/>
  <c r="AH12" i="8"/>
  <c r="AH11" i="8"/>
  <c r="AH5" i="8"/>
  <c r="AH17" i="7"/>
  <c r="AH13" i="7"/>
  <c r="AH5" i="7"/>
  <c r="AA14" i="7"/>
  <c r="AB14" i="7"/>
  <c r="AA5" i="7"/>
  <c r="AB5" i="7"/>
  <c r="AA6" i="7"/>
  <c r="AB6" i="7"/>
  <c r="AA7" i="7"/>
  <c r="AB7" i="7"/>
  <c r="AA8" i="7"/>
  <c r="AD8" i="7" s="1"/>
  <c r="AB8" i="7"/>
  <c r="AA9" i="7"/>
  <c r="AB9" i="7"/>
  <c r="AA10" i="7"/>
  <c r="AB10" i="7"/>
  <c r="AA11" i="7"/>
  <c r="AB11" i="7"/>
  <c r="AA12" i="7"/>
  <c r="AD12" i="7" s="1"/>
  <c r="AB12" i="7"/>
  <c r="AA13" i="7"/>
  <c r="AB13" i="7"/>
  <c r="AB4" i="7"/>
  <c r="AA4" i="7"/>
  <c r="AH5" i="4"/>
  <c r="AH11" i="7"/>
  <c r="AD10" i="7"/>
  <c r="AA13" i="4"/>
  <c r="AA12" i="4"/>
  <c r="AA11" i="4"/>
  <c r="AA10" i="4"/>
  <c r="AA9" i="4"/>
  <c r="AA8" i="4"/>
  <c r="AA7" i="4"/>
  <c r="AA6" i="4"/>
  <c r="AA5" i="4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D9" i="3"/>
  <c r="AA6" i="3"/>
  <c r="AA7" i="3"/>
  <c r="AA8" i="3"/>
  <c r="AA9" i="3"/>
  <c r="AA10" i="3"/>
  <c r="AA11" i="3"/>
  <c r="AA12" i="3"/>
  <c r="AA13" i="3"/>
  <c r="AA14" i="3"/>
  <c r="AD12" i="15" l="1"/>
  <c r="AD5" i="15"/>
  <c r="AD14" i="15"/>
  <c r="AH5" i="15"/>
  <c r="AH8" i="15"/>
  <c r="AH14" i="15"/>
  <c r="AD7" i="15"/>
  <c r="AD13" i="15"/>
  <c r="AD8" i="15"/>
  <c r="AH9" i="15"/>
  <c r="AH15" i="15"/>
  <c r="AH16" i="15"/>
  <c r="AH17" i="15"/>
  <c r="AH6" i="15"/>
  <c r="AH18" i="15"/>
  <c r="AH7" i="15"/>
  <c r="AH19" i="15"/>
  <c r="AD11" i="15"/>
  <c r="AD10" i="15"/>
  <c r="AH12" i="15"/>
  <c r="AD6" i="15"/>
  <c r="AH10" i="15"/>
  <c r="AH11" i="15"/>
  <c r="AH13" i="15"/>
  <c r="AD9" i="15"/>
  <c r="AH5" i="5"/>
  <c r="AD25" i="5"/>
  <c r="AH20" i="5"/>
  <c r="AD7" i="5"/>
  <c r="AD31" i="5"/>
  <c r="AD18" i="5"/>
  <c r="AH19" i="5"/>
  <c r="AD8" i="5"/>
  <c r="AH17" i="5"/>
  <c r="AD5" i="5"/>
  <c r="AH16" i="5"/>
  <c r="AH6" i="5"/>
  <c r="AD11" i="5"/>
  <c r="AD29" i="5"/>
  <c r="AD22" i="5"/>
  <c r="AH15" i="5"/>
  <c r="AD16" i="5"/>
  <c r="AD6" i="5"/>
  <c r="AH9" i="5"/>
  <c r="AD12" i="5"/>
  <c r="AD28" i="5"/>
  <c r="AD15" i="5"/>
  <c r="AH14" i="5"/>
  <c r="AD10" i="5"/>
  <c r="AH21" i="5"/>
  <c r="AH8" i="5"/>
  <c r="AH18" i="5"/>
  <c r="AD17" i="5"/>
  <c r="AD23" i="5"/>
  <c r="AD35" i="5"/>
  <c r="AD21" i="5"/>
  <c r="AH13" i="5"/>
  <c r="AD19" i="5"/>
  <c r="AD24" i="5"/>
  <c r="AD30" i="5"/>
  <c r="AD27" i="5"/>
  <c r="AH12" i="5"/>
  <c r="AD4" i="5"/>
  <c r="AH7" i="5"/>
  <c r="AD13" i="5"/>
  <c r="AD20" i="5"/>
  <c r="AH11" i="5"/>
  <c r="AD32" i="5"/>
  <c r="AD34" i="5"/>
  <c r="AD14" i="5"/>
  <c r="AD9" i="5"/>
  <c r="AD33" i="5"/>
  <c r="AD26" i="5"/>
  <c r="AH22" i="5"/>
  <c r="AH6" i="8"/>
  <c r="AH14" i="8"/>
  <c r="AH15" i="8"/>
  <c r="AH18" i="8"/>
  <c r="AH9" i="8"/>
  <c r="AH13" i="8"/>
  <c r="AH7" i="8"/>
  <c r="AH16" i="8"/>
  <c r="AH17" i="8"/>
  <c r="AH8" i="8"/>
  <c r="AH6" i="7"/>
  <c r="AH14" i="7"/>
  <c r="AD11" i="7"/>
  <c r="AH15" i="7"/>
  <c r="AH7" i="7"/>
  <c r="AH8" i="7"/>
  <c r="AH9" i="7"/>
  <c r="AH18" i="7"/>
  <c r="AD13" i="7"/>
  <c r="AD9" i="7"/>
  <c r="AH19" i="7"/>
  <c r="AD14" i="7"/>
  <c r="AH12" i="7"/>
  <c r="AD7" i="7"/>
  <c r="AD6" i="7"/>
  <c r="AD4" i="7"/>
  <c r="AH16" i="7"/>
  <c r="AD5" i="7"/>
  <c r="AH10" i="7"/>
  <c r="AD4" i="4"/>
  <c r="AD5" i="4"/>
  <c r="AH8" i="4"/>
  <c r="AD13" i="4"/>
  <c r="AH22" i="4"/>
  <c r="AD10" i="4"/>
  <c r="AH6" i="4"/>
  <c r="AH16" i="4"/>
  <c r="AH11" i="4"/>
  <c r="AD11" i="4"/>
  <c r="AH14" i="4"/>
  <c r="AH15" i="4"/>
  <c r="AH9" i="4"/>
  <c r="AD9" i="4"/>
  <c r="AH12" i="4"/>
  <c r="AD6" i="4"/>
  <c r="AH18" i="4"/>
  <c r="AH7" i="4"/>
  <c r="AD7" i="4"/>
  <c r="AH20" i="4"/>
  <c r="AD12" i="4"/>
  <c r="AH21" i="4"/>
  <c r="AD8" i="4"/>
  <c r="AH17" i="4"/>
  <c r="AH19" i="4"/>
  <c r="AH10" i="4"/>
  <c r="AH13" i="4"/>
  <c r="AD14" i="3"/>
  <c r="AD11" i="3"/>
  <c r="AD10" i="3"/>
  <c r="AD8" i="3"/>
  <c r="AD7" i="3"/>
  <c r="AD6" i="3"/>
  <c r="AD13" i="3"/>
  <c r="AD12" i="3"/>
  <c r="R4" i="3" l="1"/>
  <c r="D13" i="3"/>
  <c r="B13" i="3"/>
  <c r="D12" i="3"/>
  <c r="B12" i="3"/>
  <c r="D11" i="3"/>
  <c r="B11" i="3"/>
  <c r="D10" i="3"/>
  <c r="B10" i="3"/>
  <c r="D9" i="3"/>
  <c r="B9" i="3"/>
  <c r="D8" i="3"/>
  <c r="B8" i="3"/>
  <c r="D7" i="3"/>
  <c r="B7" i="3"/>
  <c r="D6" i="3"/>
  <c r="B6" i="3"/>
  <c r="D5" i="3"/>
  <c r="B5" i="3"/>
  <c r="D4" i="3"/>
  <c r="B4" i="3"/>
  <c r="H4" i="3" s="1"/>
  <c r="K4" i="3" s="1"/>
  <c r="S13" i="3" l="1"/>
  <c r="AB14" i="3"/>
  <c r="I10" i="3"/>
  <c r="AB11" i="3"/>
  <c r="S5" i="3"/>
  <c r="AB6" i="3"/>
  <c r="I7" i="3"/>
  <c r="AB8" i="3"/>
  <c r="I9" i="3"/>
  <c r="AB10" i="3"/>
  <c r="S11" i="3"/>
  <c r="AB12" i="3"/>
  <c r="E11" i="3"/>
  <c r="S4" i="3"/>
  <c r="AB5" i="3"/>
  <c r="I6" i="3"/>
  <c r="AB7" i="3"/>
  <c r="I8" i="3"/>
  <c r="AB9" i="3"/>
  <c r="S12" i="3"/>
  <c r="AB13" i="3"/>
  <c r="S10" i="3"/>
  <c r="I4" i="3"/>
  <c r="E10" i="3"/>
  <c r="E5" i="3"/>
  <c r="I11" i="3"/>
  <c r="I13" i="3"/>
  <c r="I5" i="3"/>
  <c r="S9" i="3"/>
  <c r="E4" i="3"/>
  <c r="AC5" i="3" s="1"/>
  <c r="AE5" i="3" s="1"/>
  <c r="E13" i="3"/>
  <c r="S8" i="3"/>
  <c r="E12" i="3"/>
  <c r="S7" i="3"/>
  <c r="I12" i="3"/>
  <c r="E9" i="3"/>
  <c r="S6" i="3"/>
  <c r="E8" i="3"/>
  <c r="E7" i="3"/>
  <c r="E6" i="3"/>
  <c r="R5" i="7"/>
  <c r="R6" i="7"/>
  <c r="R7" i="7"/>
  <c r="R8" i="7"/>
  <c r="R9" i="7"/>
  <c r="R10" i="7"/>
  <c r="R11" i="7"/>
  <c r="R12" i="7"/>
  <c r="R13" i="7"/>
  <c r="R14" i="7"/>
  <c r="R4" i="7"/>
  <c r="S5" i="15"/>
  <c r="S6" i="15"/>
  <c r="S7" i="15"/>
  <c r="S8" i="15"/>
  <c r="S9" i="15"/>
  <c r="S10" i="15"/>
  <c r="S11" i="15"/>
  <c r="S12" i="15"/>
  <c r="S13" i="15"/>
  <c r="S4" i="15"/>
  <c r="R13" i="15"/>
  <c r="R12" i="15"/>
  <c r="R11" i="15"/>
  <c r="R10" i="15"/>
  <c r="R9" i="15"/>
  <c r="R8" i="15"/>
  <c r="R7" i="15"/>
  <c r="R6" i="15"/>
  <c r="R5" i="15"/>
  <c r="R4" i="15"/>
  <c r="R4" i="14"/>
  <c r="R11" i="14"/>
  <c r="R10" i="14"/>
  <c r="R9" i="14"/>
  <c r="R8" i="14"/>
  <c r="R7" i="14"/>
  <c r="R6" i="14"/>
  <c r="R5" i="14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4" i="12"/>
  <c r="S13" i="5"/>
  <c r="R13" i="5"/>
  <c r="S12" i="5"/>
  <c r="R12" i="5"/>
  <c r="S11" i="5"/>
  <c r="R11" i="5"/>
  <c r="S10" i="5"/>
  <c r="R10" i="5"/>
  <c r="S9" i="5"/>
  <c r="R9" i="5"/>
  <c r="S8" i="5"/>
  <c r="R8" i="5"/>
  <c r="S7" i="5"/>
  <c r="R7" i="5"/>
  <c r="S6" i="5"/>
  <c r="R6" i="5"/>
  <c r="S5" i="5"/>
  <c r="R5" i="5"/>
  <c r="S4" i="5"/>
  <c r="R4" i="5"/>
  <c r="S13" i="12"/>
  <c r="R13" i="12"/>
  <c r="S12" i="12"/>
  <c r="R12" i="12"/>
  <c r="S11" i="12"/>
  <c r="R11" i="12"/>
  <c r="S10" i="12"/>
  <c r="R10" i="12"/>
  <c r="S9" i="12"/>
  <c r="R9" i="12"/>
  <c r="S8" i="12"/>
  <c r="R8" i="12"/>
  <c r="S7" i="12"/>
  <c r="R7" i="12"/>
  <c r="S6" i="12"/>
  <c r="R6" i="12"/>
  <c r="S5" i="12"/>
  <c r="R5" i="12"/>
  <c r="S4" i="12"/>
  <c r="R23" i="9"/>
  <c r="S23" i="9"/>
  <c r="R5" i="9"/>
  <c r="S5" i="9"/>
  <c r="R6" i="9"/>
  <c r="S6" i="9"/>
  <c r="R7" i="9"/>
  <c r="S7" i="9"/>
  <c r="R8" i="9"/>
  <c r="S8" i="9"/>
  <c r="R9" i="9"/>
  <c r="S9" i="9"/>
  <c r="R10" i="9"/>
  <c r="S10" i="9"/>
  <c r="R11" i="9"/>
  <c r="S11" i="9"/>
  <c r="R12" i="9"/>
  <c r="S12" i="9"/>
  <c r="R13" i="9"/>
  <c r="S13" i="9"/>
  <c r="R14" i="9"/>
  <c r="S14" i="9"/>
  <c r="R15" i="9"/>
  <c r="S15" i="9"/>
  <c r="R16" i="9"/>
  <c r="S16" i="9"/>
  <c r="R17" i="9"/>
  <c r="S17" i="9"/>
  <c r="R18" i="9"/>
  <c r="S18" i="9"/>
  <c r="R19" i="9"/>
  <c r="S19" i="9"/>
  <c r="R20" i="9"/>
  <c r="S20" i="9"/>
  <c r="R21" i="9"/>
  <c r="S21" i="9"/>
  <c r="R22" i="9"/>
  <c r="S22" i="9"/>
  <c r="S4" i="9"/>
  <c r="R4" i="9"/>
  <c r="S5" i="7"/>
  <c r="S6" i="7"/>
  <c r="S7" i="7"/>
  <c r="S8" i="7"/>
  <c r="S9" i="7"/>
  <c r="S10" i="7"/>
  <c r="S11" i="7"/>
  <c r="S12" i="7"/>
  <c r="S13" i="7"/>
  <c r="S14" i="7"/>
  <c r="S4" i="7"/>
  <c r="R12" i="18"/>
  <c r="R11" i="18"/>
  <c r="R10" i="18"/>
  <c r="R9" i="18"/>
  <c r="R8" i="18"/>
  <c r="R7" i="18"/>
  <c r="R6" i="18"/>
  <c r="R5" i="18"/>
  <c r="R4" i="18"/>
  <c r="R4" i="4"/>
  <c r="R13" i="4"/>
  <c r="R12" i="4"/>
  <c r="R11" i="4"/>
  <c r="R10" i="4"/>
  <c r="R9" i="4"/>
  <c r="R8" i="4"/>
  <c r="R7" i="4"/>
  <c r="R6" i="4"/>
  <c r="R5" i="4"/>
  <c r="R5" i="3"/>
  <c r="R6" i="3"/>
  <c r="R7" i="3"/>
  <c r="R8" i="3"/>
  <c r="R9" i="3"/>
  <c r="R10" i="3"/>
  <c r="R11" i="3"/>
  <c r="R12" i="3"/>
  <c r="R13" i="3"/>
  <c r="H7" i="3"/>
  <c r="H8" i="3"/>
  <c r="H9" i="3"/>
  <c r="H10" i="3"/>
  <c r="H11" i="3"/>
  <c r="H12" i="3"/>
  <c r="H13" i="3"/>
  <c r="H6" i="3"/>
  <c r="H5" i="3"/>
  <c r="T6" i="3" l="1"/>
  <c r="AC7" i="3"/>
  <c r="AE7" i="3" s="1"/>
  <c r="T9" i="3"/>
  <c r="AC10" i="3"/>
  <c r="AE10" i="3" s="1"/>
  <c r="T10" i="3"/>
  <c r="AC11" i="3"/>
  <c r="AE11" i="3" s="1"/>
  <c r="T7" i="3"/>
  <c r="AC8" i="3"/>
  <c r="AE8" i="3" s="1"/>
  <c r="T13" i="3"/>
  <c r="AC14" i="3"/>
  <c r="AE14" i="3" s="1"/>
  <c r="T8" i="3"/>
  <c r="AC9" i="3"/>
  <c r="AE9" i="3" s="1"/>
  <c r="T12" i="3"/>
  <c r="AC13" i="3"/>
  <c r="AE13" i="3" s="1"/>
  <c r="T5" i="3"/>
  <c r="AC6" i="3"/>
  <c r="AE6" i="3" s="1"/>
  <c r="T11" i="3"/>
  <c r="AC12" i="3"/>
  <c r="AE12" i="3" s="1"/>
  <c r="Y8" i="3"/>
  <c r="Y20" i="3"/>
  <c r="U6" i="3"/>
  <c r="Y14" i="3"/>
  <c r="Y7" i="3"/>
  <c r="Y9" i="3"/>
  <c r="Y21" i="3"/>
  <c r="U7" i="3"/>
  <c r="U12" i="3"/>
  <c r="Y10" i="3"/>
  <c r="U5" i="3"/>
  <c r="Y12" i="3"/>
  <c r="Y13" i="3"/>
  <c r="U8" i="3"/>
  <c r="Y18" i="3"/>
  <c r="Y19" i="3"/>
  <c r="Y11" i="3"/>
  <c r="Y15" i="3"/>
  <c r="U9" i="3"/>
  <c r="U10" i="3"/>
  <c r="Y5" i="3"/>
  <c r="Y17" i="3"/>
  <c r="U11" i="3"/>
  <c r="Y6" i="3"/>
  <c r="U13" i="3"/>
  <c r="T4" i="3"/>
  <c r="J4" i="3"/>
  <c r="U4" i="3" l="1"/>
  <c r="Y4" i="3"/>
  <c r="Y16" i="3"/>
  <c r="C5" i="7" l="1"/>
  <c r="C6" i="7"/>
  <c r="C7" i="7"/>
  <c r="C8" i="7"/>
  <c r="C9" i="7"/>
  <c r="C10" i="7"/>
  <c r="C11" i="7"/>
  <c r="C12" i="7"/>
  <c r="C13" i="7"/>
  <c r="C14" i="7"/>
  <c r="C4" i="7"/>
  <c r="T8" i="7" l="1"/>
  <c r="AC8" i="7"/>
  <c r="AE8" i="7" s="1"/>
  <c r="T11" i="7"/>
  <c r="AC11" i="7"/>
  <c r="AE11" i="7" s="1"/>
  <c r="T6" i="7"/>
  <c r="AC6" i="7"/>
  <c r="AE6" i="7" s="1"/>
  <c r="T12" i="7"/>
  <c r="AC12" i="7"/>
  <c r="AE12" i="7" s="1"/>
  <c r="T4" i="7"/>
  <c r="AC4" i="7"/>
  <c r="AE4" i="7" s="1"/>
  <c r="T7" i="7"/>
  <c r="AC7" i="7"/>
  <c r="AE7" i="7" s="1"/>
  <c r="T14" i="7"/>
  <c r="Y10" i="7" s="1"/>
  <c r="AC14" i="7"/>
  <c r="AE14" i="7" s="1"/>
  <c r="T10" i="7"/>
  <c r="AC10" i="7"/>
  <c r="AE10" i="7" s="1"/>
  <c r="T13" i="7"/>
  <c r="AC13" i="7"/>
  <c r="AE13" i="7" s="1"/>
  <c r="T9" i="7"/>
  <c r="AC9" i="7"/>
  <c r="AE9" i="7" s="1"/>
  <c r="T5" i="7"/>
  <c r="AC5" i="7"/>
  <c r="AE5" i="7" s="1"/>
  <c r="Y8" i="7"/>
  <c r="Y9" i="7"/>
  <c r="Y11" i="7"/>
  <c r="Y12" i="7"/>
  <c r="Y13" i="7"/>
  <c r="Y4" i="7"/>
  <c r="Y16" i="7"/>
  <c r="U11" i="7"/>
  <c r="V11" i="7" s="1"/>
  <c r="Y6" i="7"/>
  <c r="U9" i="7"/>
  <c r="V9" i="7" s="1"/>
  <c r="Y15" i="7"/>
  <c r="Y17" i="7"/>
  <c r="Y18" i="7"/>
  <c r="U4" i="7"/>
  <c r="V4" i="7" s="1"/>
  <c r="U7" i="7"/>
  <c r="V7" i="7" s="1"/>
  <c r="U5" i="7"/>
  <c r="V5" i="7" s="1"/>
  <c r="Y5" i="7"/>
  <c r="U10" i="7"/>
  <c r="V10" i="7" s="1"/>
  <c r="U14" i="7"/>
  <c r="V14" i="7" s="1"/>
  <c r="U6" i="7"/>
  <c r="V6" i="7" s="1"/>
  <c r="U13" i="7"/>
  <c r="V13" i="7" s="1"/>
  <c r="U12" i="7"/>
  <c r="V12" i="7" s="1"/>
  <c r="U8" i="7"/>
  <c r="V8" i="7" s="1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H10" i="18"/>
  <c r="K10" i="18" s="1"/>
  <c r="O8" i="18"/>
  <c r="H9" i="18"/>
  <c r="K9" i="18" s="1"/>
  <c r="O7" i="18"/>
  <c r="O6" i="18"/>
  <c r="I7" i="18"/>
  <c r="O5" i="18"/>
  <c r="H6" i="18"/>
  <c r="K6" i="18" s="1"/>
  <c r="O4" i="18"/>
  <c r="H5" i="18"/>
  <c r="K5" i="18" s="1"/>
  <c r="O21" i="4"/>
  <c r="D5" i="18"/>
  <c r="S5" i="18" s="1"/>
  <c r="D6" i="18"/>
  <c r="S6" i="18" s="1"/>
  <c r="D7" i="18"/>
  <c r="S7" i="18" s="1"/>
  <c r="D8" i="18"/>
  <c r="S8" i="18" s="1"/>
  <c r="D9" i="18"/>
  <c r="S9" i="18" s="1"/>
  <c r="D10" i="18"/>
  <c r="S10" i="18" s="1"/>
  <c r="D11" i="18"/>
  <c r="S11" i="18" s="1"/>
  <c r="D12" i="18"/>
  <c r="S12" i="18" s="1"/>
  <c r="D4" i="18"/>
  <c r="S4" i="18" s="1"/>
  <c r="B5" i="18"/>
  <c r="B6" i="18"/>
  <c r="H7" i="18" s="1"/>
  <c r="K7" i="18" s="1"/>
  <c r="B7" i="18"/>
  <c r="H8" i="18" s="1"/>
  <c r="K8" i="18" s="1"/>
  <c r="B8" i="18"/>
  <c r="B9" i="18"/>
  <c r="B10" i="18"/>
  <c r="H11" i="18" s="1"/>
  <c r="K11" i="18" s="1"/>
  <c r="B11" i="18"/>
  <c r="H12" i="18" s="1"/>
  <c r="K12" i="18" s="1"/>
  <c r="B12" i="18"/>
  <c r="H13" i="18" s="1"/>
  <c r="K13" i="18" s="1"/>
  <c r="B4" i="18"/>
  <c r="I9" i="18" l="1"/>
  <c r="Y7" i="7"/>
  <c r="Y14" i="7"/>
  <c r="AE2" i="7"/>
  <c r="E5" i="18"/>
  <c r="J6" i="18" s="1"/>
  <c r="L6" i="18" s="1"/>
  <c r="I8" i="18"/>
  <c r="I5" i="18"/>
  <c r="I13" i="18"/>
  <c r="E4" i="18"/>
  <c r="T4" i="18" s="1"/>
  <c r="I12" i="18"/>
  <c r="I10" i="18"/>
  <c r="J5" i="18"/>
  <c r="L5" i="18" s="1"/>
  <c r="E12" i="18"/>
  <c r="E11" i="18"/>
  <c r="E9" i="18"/>
  <c r="E7" i="18"/>
  <c r="V2" i="7"/>
  <c r="T5" i="18"/>
  <c r="E10" i="18"/>
  <c r="I11" i="18"/>
  <c r="E8" i="18"/>
  <c r="I6" i="18"/>
  <c r="E6" i="18"/>
  <c r="T8" i="18" l="1"/>
  <c r="J9" i="18"/>
  <c r="L9" i="18" s="1"/>
  <c r="T11" i="18"/>
  <c r="J12" i="18"/>
  <c r="L12" i="18" s="1"/>
  <c r="T7" i="18"/>
  <c r="J8" i="18"/>
  <c r="L8" i="18" s="1"/>
  <c r="J13" i="18"/>
  <c r="L13" i="18" s="1"/>
  <c r="T12" i="18"/>
  <c r="T10" i="18"/>
  <c r="J11" i="18"/>
  <c r="L11" i="18" s="1"/>
  <c r="J10" i="18"/>
  <c r="L10" i="18" s="1"/>
  <c r="T9" i="18"/>
  <c r="T6" i="18"/>
  <c r="J7" i="18"/>
  <c r="L7" i="18" s="1"/>
  <c r="I5" i="15"/>
  <c r="I6" i="15"/>
  <c r="I7" i="15"/>
  <c r="I8" i="15"/>
  <c r="I9" i="15"/>
  <c r="I10" i="15"/>
  <c r="I11" i="15"/>
  <c r="I12" i="15"/>
  <c r="I13" i="15"/>
  <c r="I4" i="1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4" i="5"/>
  <c r="I5" i="12"/>
  <c r="I6" i="12"/>
  <c r="I7" i="12"/>
  <c r="I8" i="12"/>
  <c r="I9" i="12"/>
  <c r="I10" i="12"/>
  <c r="I11" i="12"/>
  <c r="I12" i="12"/>
  <c r="I13" i="12"/>
  <c r="I4" i="12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4" i="9"/>
  <c r="H5" i="7"/>
  <c r="I5" i="7"/>
  <c r="H6" i="7"/>
  <c r="I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I4" i="7"/>
  <c r="H4" i="7"/>
  <c r="Y5" i="18" l="1"/>
  <c r="Y17" i="18"/>
  <c r="Y6" i="18"/>
  <c r="Y18" i="18"/>
  <c r="Y7" i="18"/>
  <c r="Y19" i="18"/>
  <c r="U10" i="18"/>
  <c r="V10" i="18" s="1"/>
  <c r="Y9" i="18"/>
  <c r="Y8" i="18"/>
  <c r="Y20" i="18"/>
  <c r="U11" i="18"/>
  <c r="V11" i="18" s="1"/>
  <c r="Y21" i="18"/>
  <c r="Y10" i="18"/>
  <c r="Y4" i="18"/>
  <c r="Y11" i="18"/>
  <c r="Y12" i="18"/>
  <c r="Y14" i="18"/>
  <c r="U4" i="18"/>
  <c r="V4" i="18" s="1"/>
  <c r="U8" i="18"/>
  <c r="V8" i="18" s="1"/>
  <c r="Y13" i="18"/>
  <c r="U7" i="18"/>
  <c r="V7" i="18" s="1"/>
  <c r="Y15" i="18"/>
  <c r="Y16" i="18"/>
  <c r="U9" i="18"/>
  <c r="V9" i="18" s="1"/>
  <c r="U12" i="18"/>
  <c r="V12" i="18" s="1"/>
  <c r="U5" i="18"/>
  <c r="V5" i="18" s="1"/>
  <c r="U6" i="18"/>
  <c r="V6" i="18" s="1"/>
  <c r="V2" i="18" l="1"/>
  <c r="O5" i="15" l="1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4" i="15"/>
  <c r="O4" i="14"/>
  <c r="D5" i="15"/>
  <c r="AC6" i="15" s="1"/>
  <c r="AE6" i="15" s="1"/>
  <c r="D6" i="15"/>
  <c r="AC7" i="15" s="1"/>
  <c r="AE7" i="15" s="1"/>
  <c r="D7" i="15"/>
  <c r="AC8" i="15" s="1"/>
  <c r="AE8" i="15" s="1"/>
  <c r="D8" i="15"/>
  <c r="AC9" i="15" s="1"/>
  <c r="AE9" i="15" s="1"/>
  <c r="D9" i="15"/>
  <c r="AC10" i="15" s="1"/>
  <c r="AE10" i="15" s="1"/>
  <c r="D10" i="15"/>
  <c r="AC11" i="15" s="1"/>
  <c r="AE11" i="15" s="1"/>
  <c r="D11" i="15"/>
  <c r="AC12" i="15" s="1"/>
  <c r="AE12" i="15" s="1"/>
  <c r="D12" i="15"/>
  <c r="AC13" i="15" s="1"/>
  <c r="AE13" i="15" s="1"/>
  <c r="D13" i="15"/>
  <c r="AC14" i="15" s="1"/>
  <c r="AE14" i="15" s="1"/>
  <c r="D4" i="15"/>
  <c r="AC5" i="15" s="1"/>
  <c r="AE5" i="15" s="1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4" i="12"/>
  <c r="D5" i="5"/>
  <c r="AC5" i="5" s="1"/>
  <c r="AE5" i="5" s="1"/>
  <c r="D6" i="5"/>
  <c r="AC6" i="5" s="1"/>
  <c r="AE6" i="5" s="1"/>
  <c r="D7" i="5"/>
  <c r="AC7" i="5" s="1"/>
  <c r="AE7" i="5" s="1"/>
  <c r="D8" i="5"/>
  <c r="AC8" i="5" s="1"/>
  <c r="AE8" i="5" s="1"/>
  <c r="D9" i="5"/>
  <c r="AC9" i="5" s="1"/>
  <c r="AE9" i="5" s="1"/>
  <c r="D10" i="5"/>
  <c r="AC10" i="5" s="1"/>
  <c r="AE10" i="5" s="1"/>
  <c r="D11" i="5"/>
  <c r="AC11" i="5" s="1"/>
  <c r="AE11" i="5" s="1"/>
  <c r="D12" i="5"/>
  <c r="AC12" i="5" s="1"/>
  <c r="AE12" i="5" s="1"/>
  <c r="D13" i="5"/>
  <c r="AC13" i="5" s="1"/>
  <c r="AE13" i="5" s="1"/>
  <c r="D14" i="5"/>
  <c r="AC14" i="5" s="1"/>
  <c r="AE14" i="5" s="1"/>
  <c r="D15" i="5"/>
  <c r="AC15" i="5" s="1"/>
  <c r="AE15" i="5" s="1"/>
  <c r="D16" i="5"/>
  <c r="AC16" i="5" s="1"/>
  <c r="AE16" i="5" s="1"/>
  <c r="D17" i="5"/>
  <c r="AC17" i="5" s="1"/>
  <c r="AE17" i="5" s="1"/>
  <c r="D18" i="5"/>
  <c r="AC18" i="5" s="1"/>
  <c r="AE18" i="5" s="1"/>
  <c r="D19" i="5"/>
  <c r="AC19" i="5" s="1"/>
  <c r="AE19" i="5" s="1"/>
  <c r="D20" i="5"/>
  <c r="AC20" i="5" s="1"/>
  <c r="AE20" i="5" s="1"/>
  <c r="D21" i="5"/>
  <c r="AC21" i="5" s="1"/>
  <c r="AE21" i="5" s="1"/>
  <c r="D22" i="5"/>
  <c r="AC22" i="5" s="1"/>
  <c r="AE22" i="5" s="1"/>
  <c r="D23" i="5"/>
  <c r="AC23" i="5" s="1"/>
  <c r="AE23" i="5" s="1"/>
  <c r="D24" i="5"/>
  <c r="AC24" i="5" s="1"/>
  <c r="AE24" i="5" s="1"/>
  <c r="D25" i="5"/>
  <c r="AC25" i="5" s="1"/>
  <c r="AE25" i="5" s="1"/>
  <c r="D26" i="5"/>
  <c r="AC26" i="5" s="1"/>
  <c r="AE26" i="5" s="1"/>
  <c r="D27" i="5"/>
  <c r="AC27" i="5" s="1"/>
  <c r="AE27" i="5" s="1"/>
  <c r="D28" i="5"/>
  <c r="AC28" i="5" s="1"/>
  <c r="AE28" i="5" s="1"/>
  <c r="D29" i="5"/>
  <c r="AC29" i="5" s="1"/>
  <c r="AE29" i="5" s="1"/>
  <c r="D30" i="5"/>
  <c r="AC30" i="5" s="1"/>
  <c r="AE30" i="5" s="1"/>
  <c r="D31" i="5"/>
  <c r="AC31" i="5" s="1"/>
  <c r="AE31" i="5" s="1"/>
  <c r="D32" i="5"/>
  <c r="AC32" i="5" s="1"/>
  <c r="AE32" i="5" s="1"/>
  <c r="D33" i="5"/>
  <c r="AC33" i="5" s="1"/>
  <c r="AE33" i="5" s="1"/>
  <c r="D34" i="5"/>
  <c r="AC34" i="5" s="1"/>
  <c r="AE34" i="5" s="1"/>
  <c r="D35" i="5"/>
  <c r="AC35" i="5" s="1"/>
  <c r="AE35" i="5" s="1"/>
  <c r="D4" i="5"/>
  <c r="AC4" i="5" s="1"/>
  <c r="AE4" i="5" s="1"/>
  <c r="O5" i="12"/>
  <c r="O6" i="12"/>
  <c r="O7" i="12"/>
  <c r="O8" i="12"/>
  <c r="O4" i="9"/>
  <c r="D5" i="12"/>
  <c r="AC6" i="12" s="1"/>
  <c r="AE6" i="12" s="1"/>
  <c r="D6" i="12"/>
  <c r="AC7" i="12" s="1"/>
  <c r="AE7" i="12" s="1"/>
  <c r="D7" i="12"/>
  <c r="AC8" i="12" s="1"/>
  <c r="AE8" i="12" s="1"/>
  <c r="D8" i="12"/>
  <c r="AC9" i="12" s="1"/>
  <c r="AE9" i="12" s="1"/>
  <c r="D9" i="12"/>
  <c r="AC10" i="12" s="1"/>
  <c r="AE10" i="12" s="1"/>
  <c r="D10" i="12"/>
  <c r="AC11" i="12" s="1"/>
  <c r="AE11" i="12" s="1"/>
  <c r="D11" i="12"/>
  <c r="AC12" i="12" s="1"/>
  <c r="AE12" i="12" s="1"/>
  <c r="D12" i="12"/>
  <c r="AC13" i="12" s="1"/>
  <c r="AE13" i="12" s="1"/>
  <c r="D13" i="12"/>
  <c r="AC14" i="12" s="1"/>
  <c r="AE14" i="12" s="1"/>
  <c r="D4" i="12"/>
  <c r="AC5" i="12" s="1"/>
  <c r="AE5" i="12" s="1"/>
  <c r="O5" i="9"/>
  <c r="O6" i="9"/>
  <c r="O7" i="9"/>
  <c r="O8" i="9"/>
  <c r="O4" i="8"/>
  <c r="D5" i="9"/>
  <c r="AC6" i="9" s="1"/>
  <c r="AE6" i="9" s="1"/>
  <c r="D6" i="9"/>
  <c r="AC7" i="9" s="1"/>
  <c r="AE7" i="9" s="1"/>
  <c r="D7" i="9"/>
  <c r="AC8" i="9" s="1"/>
  <c r="AE8" i="9" s="1"/>
  <c r="D8" i="9"/>
  <c r="AC9" i="9" s="1"/>
  <c r="AE9" i="9" s="1"/>
  <c r="D9" i="9"/>
  <c r="AC10" i="9" s="1"/>
  <c r="AE10" i="9" s="1"/>
  <c r="D10" i="9"/>
  <c r="AC11" i="9" s="1"/>
  <c r="AE11" i="9" s="1"/>
  <c r="D11" i="9"/>
  <c r="AC12" i="9" s="1"/>
  <c r="AE12" i="9" s="1"/>
  <c r="D12" i="9"/>
  <c r="AC13" i="9" s="1"/>
  <c r="AE13" i="9" s="1"/>
  <c r="D13" i="9"/>
  <c r="AC14" i="9" s="1"/>
  <c r="AE14" i="9" s="1"/>
  <c r="D14" i="9"/>
  <c r="AC15" i="9" s="1"/>
  <c r="AE15" i="9" s="1"/>
  <c r="D15" i="9"/>
  <c r="AC16" i="9" s="1"/>
  <c r="AE16" i="9" s="1"/>
  <c r="D16" i="9"/>
  <c r="AC17" i="9" s="1"/>
  <c r="AE17" i="9" s="1"/>
  <c r="D17" i="9"/>
  <c r="AC18" i="9" s="1"/>
  <c r="AE18" i="9" s="1"/>
  <c r="D18" i="9"/>
  <c r="AC19" i="9" s="1"/>
  <c r="AE19" i="9" s="1"/>
  <c r="D19" i="9"/>
  <c r="AC20" i="9" s="1"/>
  <c r="AE20" i="9" s="1"/>
  <c r="D20" i="9"/>
  <c r="AC21" i="9" s="1"/>
  <c r="AE21" i="9" s="1"/>
  <c r="D21" i="9"/>
  <c r="AC22" i="9" s="1"/>
  <c r="AE22" i="9" s="1"/>
  <c r="D22" i="9"/>
  <c r="AC23" i="9" s="1"/>
  <c r="AE23" i="9" s="1"/>
  <c r="D23" i="9"/>
  <c r="AC24" i="9" s="1"/>
  <c r="AE24" i="9" s="1"/>
  <c r="D4" i="9"/>
  <c r="AC5" i="9" s="1"/>
  <c r="AE5" i="9" s="1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4" i="4"/>
  <c r="K5" i="7"/>
  <c r="K6" i="7"/>
  <c r="K7" i="7"/>
  <c r="K8" i="7"/>
  <c r="K9" i="7"/>
  <c r="K10" i="7"/>
  <c r="K11" i="7"/>
  <c r="K12" i="7"/>
  <c r="K13" i="7"/>
  <c r="K14" i="7"/>
  <c r="J5" i="7"/>
  <c r="J6" i="7"/>
  <c r="J7" i="7"/>
  <c r="J8" i="7"/>
  <c r="J9" i="7"/>
  <c r="J10" i="7"/>
  <c r="J11" i="7"/>
  <c r="J12" i="7"/>
  <c r="J13" i="7"/>
  <c r="J14" i="7"/>
  <c r="J4" i="7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K5" i="3"/>
  <c r="K6" i="3"/>
  <c r="K7" i="3"/>
  <c r="K8" i="3"/>
  <c r="K9" i="3"/>
  <c r="K10" i="3"/>
  <c r="K11" i="3"/>
  <c r="K12" i="3"/>
  <c r="K13" i="3"/>
  <c r="AE2" i="5" l="1"/>
  <c r="AE2" i="9"/>
  <c r="AE2" i="12"/>
  <c r="AE2" i="15"/>
  <c r="J17" i="9"/>
  <c r="T17" i="9"/>
  <c r="J16" i="9"/>
  <c r="T16" i="9"/>
  <c r="J4" i="12"/>
  <c r="T4" i="12"/>
  <c r="J27" i="5"/>
  <c r="T27" i="5"/>
  <c r="J15" i="5"/>
  <c r="T15" i="5"/>
  <c r="J7" i="15"/>
  <c r="T7" i="15"/>
  <c r="J15" i="9"/>
  <c r="T15" i="9"/>
  <c r="J6" i="15"/>
  <c r="T6" i="15"/>
  <c r="J17" i="5"/>
  <c r="T17" i="5"/>
  <c r="J16" i="5"/>
  <c r="T16" i="5"/>
  <c r="J14" i="9"/>
  <c r="T14" i="9"/>
  <c r="J12" i="12"/>
  <c r="T12" i="12"/>
  <c r="J25" i="5"/>
  <c r="T25" i="5"/>
  <c r="J13" i="5"/>
  <c r="T13" i="5"/>
  <c r="J5" i="15"/>
  <c r="T5" i="15"/>
  <c r="J5" i="5"/>
  <c r="T5" i="5"/>
  <c r="J5" i="9"/>
  <c r="T5" i="9"/>
  <c r="J14" i="5"/>
  <c r="T14" i="5"/>
  <c r="L12" i="7"/>
  <c r="J13" i="9"/>
  <c r="T13" i="9"/>
  <c r="J11" i="12"/>
  <c r="T11" i="12"/>
  <c r="J4" i="5"/>
  <c r="T4" i="5"/>
  <c r="J24" i="5"/>
  <c r="T24" i="5"/>
  <c r="J12" i="5"/>
  <c r="T12" i="5"/>
  <c r="J29" i="5"/>
  <c r="T29" i="5"/>
  <c r="J26" i="5"/>
  <c r="T26" i="5"/>
  <c r="J4" i="9"/>
  <c r="T4" i="9"/>
  <c r="J12" i="9"/>
  <c r="T12" i="9"/>
  <c r="J10" i="12"/>
  <c r="T10" i="12"/>
  <c r="J35" i="5"/>
  <c r="T35" i="5"/>
  <c r="J23" i="5"/>
  <c r="T23" i="5"/>
  <c r="J11" i="5"/>
  <c r="T11" i="5"/>
  <c r="J8" i="15"/>
  <c r="T8" i="15"/>
  <c r="J23" i="9"/>
  <c r="T23" i="9"/>
  <c r="J11" i="9"/>
  <c r="T11" i="9"/>
  <c r="J9" i="12"/>
  <c r="T9" i="12"/>
  <c r="J34" i="5"/>
  <c r="T34" i="5"/>
  <c r="J22" i="5"/>
  <c r="T22" i="5"/>
  <c r="J10" i="5"/>
  <c r="T10" i="5"/>
  <c r="J4" i="15"/>
  <c r="T4" i="15"/>
  <c r="J9" i="15"/>
  <c r="T9" i="15"/>
  <c r="J22" i="9"/>
  <c r="T22" i="9"/>
  <c r="J10" i="9"/>
  <c r="T10" i="9"/>
  <c r="J8" i="12"/>
  <c r="T8" i="12"/>
  <c r="J33" i="5"/>
  <c r="T33" i="5"/>
  <c r="J21" i="5"/>
  <c r="T21" i="5"/>
  <c r="J9" i="5"/>
  <c r="T9" i="5"/>
  <c r="J13" i="15"/>
  <c r="T13" i="15"/>
  <c r="J6" i="9"/>
  <c r="T6" i="9"/>
  <c r="L8" i="7"/>
  <c r="J21" i="9"/>
  <c r="T21" i="9"/>
  <c r="J9" i="9"/>
  <c r="T9" i="9"/>
  <c r="J7" i="12"/>
  <c r="T7" i="12"/>
  <c r="J32" i="5"/>
  <c r="T32" i="5"/>
  <c r="J20" i="5"/>
  <c r="T20" i="5"/>
  <c r="J8" i="5"/>
  <c r="T8" i="5"/>
  <c r="J12" i="15"/>
  <c r="T12" i="15"/>
  <c r="J20" i="9"/>
  <c r="T20" i="9"/>
  <c r="J8" i="9"/>
  <c r="T8" i="9"/>
  <c r="J6" i="12"/>
  <c r="T6" i="12"/>
  <c r="J31" i="5"/>
  <c r="T31" i="5"/>
  <c r="J19" i="5"/>
  <c r="T19" i="5"/>
  <c r="J7" i="5"/>
  <c r="T7" i="5"/>
  <c r="J11" i="15"/>
  <c r="T11" i="15"/>
  <c r="J18" i="9"/>
  <c r="T18" i="9"/>
  <c r="J28" i="5"/>
  <c r="T28" i="5"/>
  <c r="J13" i="12"/>
  <c r="T13" i="12"/>
  <c r="J19" i="9"/>
  <c r="T19" i="9"/>
  <c r="J7" i="9"/>
  <c r="T7" i="9"/>
  <c r="J5" i="12"/>
  <c r="T5" i="12"/>
  <c r="J30" i="5"/>
  <c r="T30" i="5"/>
  <c r="J18" i="5"/>
  <c r="T18" i="5"/>
  <c r="J6" i="5"/>
  <c r="T6" i="5"/>
  <c r="J10" i="15"/>
  <c r="T10" i="15"/>
  <c r="L14" i="7"/>
  <c r="L10" i="7"/>
  <c r="L6" i="7"/>
  <c r="L13" i="7"/>
  <c r="L9" i="7"/>
  <c r="L5" i="7"/>
  <c r="L11" i="7"/>
  <c r="L7" i="7"/>
  <c r="Y8" i="12" l="1"/>
  <c r="Y4" i="12"/>
  <c r="U5" i="12"/>
  <c r="V5" i="12" s="1"/>
  <c r="Y5" i="12"/>
  <c r="U10" i="12"/>
  <c r="V10" i="12" s="1"/>
  <c r="U6" i="12"/>
  <c r="V6" i="12" s="1"/>
  <c r="Y6" i="12"/>
  <c r="U7" i="12"/>
  <c r="V7" i="12" s="1"/>
  <c r="Y7" i="12"/>
  <c r="U8" i="12"/>
  <c r="V8" i="12" s="1"/>
  <c r="U9" i="12"/>
  <c r="V9" i="12" s="1"/>
  <c r="U11" i="12"/>
  <c r="V11" i="12" s="1"/>
  <c r="U12" i="12"/>
  <c r="V12" i="12" s="1"/>
  <c r="U13" i="12"/>
  <c r="V13" i="12" s="1"/>
  <c r="U4" i="12"/>
  <c r="V4" i="12" s="1"/>
  <c r="Y5" i="9"/>
  <c r="U12" i="9"/>
  <c r="V12" i="9" s="1"/>
  <c r="U4" i="9"/>
  <c r="V4" i="9" s="1"/>
  <c r="Y6" i="9"/>
  <c r="U13" i="9"/>
  <c r="V13" i="9" s="1"/>
  <c r="U14" i="9"/>
  <c r="V14" i="9" s="1"/>
  <c r="Y7" i="9"/>
  <c r="Y8" i="9"/>
  <c r="Y4" i="9"/>
  <c r="U7" i="9"/>
  <c r="V7" i="9" s="1"/>
  <c r="U19" i="9"/>
  <c r="V19" i="9" s="1"/>
  <c r="U20" i="9"/>
  <c r="V20" i="9" s="1"/>
  <c r="U22" i="9"/>
  <c r="V22" i="9" s="1"/>
  <c r="U8" i="9"/>
  <c r="V8" i="9" s="1"/>
  <c r="U10" i="9"/>
  <c r="V10" i="9" s="1"/>
  <c r="U9" i="9"/>
  <c r="V9" i="9" s="1"/>
  <c r="U18" i="9"/>
  <c r="V18" i="9" s="1"/>
  <c r="U5" i="9"/>
  <c r="V5" i="9" s="1"/>
  <c r="U11" i="9"/>
  <c r="V11" i="9" s="1"/>
  <c r="U15" i="9"/>
  <c r="V15" i="9" s="1"/>
  <c r="U21" i="9"/>
  <c r="V21" i="9" s="1"/>
  <c r="U6" i="9"/>
  <c r="V6" i="9" s="1"/>
  <c r="U16" i="9"/>
  <c r="V16" i="9" s="1"/>
  <c r="U17" i="9"/>
  <c r="V17" i="9" s="1"/>
  <c r="U23" i="9"/>
  <c r="V23" i="9" s="1"/>
  <c r="Y14" i="15"/>
  <c r="U5" i="15"/>
  <c r="V5" i="15" s="1"/>
  <c r="Y15" i="15"/>
  <c r="U6" i="15"/>
  <c r="V6" i="15" s="1"/>
  <c r="Y16" i="15"/>
  <c r="U7" i="15"/>
  <c r="V7" i="15" s="1"/>
  <c r="Y5" i="15"/>
  <c r="Y17" i="15"/>
  <c r="U8" i="15"/>
  <c r="V8" i="15" s="1"/>
  <c r="U9" i="15"/>
  <c r="V9" i="15" s="1"/>
  <c r="Y6" i="15"/>
  <c r="Y18" i="15"/>
  <c r="Y7" i="15"/>
  <c r="Y19" i="15"/>
  <c r="U10" i="15"/>
  <c r="V10" i="15" s="1"/>
  <c r="Y8" i="15"/>
  <c r="Y20" i="15"/>
  <c r="U11" i="15"/>
  <c r="V11" i="15" s="1"/>
  <c r="Y9" i="15"/>
  <c r="Y4" i="15"/>
  <c r="U12" i="15"/>
  <c r="V12" i="15" s="1"/>
  <c r="Y11" i="15"/>
  <c r="U4" i="15"/>
  <c r="V4" i="15" s="1"/>
  <c r="U13" i="15"/>
  <c r="V13" i="15" s="1"/>
  <c r="Y10" i="15"/>
  <c r="Y12" i="15"/>
  <c r="Y13" i="15"/>
  <c r="Y14" i="5"/>
  <c r="Y15" i="5"/>
  <c r="U6" i="5"/>
  <c r="V6" i="5" s="1"/>
  <c r="U18" i="5"/>
  <c r="V18" i="5" s="1"/>
  <c r="U30" i="5"/>
  <c r="V30" i="5" s="1"/>
  <c r="Y16" i="5"/>
  <c r="U7" i="5"/>
  <c r="V7" i="5" s="1"/>
  <c r="U19" i="5"/>
  <c r="V19" i="5" s="1"/>
  <c r="U31" i="5"/>
  <c r="V31" i="5" s="1"/>
  <c r="Y18" i="5"/>
  <c r="U21" i="5"/>
  <c r="V21" i="5" s="1"/>
  <c r="Y5" i="5"/>
  <c r="Y17" i="5"/>
  <c r="U8" i="5"/>
  <c r="V8" i="5" s="1"/>
  <c r="U20" i="5"/>
  <c r="V20" i="5" s="1"/>
  <c r="U32" i="5"/>
  <c r="V32" i="5" s="1"/>
  <c r="Y6" i="5"/>
  <c r="U9" i="5"/>
  <c r="V9" i="5" s="1"/>
  <c r="U33" i="5"/>
  <c r="V33" i="5" s="1"/>
  <c r="Y7" i="5"/>
  <c r="Y19" i="5"/>
  <c r="U10" i="5"/>
  <c r="V10" i="5" s="1"/>
  <c r="U22" i="5"/>
  <c r="V22" i="5" s="1"/>
  <c r="U34" i="5"/>
  <c r="V34" i="5" s="1"/>
  <c r="Y8" i="5"/>
  <c r="Y20" i="5"/>
  <c r="Y9" i="5"/>
  <c r="Y21" i="5"/>
  <c r="U12" i="5"/>
  <c r="V12" i="5" s="1"/>
  <c r="U24" i="5"/>
  <c r="V24" i="5" s="1"/>
  <c r="U4" i="5"/>
  <c r="V4" i="5" s="1"/>
  <c r="Y11" i="5"/>
  <c r="U14" i="5"/>
  <c r="V14" i="5" s="1"/>
  <c r="U26" i="5"/>
  <c r="V26" i="5" s="1"/>
  <c r="U29" i="5"/>
  <c r="V29" i="5" s="1"/>
  <c r="Y10" i="5"/>
  <c r="U35" i="5"/>
  <c r="V35" i="5" s="1"/>
  <c r="Y12" i="5"/>
  <c r="Y13" i="5"/>
  <c r="U11" i="5"/>
  <c r="V11" i="5" s="1"/>
  <c r="Y4" i="5"/>
  <c r="U13" i="5"/>
  <c r="V13" i="5" s="1"/>
  <c r="U16" i="5"/>
  <c r="V16" i="5" s="1"/>
  <c r="U15" i="5"/>
  <c r="V15" i="5" s="1"/>
  <c r="U28" i="5"/>
  <c r="V28" i="5" s="1"/>
  <c r="U17" i="5"/>
  <c r="V17" i="5" s="1"/>
  <c r="U23" i="5"/>
  <c r="V23" i="5" s="1"/>
  <c r="U25" i="5"/>
  <c r="V25" i="5" s="1"/>
  <c r="U27" i="5"/>
  <c r="V27" i="5" s="1"/>
  <c r="U5" i="5"/>
  <c r="V5" i="5" s="1"/>
  <c r="V2" i="9" l="1"/>
  <c r="V2" i="15"/>
  <c r="V2" i="12"/>
  <c r="V2" i="5"/>
  <c r="B5" i="15" l="1"/>
  <c r="H5" i="15" s="1"/>
  <c r="K5" i="15" s="1"/>
  <c r="L5" i="15" s="1"/>
  <c r="B6" i="15"/>
  <c r="H6" i="15" s="1"/>
  <c r="K6" i="15" s="1"/>
  <c r="L6" i="15" s="1"/>
  <c r="B7" i="15"/>
  <c r="H7" i="15" s="1"/>
  <c r="K7" i="15" s="1"/>
  <c r="L7" i="15" s="1"/>
  <c r="B8" i="15"/>
  <c r="H8" i="15" s="1"/>
  <c r="K8" i="15" s="1"/>
  <c r="L8" i="15" s="1"/>
  <c r="B9" i="15"/>
  <c r="H9" i="15" s="1"/>
  <c r="K9" i="15" s="1"/>
  <c r="L9" i="15" s="1"/>
  <c r="B10" i="15"/>
  <c r="H10" i="15" s="1"/>
  <c r="K10" i="15" s="1"/>
  <c r="L10" i="15" s="1"/>
  <c r="B11" i="15"/>
  <c r="H11" i="15" s="1"/>
  <c r="K11" i="15" s="1"/>
  <c r="L11" i="15" s="1"/>
  <c r="B12" i="15"/>
  <c r="H12" i="15" s="1"/>
  <c r="K12" i="15" s="1"/>
  <c r="L12" i="15" s="1"/>
  <c r="B13" i="15"/>
  <c r="H13" i="15" s="1"/>
  <c r="K13" i="15" s="1"/>
  <c r="L13" i="15" s="1"/>
  <c r="B4" i="15"/>
  <c r="H4" i="15" s="1"/>
  <c r="K4" i="15" s="1"/>
  <c r="L4" i="15" s="1"/>
  <c r="L2" i="15" s="1"/>
  <c r="D5" i="14" l="1"/>
  <c r="D6" i="14"/>
  <c r="D7" i="14"/>
  <c r="D8" i="14"/>
  <c r="D9" i="14"/>
  <c r="D10" i="14"/>
  <c r="D11" i="14"/>
  <c r="D12" i="14"/>
  <c r="D13" i="14"/>
  <c r="D14" i="14"/>
  <c r="D4" i="14"/>
  <c r="B5" i="14"/>
  <c r="H5" i="14" s="1"/>
  <c r="K5" i="14" s="1"/>
  <c r="B6" i="14"/>
  <c r="H6" i="14" s="1"/>
  <c r="K6" i="14" s="1"/>
  <c r="B7" i="14"/>
  <c r="H7" i="14" s="1"/>
  <c r="K7" i="14" s="1"/>
  <c r="B8" i="14"/>
  <c r="H8" i="14" s="1"/>
  <c r="K8" i="14" s="1"/>
  <c r="B9" i="14"/>
  <c r="H9" i="14" s="1"/>
  <c r="K9" i="14" s="1"/>
  <c r="B10" i="14"/>
  <c r="H10" i="14" s="1"/>
  <c r="K10" i="14" s="1"/>
  <c r="B11" i="14"/>
  <c r="H11" i="14" s="1"/>
  <c r="K11" i="14" s="1"/>
  <c r="B12" i="14"/>
  <c r="B13" i="14"/>
  <c r="B14" i="14"/>
  <c r="B4" i="14"/>
  <c r="H4" i="14" s="1"/>
  <c r="K4" i="14" s="1"/>
  <c r="S10" i="14" l="1"/>
  <c r="AB10" i="14"/>
  <c r="S6" i="14"/>
  <c r="AB6" i="14"/>
  <c r="S9" i="14"/>
  <c r="AB9" i="14"/>
  <c r="S5" i="14"/>
  <c r="AB5" i="14"/>
  <c r="S4" i="14"/>
  <c r="AB4" i="14"/>
  <c r="S11" i="14"/>
  <c r="AB11" i="14"/>
  <c r="S7" i="14"/>
  <c r="AB7" i="14"/>
  <c r="S8" i="14"/>
  <c r="AB8" i="14"/>
  <c r="E7" i="14"/>
  <c r="AC7" i="14" s="1"/>
  <c r="AE7" i="14" s="1"/>
  <c r="I7" i="14"/>
  <c r="E12" i="14"/>
  <c r="E8" i="14"/>
  <c r="AC8" i="14" s="1"/>
  <c r="AE8" i="14" s="1"/>
  <c r="I8" i="14"/>
  <c r="E4" i="14"/>
  <c r="AC4" i="14" s="1"/>
  <c r="AE4" i="14" s="1"/>
  <c r="I4" i="14"/>
  <c r="E11" i="14"/>
  <c r="AC11" i="14" s="1"/>
  <c r="AE11" i="14" s="1"/>
  <c r="I11" i="14"/>
  <c r="E14" i="14"/>
  <c r="E10" i="14"/>
  <c r="AC10" i="14" s="1"/>
  <c r="AE10" i="14" s="1"/>
  <c r="I10" i="14"/>
  <c r="E6" i="14"/>
  <c r="AC6" i="14" s="1"/>
  <c r="AE6" i="14" s="1"/>
  <c r="I6" i="14"/>
  <c r="E13" i="14"/>
  <c r="E9" i="14"/>
  <c r="AC9" i="14" s="1"/>
  <c r="AE9" i="14" s="1"/>
  <c r="I9" i="14"/>
  <c r="E5" i="14"/>
  <c r="AC5" i="14" s="1"/>
  <c r="AE5" i="14" s="1"/>
  <c r="I5" i="14"/>
  <c r="D6" i="1"/>
  <c r="B5" i="12"/>
  <c r="H5" i="12" s="1"/>
  <c r="K5" i="12" s="1"/>
  <c r="L5" i="12" s="1"/>
  <c r="B6" i="12"/>
  <c r="H6" i="12" s="1"/>
  <c r="K6" i="12" s="1"/>
  <c r="L6" i="12" s="1"/>
  <c r="B7" i="12"/>
  <c r="H7" i="12" s="1"/>
  <c r="K7" i="12" s="1"/>
  <c r="L7" i="12" s="1"/>
  <c r="B8" i="12"/>
  <c r="H8" i="12" s="1"/>
  <c r="K8" i="12" s="1"/>
  <c r="L8" i="12" s="1"/>
  <c r="B9" i="12"/>
  <c r="H9" i="12" s="1"/>
  <c r="K9" i="12" s="1"/>
  <c r="L9" i="12" s="1"/>
  <c r="B10" i="12"/>
  <c r="H10" i="12" s="1"/>
  <c r="K10" i="12" s="1"/>
  <c r="L10" i="12" s="1"/>
  <c r="B11" i="12"/>
  <c r="H11" i="12" s="1"/>
  <c r="K11" i="12" s="1"/>
  <c r="L11" i="12" s="1"/>
  <c r="B12" i="12"/>
  <c r="H12" i="12" s="1"/>
  <c r="K12" i="12" s="1"/>
  <c r="L12" i="12" s="1"/>
  <c r="B13" i="12"/>
  <c r="H13" i="12" s="1"/>
  <c r="K13" i="12" s="1"/>
  <c r="L13" i="12" s="1"/>
  <c r="B4" i="12"/>
  <c r="H4" i="12" s="1"/>
  <c r="K4" i="12" s="1"/>
  <c r="L4" i="12" s="1"/>
  <c r="K4" i="11"/>
  <c r="L4" i="11" s="1"/>
  <c r="L2" i="11" s="1"/>
  <c r="B5" i="11"/>
  <c r="B6" i="11"/>
  <c r="B7" i="11"/>
  <c r="B8" i="11"/>
  <c r="B9" i="11"/>
  <c r="B10" i="11"/>
  <c r="B11" i="11"/>
  <c r="B12" i="11"/>
  <c r="B13" i="11"/>
  <c r="B14" i="11"/>
  <c r="B4" i="11"/>
  <c r="AE2" i="14" l="1"/>
  <c r="J11" i="14"/>
  <c r="L11" i="14" s="1"/>
  <c r="T11" i="14"/>
  <c r="J4" i="14"/>
  <c r="L4" i="14" s="1"/>
  <c r="T4" i="14"/>
  <c r="J5" i="14"/>
  <c r="L5" i="14" s="1"/>
  <c r="T5" i="14"/>
  <c r="J9" i="14"/>
  <c r="L9" i="14" s="1"/>
  <c r="T9" i="14"/>
  <c r="J8" i="14"/>
  <c r="L8" i="14" s="1"/>
  <c r="T8" i="14"/>
  <c r="J6" i="14"/>
  <c r="L6" i="14" s="1"/>
  <c r="T6" i="14"/>
  <c r="J10" i="14"/>
  <c r="L10" i="14" s="1"/>
  <c r="T10" i="14"/>
  <c r="J7" i="14"/>
  <c r="L7" i="14" s="1"/>
  <c r="T7" i="14"/>
  <c r="L2" i="12"/>
  <c r="B5" i="9"/>
  <c r="H5" i="9" s="1"/>
  <c r="K5" i="9" s="1"/>
  <c r="L5" i="9" s="1"/>
  <c r="B6" i="9"/>
  <c r="H6" i="9" s="1"/>
  <c r="K6" i="9" s="1"/>
  <c r="L6" i="9" s="1"/>
  <c r="B7" i="9"/>
  <c r="H7" i="9" s="1"/>
  <c r="K7" i="9" s="1"/>
  <c r="L7" i="9" s="1"/>
  <c r="B8" i="9"/>
  <c r="H8" i="9" s="1"/>
  <c r="K8" i="9" s="1"/>
  <c r="L8" i="9" s="1"/>
  <c r="B9" i="9"/>
  <c r="H9" i="9" s="1"/>
  <c r="K9" i="9" s="1"/>
  <c r="L9" i="9" s="1"/>
  <c r="B10" i="9"/>
  <c r="H10" i="9" s="1"/>
  <c r="K10" i="9" s="1"/>
  <c r="L10" i="9" s="1"/>
  <c r="B11" i="9"/>
  <c r="H11" i="9" s="1"/>
  <c r="K11" i="9" s="1"/>
  <c r="L11" i="9" s="1"/>
  <c r="B12" i="9"/>
  <c r="H12" i="9" s="1"/>
  <c r="K12" i="9" s="1"/>
  <c r="L12" i="9" s="1"/>
  <c r="B13" i="9"/>
  <c r="H13" i="9" s="1"/>
  <c r="K13" i="9" s="1"/>
  <c r="L13" i="9" s="1"/>
  <c r="B14" i="9"/>
  <c r="H14" i="9" s="1"/>
  <c r="K14" i="9" s="1"/>
  <c r="L14" i="9" s="1"/>
  <c r="B15" i="9"/>
  <c r="H15" i="9" s="1"/>
  <c r="K15" i="9" s="1"/>
  <c r="L15" i="9" s="1"/>
  <c r="B16" i="9"/>
  <c r="H16" i="9" s="1"/>
  <c r="K16" i="9" s="1"/>
  <c r="L16" i="9" s="1"/>
  <c r="B17" i="9"/>
  <c r="H17" i="9" s="1"/>
  <c r="K17" i="9" s="1"/>
  <c r="L17" i="9" s="1"/>
  <c r="B18" i="9"/>
  <c r="H18" i="9" s="1"/>
  <c r="K18" i="9" s="1"/>
  <c r="L18" i="9" s="1"/>
  <c r="B19" i="9"/>
  <c r="H19" i="9" s="1"/>
  <c r="K19" i="9" s="1"/>
  <c r="L19" i="9" s="1"/>
  <c r="B20" i="9"/>
  <c r="H20" i="9" s="1"/>
  <c r="K20" i="9" s="1"/>
  <c r="L20" i="9" s="1"/>
  <c r="B21" i="9"/>
  <c r="H21" i="9" s="1"/>
  <c r="K21" i="9" s="1"/>
  <c r="L21" i="9" s="1"/>
  <c r="B22" i="9"/>
  <c r="H22" i="9" s="1"/>
  <c r="K22" i="9" s="1"/>
  <c r="L22" i="9" s="1"/>
  <c r="B23" i="9"/>
  <c r="H23" i="9" s="1"/>
  <c r="K23" i="9" s="1"/>
  <c r="L23" i="9" s="1"/>
  <c r="B4" i="9"/>
  <c r="H4" i="9" s="1"/>
  <c r="K4" i="9" s="1"/>
  <c r="L4" i="9" s="1"/>
  <c r="L2" i="9" s="1"/>
  <c r="D5" i="8"/>
  <c r="D6" i="8"/>
  <c r="D7" i="8"/>
  <c r="D8" i="8"/>
  <c r="D9" i="8"/>
  <c r="D10" i="8"/>
  <c r="D11" i="8"/>
  <c r="D4" i="8"/>
  <c r="B5" i="8"/>
  <c r="AA6" i="8" s="1"/>
  <c r="AD6" i="8" s="1"/>
  <c r="B6" i="8"/>
  <c r="AA7" i="8" s="1"/>
  <c r="AD7" i="8" s="1"/>
  <c r="B7" i="8"/>
  <c r="AA8" i="8" s="1"/>
  <c r="AD8" i="8" s="1"/>
  <c r="B8" i="8"/>
  <c r="AA9" i="8" s="1"/>
  <c r="AD9" i="8" s="1"/>
  <c r="B9" i="8"/>
  <c r="AA10" i="8" s="1"/>
  <c r="AD10" i="8" s="1"/>
  <c r="B10" i="8"/>
  <c r="AA11" i="8" s="1"/>
  <c r="AD11" i="8" s="1"/>
  <c r="B11" i="8"/>
  <c r="AA12" i="8" s="1"/>
  <c r="AD12" i="8" s="1"/>
  <c r="B4" i="8"/>
  <c r="K4" i="7"/>
  <c r="L4" i="7" s="1"/>
  <c r="L2" i="7" s="1"/>
  <c r="B6" i="1"/>
  <c r="B5" i="5"/>
  <c r="H5" i="5" s="1"/>
  <c r="K5" i="5" s="1"/>
  <c r="L5" i="5" s="1"/>
  <c r="B6" i="5"/>
  <c r="H6" i="5" s="1"/>
  <c r="K6" i="5" s="1"/>
  <c r="L6" i="5" s="1"/>
  <c r="B7" i="5"/>
  <c r="H7" i="5" s="1"/>
  <c r="K7" i="5" s="1"/>
  <c r="L7" i="5" s="1"/>
  <c r="B8" i="5"/>
  <c r="H8" i="5" s="1"/>
  <c r="K8" i="5" s="1"/>
  <c r="L8" i="5" s="1"/>
  <c r="B9" i="5"/>
  <c r="H9" i="5" s="1"/>
  <c r="K9" i="5" s="1"/>
  <c r="L9" i="5" s="1"/>
  <c r="B10" i="5"/>
  <c r="H10" i="5" s="1"/>
  <c r="K10" i="5" s="1"/>
  <c r="L10" i="5" s="1"/>
  <c r="B11" i="5"/>
  <c r="H11" i="5" s="1"/>
  <c r="K11" i="5" s="1"/>
  <c r="L11" i="5" s="1"/>
  <c r="B12" i="5"/>
  <c r="H12" i="5" s="1"/>
  <c r="K12" i="5" s="1"/>
  <c r="L12" i="5" s="1"/>
  <c r="B13" i="5"/>
  <c r="H13" i="5" s="1"/>
  <c r="K13" i="5" s="1"/>
  <c r="L13" i="5" s="1"/>
  <c r="B14" i="5"/>
  <c r="H14" i="5" s="1"/>
  <c r="K14" i="5" s="1"/>
  <c r="L14" i="5" s="1"/>
  <c r="B15" i="5"/>
  <c r="H15" i="5" s="1"/>
  <c r="K15" i="5" s="1"/>
  <c r="L15" i="5" s="1"/>
  <c r="B16" i="5"/>
  <c r="H16" i="5" s="1"/>
  <c r="K16" i="5" s="1"/>
  <c r="L16" i="5" s="1"/>
  <c r="B17" i="5"/>
  <c r="H17" i="5" s="1"/>
  <c r="K17" i="5" s="1"/>
  <c r="L17" i="5" s="1"/>
  <c r="B18" i="5"/>
  <c r="H18" i="5" s="1"/>
  <c r="K18" i="5" s="1"/>
  <c r="L18" i="5" s="1"/>
  <c r="B19" i="5"/>
  <c r="H19" i="5" s="1"/>
  <c r="K19" i="5" s="1"/>
  <c r="L19" i="5" s="1"/>
  <c r="B20" i="5"/>
  <c r="H20" i="5" s="1"/>
  <c r="K20" i="5" s="1"/>
  <c r="L20" i="5" s="1"/>
  <c r="B21" i="5"/>
  <c r="H21" i="5" s="1"/>
  <c r="K21" i="5" s="1"/>
  <c r="L21" i="5" s="1"/>
  <c r="B22" i="5"/>
  <c r="H22" i="5" s="1"/>
  <c r="K22" i="5" s="1"/>
  <c r="L22" i="5" s="1"/>
  <c r="B23" i="5"/>
  <c r="H23" i="5" s="1"/>
  <c r="K23" i="5" s="1"/>
  <c r="L23" i="5" s="1"/>
  <c r="B24" i="5"/>
  <c r="H24" i="5" s="1"/>
  <c r="K24" i="5" s="1"/>
  <c r="L24" i="5" s="1"/>
  <c r="B25" i="5"/>
  <c r="H25" i="5" s="1"/>
  <c r="K25" i="5" s="1"/>
  <c r="L25" i="5" s="1"/>
  <c r="B26" i="5"/>
  <c r="H26" i="5" s="1"/>
  <c r="K26" i="5" s="1"/>
  <c r="L26" i="5" s="1"/>
  <c r="B27" i="5"/>
  <c r="H27" i="5" s="1"/>
  <c r="K27" i="5" s="1"/>
  <c r="L27" i="5" s="1"/>
  <c r="B28" i="5"/>
  <c r="H28" i="5" s="1"/>
  <c r="K28" i="5" s="1"/>
  <c r="L28" i="5" s="1"/>
  <c r="B29" i="5"/>
  <c r="H29" i="5" s="1"/>
  <c r="K29" i="5" s="1"/>
  <c r="L29" i="5" s="1"/>
  <c r="B30" i="5"/>
  <c r="H30" i="5" s="1"/>
  <c r="K30" i="5" s="1"/>
  <c r="L30" i="5" s="1"/>
  <c r="B31" i="5"/>
  <c r="H31" i="5" s="1"/>
  <c r="K31" i="5" s="1"/>
  <c r="L31" i="5" s="1"/>
  <c r="B32" i="5"/>
  <c r="H32" i="5" s="1"/>
  <c r="K32" i="5" s="1"/>
  <c r="L32" i="5" s="1"/>
  <c r="B33" i="5"/>
  <c r="H33" i="5" s="1"/>
  <c r="K33" i="5" s="1"/>
  <c r="L33" i="5" s="1"/>
  <c r="B34" i="5"/>
  <c r="H34" i="5" s="1"/>
  <c r="K34" i="5" s="1"/>
  <c r="L34" i="5" s="1"/>
  <c r="B35" i="5"/>
  <c r="H35" i="5" s="1"/>
  <c r="K35" i="5" s="1"/>
  <c r="L35" i="5" s="1"/>
  <c r="B4" i="5"/>
  <c r="H4" i="5" s="1"/>
  <c r="K4" i="5" s="1"/>
  <c r="L4" i="5" s="1"/>
  <c r="L2" i="5" s="1"/>
  <c r="S5" i="8" l="1"/>
  <c r="AB6" i="8"/>
  <c r="AE9" i="8"/>
  <c r="S8" i="8"/>
  <c r="AB9" i="8"/>
  <c r="AE8" i="8"/>
  <c r="S11" i="8"/>
  <c r="AB12" i="8"/>
  <c r="S7" i="8"/>
  <c r="AB8" i="8"/>
  <c r="S9" i="8"/>
  <c r="AB10" i="8"/>
  <c r="R4" i="8"/>
  <c r="AA5" i="8"/>
  <c r="AD5" i="8" s="1"/>
  <c r="S4" i="8"/>
  <c r="AB5" i="8"/>
  <c r="Y5" i="14"/>
  <c r="Y9" i="14"/>
  <c r="Y13" i="14"/>
  <c r="Y17" i="14"/>
  <c r="Y21" i="14"/>
  <c r="U7" i="14"/>
  <c r="U11" i="14"/>
  <c r="Y12" i="14"/>
  <c r="Y20" i="14"/>
  <c r="U10" i="14"/>
  <c r="Y6" i="14"/>
  <c r="Y10" i="14"/>
  <c r="Y14" i="14"/>
  <c r="Y18" i="14"/>
  <c r="Y4" i="14"/>
  <c r="U8" i="14"/>
  <c r="U4" i="14"/>
  <c r="V4" i="14" s="1"/>
  <c r="Y7" i="14"/>
  <c r="Y11" i="14"/>
  <c r="Y15" i="14"/>
  <c r="Y19" i="14"/>
  <c r="U5" i="14"/>
  <c r="U9" i="14"/>
  <c r="Y8" i="14"/>
  <c r="Y16" i="14"/>
  <c r="U6" i="14"/>
  <c r="S10" i="8"/>
  <c r="AB11" i="8"/>
  <c r="S6" i="8"/>
  <c r="AB7" i="8"/>
  <c r="L2" i="14"/>
  <c r="V10" i="14"/>
  <c r="V11" i="14"/>
  <c r="V6" i="14"/>
  <c r="V7" i="14"/>
  <c r="V8" i="14"/>
  <c r="V9" i="14"/>
  <c r="V5" i="14"/>
  <c r="R9" i="8"/>
  <c r="H9" i="8"/>
  <c r="K9" i="8" s="1"/>
  <c r="R8" i="8"/>
  <c r="H8" i="8"/>
  <c r="K8" i="8" s="1"/>
  <c r="R6" i="8"/>
  <c r="H6" i="8"/>
  <c r="K6" i="8" s="1"/>
  <c r="R7" i="8"/>
  <c r="H7" i="8"/>
  <c r="K7" i="8" s="1"/>
  <c r="R5" i="8"/>
  <c r="H5" i="8"/>
  <c r="K5" i="8" s="1"/>
  <c r="R11" i="8"/>
  <c r="H11" i="8"/>
  <c r="K11" i="8" s="1"/>
  <c r="H4" i="8"/>
  <c r="K4" i="8" s="1"/>
  <c r="R10" i="8"/>
  <c r="H10" i="8"/>
  <c r="K10" i="8" s="1"/>
  <c r="E6" i="8"/>
  <c r="AC7" i="8" s="1"/>
  <c r="AE7" i="8" s="1"/>
  <c r="I6" i="8"/>
  <c r="E5" i="8"/>
  <c r="AC6" i="8" s="1"/>
  <c r="AE6" i="8" s="1"/>
  <c r="I5" i="8"/>
  <c r="E10" i="8"/>
  <c r="AC11" i="8" s="1"/>
  <c r="AE11" i="8" s="1"/>
  <c r="I10" i="8"/>
  <c r="E9" i="8"/>
  <c r="AC10" i="8" s="1"/>
  <c r="AE10" i="8" s="1"/>
  <c r="I9" i="8"/>
  <c r="E4" i="8"/>
  <c r="AC5" i="8" s="1"/>
  <c r="I4" i="8"/>
  <c r="E8" i="8"/>
  <c r="AC9" i="8" s="1"/>
  <c r="I8" i="8"/>
  <c r="E11" i="8"/>
  <c r="AC12" i="8" s="1"/>
  <c r="AE12" i="8" s="1"/>
  <c r="I11" i="8"/>
  <c r="E7" i="8"/>
  <c r="AC8" i="8" s="1"/>
  <c r="I7" i="8"/>
  <c r="D5" i="4"/>
  <c r="AB5" i="4" s="1"/>
  <c r="D6" i="4"/>
  <c r="AB6" i="4" s="1"/>
  <c r="D7" i="4"/>
  <c r="AB7" i="4" s="1"/>
  <c r="D8" i="4"/>
  <c r="AB8" i="4" s="1"/>
  <c r="D9" i="4"/>
  <c r="AB9" i="4" s="1"/>
  <c r="D10" i="4"/>
  <c r="AB10" i="4" s="1"/>
  <c r="D11" i="4"/>
  <c r="AB11" i="4" s="1"/>
  <c r="D12" i="4"/>
  <c r="AB12" i="4" s="1"/>
  <c r="D13" i="4"/>
  <c r="AB13" i="4" s="1"/>
  <c r="D4" i="4"/>
  <c r="AB4" i="4" s="1"/>
  <c r="B5" i="4"/>
  <c r="H5" i="4" s="1"/>
  <c r="K5" i="4" s="1"/>
  <c r="B6" i="4"/>
  <c r="H6" i="4" s="1"/>
  <c r="K6" i="4" s="1"/>
  <c r="B7" i="4"/>
  <c r="H7" i="4" s="1"/>
  <c r="K7" i="4" s="1"/>
  <c r="B8" i="4"/>
  <c r="H8" i="4" s="1"/>
  <c r="K8" i="4" s="1"/>
  <c r="B9" i="4"/>
  <c r="H9" i="4" s="1"/>
  <c r="K9" i="4" s="1"/>
  <c r="B10" i="4"/>
  <c r="H10" i="4" s="1"/>
  <c r="K10" i="4" s="1"/>
  <c r="B11" i="4"/>
  <c r="H11" i="4" s="1"/>
  <c r="K11" i="4" s="1"/>
  <c r="B12" i="4"/>
  <c r="H12" i="4" s="1"/>
  <c r="K12" i="4" s="1"/>
  <c r="B13" i="4"/>
  <c r="H13" i="4" s="1"/>
  <c r="K13" i="4" s="1"/>
  <c r="B4" i="4"/>
  <c r="H4" i="4" s="1"/>
  <c r="K4" i="4" s="1"/>
  <c r="I2" i="1"/>
  <c r="D3" i="1"/>
  <c r="AE5" i="8" l="1"/>
  <c r="AE2" i="8" s="1"/>
  <c r="V2" i="14"/>
  <c r="S12" i="4"/>
  <c r="E12" i="4"/>
  <c r="J12" i="4" s="1"/>
  <c r="L12" i="4" s="1"/>
  <c r="S10" i="4"/>
  <c r="E10" i="4"/>
  <c r="S8" i="4"/>
  <c r="E8" i="4"/>
  <c r="S7" i="4"/>
  <c r="E7" i="4"/>
  <c r="S6" i="4"/>
  <c r="E6" i="4"/>
  <c r="S11" i="4"/>
  <c r="E11" i="4"/>
  <c r="S4" i="4"/>
  <c r="E4" i="4"/>
  <c r="S13" i="4"/>
  <c r="E13" i="4"/>
  <c r="S9" i="4"/>
  <c r="E9" i="4"/>
  <c r="S5" i="4"/>
  <c r="E5" i="4"/>
  <c r="J10" i="8"/>
  <c r="L10" i="8" s="1"/>
  <c r="T10" i="8"/>
  <c r="J7" i="8"/>
  <c r="L7" i="8" s="1"/>
  <c r="T7" i="8"/>
  <c r="J11" i="8"/>
  <c r="L11" i="8" s="1"/>
  <c r="T11" i="8"/>
  <c r="J8" i="8"/>
  <c r="L8" i="8" s="1"/>
  <c r="T8" i="8"/>
  <c r="J5" i="8"/>
  <c r="L5" i="8" s="1"/>
  <c r="T5" i="8"/>
  <c r="J6" i="8"/>
  <c r="L6" i="8" s="1"/>
  <c r="T6" i="8"/>
  <c r="J9" i="8"/>
  <c r="L9" i="8" s="1"/>
  <c r="T9" i="8"/>
  <c r="J4" i="8"/>
  <c r="L4" i="8" s="1"/>
  <c r="T4" i="8"/>
  <c r="I10" i="4"/>
  <c r="I13" i="4"/>
  <c r="I5" i="4"/>
  <c r="I4" i="4"/>
  <c r="I6" i="4"/>
  <c r="I9" i="4"/>
  <c r="I12" i="4"/>
  <c r="J8" i="4"/>
  <c r="L8" i="4" s="1"/>
  <c r="I8" i="4"/>
  <c r="I11" i="4"/>
  <c r="I7" i="4"/>
  <c r="T13" i="4" l="1"/>
  <c r="AC13" i="4"/>
  <c r="AE13" i="4" s="1"/>
  <c r="T11" i="4"/>
  <c r="AC11" i="4"/>
  <c r="AE11" i="4" s="1"/>
  <c r="T6" i="4"/>
  <c r="AC6" i="4"/>
  <c r="AE6" i="4" s="1"/>
  <c r="T9" i="4"/>
  <c r="AC9" i="4"/>
  <c r="AE9" i="4" s="1"/>
  <c r="T7" i="4"/>
  <c r="AC7" i="4"/>
  <c r="AE7" i="4" s="1"/>
  <c r="T10" i="4"/>
  <c r="AC10" i="4"/>
  <c r="AE10" i="4" s="1"/>
  <c r="T5" i="4"/>
  <c r="AC5" i="4"/>
  <c r="AE5" i="4" s="1"/>
  <c r="T4" i="4"/>
  <c r="AC4" i="4"/>
  <c r="AE4" i="4" s="1"/>
  <c r="T8" i="4"/>
  <c r="AC8" i="4"/>
  <c r="AE8" i="4" s="1"/>
  <c r="T12" i="4"/>
  <c r="AC12" i="4"/>
  <c r="AE12" i="4" s="1"/>
  <c r="J10" i="4"/>
  <c r="L10" i="4" s="1"/>
  <c r="J9" i="4"/>
  <c r="L9" i="4" s="1"/>
  <c r="J6" i="4"/>
  <c r="L6" i="4" s="1"/>
  <c r="J7" i="4"/>
  <c r="L7" i="4" s="1"/>
  <c r="J13" i="4"/>
  <c r="L13" i="4" s="1"/>
  <c r="C82" i="16"/>
  <c r="M22" i="16"/>
  <c r="R22" i="16" s="1"/>
  <c r="L22" i="16"/>
  <c r="Y10" i="8"/>
  <c r="Y11" i="8"/>
  <c r="Y12" i="8"/>
  <c r="Y13" i="8"/>
  <c r="Y14" i="8"/>
  <c r="Y15" i="8"/>
  <c r="Y16" i="8"/>
  <c r="Y5" i="8"/>
  <c r="Y17" i="8"/>
  <c r="Y7" i="8"/>
  <c r="Y6" i="8"/>
  <c r="Y8" i="8"/>
  <c r="Y9" i="8"/>
  <c r="Y4" i="8"/>
  <c r="J4" i="4"/>
  <c r="L4" i="4" s="1"/>
  <c r="J11" i="4"/>
  <c r="L11" i="4" s="1"/>
  <c r="J5" i="4"/>
  <c r="L5" i="4" s="1"/>
  <c r="Y11" i="4"/>
  <c r="Y12" i="4"/>
  <c r="Y13" i="4"/>
  <c r="U8" i="4"/>
  <c r="V8" i="4" s="1"/>
  <c r="Y15" i="4"/>
  <c r="Y14" i="4"/>
  <c r="U9" i="4"/>
  <c r="V9" i="4" s="1"/>
  <c r="Y16" i="4"/>
  <c r="Y5" i="4"/>
  <c r="Y17" i="4"/>
  <c r="Y6" i="4"/>
  <c r="Y18" i="4"/>
  <c r="Y8" i="4"/>
  <c r="Y20" i="4"/>
  <c r="Y4" i="4"/>
  <c r="U12" i="4"/>
  <c r="U13" i="4"/>
  <c r="V13" i="4" s="1"/>
  <c r="U11" i="4"/>
  <c r="V11" i="4" s="1"/>
  <c r="Y7" i="4"/>
  <c r="U5" i="4"/>
  <c r="V5" i="4" s="1"/>
  <c r="Y9" i="4"/>
  <c r="U6" i="4"/>
  <c r="V6" i="4" s="1"/>
  <c r="U10" i="4"/>
  <c r="V10" i="4" s="1"/>
  <c r="Y21" i="4"/>
  <c r="Y10" i="4"/>
  <c r="U7" i="4"/>
  <c r="V7" i="4" s="1"/>
  <c r="Y19" i="4"/>
  <c r="U4" i="4"/>
  <c r="J5" i="3"/>
  <c r="L5" i="3" s="1"/>
  <c r="U6" i="8"/>
  <c r="U7" i="8"/>
  <c r="U8" i="8"/>
  <c r="U9" i="8"/>
  <c r="U10" i="8"/>
  <c r="U11" i="8"/>
  <c r="U4" i="8"/>
  <c r="U5" i="8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4" i="2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4" i="2"/>
  <c r="C4" i="2" s="1"/>
  <c r="V4" i="4" l="1"/>
  <c r="V12" i="4"/>
  <c r="D82" i="16"/>
  <c r="F82" i="16" s="1"/>
  <c r="S22" i="16"/>
  <c r="V2" i="4"/>
  <c r="L2" i="4"/>
  <c r="Q22" i="16"/>
  <c r="P22" i="16"/>
  <c r="L4" i="3"/>
  <c r="J12" i="3"/>
  <c r="L12" i="3" s="1"/>
  <c r="J6" i="3"/>
  <c r="L6" i="3" s="1"/>
  <c r="J11" i="3"/>
  <c r="L11" i="3" s="1"/>
  <c r="J10" i="3"/>
  <c r="L10" i="3" s="1"/>
  <c r="J7" i="3"/>
  <c r="L7" i="3" s="1"/>
  <c r="J13" i="3"/>
  <c r="L13" i="3" s="1"/>
  <c r="J9" i="3"/>
  <c r="L9" i="3" s="1"/>
  <c r="J8" i="3"/>
  <c r="L8" i="3" s="1"/>
  <c r="E82" i="16" l="1"/>
  <c r="B80" i="16" s="1"/>
  <c r="L2" i="3"/>
  <c r="V4" i="3"/>
  <c r="V5" i="3"/>
  <c r="V7" i="3"/>
  <c r="V8" i="3"/>
  <c r="V10" i="3"/>
  <c r="V13" i="3"/>
  <c r="V11" i="3"/>
  <c r="V9" i="3"/>
  <c r="V12" i="3"/>
  <c r="V6" i="3"/>
  <c r="C80" i="16" l="1"/>
  <c r="J80" i="16"/>
  <c r="E80" i="16"/>
  <c r="F80" i="16"/>
  <c r="G80" i="16"/>
  <c r="I80" i="16"/>
  <c r="K80" i="16"/>
  <c r="H80" i="16"/>
  <c r="V2" i="3"/>
  <c r="V11" i="8"/>
  <c r="V7" i="8"/>
  <c r="V10" i="8"/>
  <c r="V4" i="8"/>
  <c r="V8" i="8"/>
  <c r="V6" i="8"/>
  <c r="V9" i="8"/>
  <c r="V5" i="8"/>
  <c r="C67" i="16" l="1"/>
  <c r="L17" i="16"/>
  <c r="B67" i="16"/>
  <c r="M17" i="16"/>
  <c r="R17" i="16" s="1"/>
  <c r="B79" i="16"/>
  <c r="L21" i="16"/>
  <c r="C79" i="16"/>
  <c r="M21" i="16"/>
  <c r="R21" i="16" s="1"/>
  <c r="L18" i="16"/>
  <c r="C70" i="16"/>
  <c r="M18" i="16"/>
  <c r="R18" i="16" s="1"/>
  <c r="B70" i="16"/>
  <c r="M8" i="16"/>
  <c r="R8" i="16" s="1"/>
  <c r="B40" i="16"/>
  <c r="C40" i="16"/>
  <c r="L8" i="16"/>
  <c r="M20" i="16"/>
  <c r="R20" i="16" s="1"/>
  <c r="L20" i="16"/>
  <c r="B76" i="16"/>
  <c r="C76" i="16"/>
  <c r="L4" i="16"/>
  <c r="M4" i="16"/>
  <c r="R4" i="16" s="1"/>
  <c r="C28" i="16"/>
  <c r="L5" i="16"/>
  <c r="M5" i="16"/>
  <c r="R5" i="16" s="1"/>
  <c r="C31" i="16"/>
  <c r="L10" i="16"/>
  <c r="B46" i="16"/>
  <c r="M10" i="16"/>
  <c r="R10" i="16" s="1"/>
  <c r="C46" i="16"/>
  <c r="L19" i="16"/>
  <c r="M19" i="16"/>
  <c r="R19" i="16" s="1"/>
  <c r="C73" i="16"/>
  <c r="B73" i="16"/>
  <c r="C43" i="16"/>
  <c r="M9" i="16"/>
  <c r="R9" i="16" s="1"/>
  <c r="L9" i="16"/>
  <c r="B43" i="16"/>
  <c r="B34" i="16"/>
  <c r="L6" i="16"/>
  <c r="M6" i="16"/>
  <c r="R6" i="16" s="1"/>
  <c r="L15" i="16"/>
  <c r="C61" i="16"/>
  <c r="M15" i="16"/>
  <c r="R15" i="16" s="1"/>
  <c r="B61" i="16"/>
  <c r="C64" i="16"/>
  <c r="B64" i="16"/>
  <c r="L16" i="16"/>
  <c r="M16" i="16"/>
  <c r="R16" i="16" s="1"/>
  <c r="B58" i="16"/>
  <c r="M14" i="16"/>
  <c r="R14" i="16" s="1"/>
  <c r="L14" i="16"/>
  <c r="C58" i="16"/>
  <c r="M11" i="16"/>
  <c r="R11" i="16" s="1"/>
  <c r="C49" i="16"/>
  <c r="L11" i="16"/>
  <c r="B49" i="16"/>
  <c r="B55" i="16"/>
  <c r="C55" i="16"/>
  <c r="M13" i="16"/>
  <c r="R13" i="16" s="1"/>
  <c r="L13" i="16"/>
  <c r="C52" i="16"/>
  <c r="L12" i="16"/>
  <c r="B52" i="16"/>
  <c r="M12" i="16"/>
  <c r="R12" i="16" s="1"/>
  <c r="M7" i="16"/>
  <c r="R7" i="16" s="1"/>
  <c r="L7" i="16"/>
  <c r="B37" i="16"/>
  <c r="C37" i="16"/>
  <c r="V2" i="8"/>
  <c r="L2" i="8" s="1"/>
  <c r="D64" i="16" l="1"/>
  <c r="E64" i="16" s="1"/>
  <c r="D58" i="16"/>
  <c r="F58" i="16" s="1"/>
  <c r="S17" i="16"/>
  <c r="D79" i="16"/>
  <c r="E79" i="16" s="1"/>
  <c r="D31" i="16"/>
  <c r="F31" i="16" s="1"/>
  <c r="D37" i="16"/>
  <c r="F37" i="16" s="1"/>
  <c r="D76" i="16"/>
  <c r="E76" i="16" s="1"/>
  <c r="D40" i="16"/>
  <c r="E40" i="16" s="1"/>
  <c r="D55" i="16"/>
  <c r="E55" i="16" s="1"/>
  <c r="D28" i="16"/>
  <c r="E28" i="16" s="1"/>
  <c r="D70" i="16"/>
  <c r="F70" i="16" s="1"/>
  <c r="D46" i="16"/>
  <c r="E46" i="16" s="1"/>
  <c r="S21" i="16"/>
  <c r="D61" i="16"/>
  <c r="F61" i="16" s="1"/>
  <c r="D49" i="16"/>
  <c r="F49" i="16" s="1"/>
  <c r="D43" i="16"/>
  <c r="F43" i="16" s="1"/>
  <c r="D73" i="16"/>
  <c r="F73" i="16" s="1"/>
  <c r="D52" i="16"/>
  <c r="E52" i="16" s="1"/>
  <c r="D67" i="16"/>
  <c r="F67" i="16" s="1"/>
  <c r="S18" i="16"/>
  <c r="S4" i="16"/>
  <c r="S6" i="16"/>
  <c r="S16" i="16"/>
  <c r="S8" i="16"/>
  <c r="S7" i="16"/>
  <c r="S19" i="16"/>
  <c r="Q11" i="16"/>
  <c r="P11" i="16"/>
  <c r="Q6" i="16"/>
  <c r="P6" i="16"/>
  <c r="P19" i="16"/>
  <c r="Q19" i="16"/>
  <c r="P10" i="16"/>
  <c r="Q10" i="16"/>
  <c r="S20" i="16"/>
  <c r="Q16" i="16"/>
  <c r="P16" i="16"/>
  <c r="P18" i="16"/>
  <c r="Q18" i="16"/>
  <c r="Q21" i="16"/>
  <c r="P21" i="16"/>
  <c r="S13" i="16"/>
  <c r="S11" i="16"/>
  <c r="P9" i="16"/>
  <c r="Q9" i="16"/>
  <c r="S9" i="16"/>
  <c r="S5" i="16"/>
  <c r="P17" i="16"/>
  <c r="Q17" i="16"/>
  <c r="P5" i="16"/>
  <c r="Q5" i="16"/>
  <c r="Q20" i="16"/>
  <c r="P20" i="16"/>
  <c r="S15" i="16"/>
  <c r="P4" i="16"/>
  <c r="Q4" i="16"/>
  <c r="P13" i="16"/>
  <c r="Q13" i="16"/>
  <c r="S12" i="16"/>
  <c r="Q14" i="16"/>
  <c r="P14" i="16"/>
  <c r="P15" i="16"/>
  <c r="Q15" i="16"/>
  <c r="P7" i="16"/>
  <c r="Q7" i="16"/>
  <c r="S14" i="16"/>
  <c r="P12" i="16"/>
  <c r="Q12" i="16"/>
  <c r="S10" i="16"/>
  <c r="Q8" i="16"/>
  <c r="P8" i="16"/>
  <c r="E73" i="16" l="1"/>
  <c r="C71" i="16" s="1"/>
  <c r="E31" i="16"/>
  <c r="F29" i="16" s="1"/>
  <c r="F79" i="16"/>
  <c r="E70" i="16"/>
  <c r="B68" i="16" s="1"/>
  <c r="F28" i="16"/>
  <c r="F76" i="16"/>
  <c r="G74" i="16" s="1"/>
  <c r="E37" i="16"/>
  <c r="I35" i="16" s="1"/>
  <c r="F64" i="16"/>
  <c r="H62" i="16" s="1"/>
  <c r="E58" i="16"/>
  <c r="G56" i="16" s="1"/>
  <c r="E29" i="16"/>
  <c r="E49" i="16"/>
  <c r="F47" i="16" s="1"/>
  <c r="C34" i="16"/>
  <c r="D34" i="16" s="1"/>
  <c r="E71" i="16"/>
  <c r="E43" i="16"/>
  <c r="K41" i="16" s="1"/>
  <c r="F55" i="16"/>
  <c r="G53" i="16" s="1"/>
  <c r="F46" i="16"/>
  <c r="F52" i="16"/>
  <c r="E61" i="16"/>
  <c r="F59" i="16" s="1"/>
  <c r="E67" i="16"/>
  <c r="H65" i="16" s="1"/>
  <c r="F40" i="16"/>
  <c r="K77" i="16" l="1"/>
  <c r="I77" i="16"/>
  <c r="J29" i="16"/>
  <c r="D44" i="16"/>
  <c r="D80" i="16"/>
  <c r="D29" i="16"/>
  <c r="D47" i="16"/>
  <c r="D65" i="16"/>
  <c r="D32" i="16"/>
  <c r="D50" i="16"/>
  <c r="D68" i="16"/>
  <c r="D59" i="16"/>
  <c r="D26" i="16"/>
  <c r="D56" i="16"/>
  <c r="D38" i="16"/>
  <c r="D77" i="16"/>
  <c r="D41" i="16"/>
  <c r="D74" i="16"/>
  <c r="D71" i="16"/>
  <c r="D53" i="16"/>
  <c r="D35" i="16"/>
  <c r="D62" i="16"/>
  <c r="K71" i="16"/>
  <c r="G71" i="16"/>
  <c r="I71" i="16"/>
  <c r="F71" i="16"/>
  <c r="H71" i="16"/>
  <c r="J71" i="16"/>
  <c r="B71" i="16"/>
  <c r="I26" i="16"/>
  <c r="J26" i="16"/>
  <c r="E47" i="16"/>
  <c r="I47" i="16"/>
  <c r="J47" i="16"/>
  <c r="B29" i="16"/>
  <c r="G29" i="16"/>
  <c r="C29" i="16"/>
  <c r="H29" i="16"/>
  <c r="I29" i="16"/>
  <c r="K29" i="16"/>
  <c r="H47" i="16"/>
  <c r="B47" i="16"/>
  <c r="C53" i="16"/>
  <c r="E53" i="16"/>
  <c r="J62" i="16"/>
  <c r="B77" i="16"/>
  <c r="E62" i="16"/>
  <c r="C62" i="16"/>
  <c r="K62" i="16"/>
  <c r="J77" i="16"/>
  <c r="E77" i="16"/>
  <c r="C77" i="16"/>
  <c r="H77" i="16"/>
  <c r="B62" i="16"/>
  <c r="G77" i="16"/>
  <c r="I62" i="16"/>
  <c r="H53" i="16"/>
  <c r="K53" i="16"/>
  <c r="F53" i="16"/>
  <c r="F62" i="16"/>
  <c r="G62" i="16"/>
  <c r="G47" i="16"/>
  <c r="F74" i="16"/>
  <c r="H74" i="16"/>
  <c r="B74" i="16"/>
  <c r="B53" i="16"/>
  <c r="F77" i="16"/>
  <c r="C47" i="16"/>
  <c r="J53" i="16"/>
  <c r="K47" i="16"/>
  <c r="I53" i="16"/>
  <c r="F68" i="16"/>
  <c r="H68" i="16"/>
  <c r="J68" i="16"/>
  <c r="K68" i="16"/>
  <c r="I68" i="16"/>
  <c r="E68" i="16"/>
  <c r="C68" i="16"/>
  <c r="G68" i="16"/>
  <c r="E26" i="16"/>
  <c r="J41" i="16"/>
  <c r="G26" i="16"/>
  <c r="G41" i="16"/>
  <c r="F26" i="16"/>
  <c r="B26" i="16"/>
  <c r="C26" i="16"/>
  <c r="H41" i="16"/>
  <c r="H26" i="16"/>
  <c r="F41" i="16"/>
  <c r="K26" i="16"/>
  <c r="B56" i="16"/>
  <c r="C56" i="16"/>
  <c r="B41" i="16"/>
  <c r="E56" i="16"/>
  <c r="H56" i="16"/>
  <c r="J56" i="16"/>
  <c r="F56" i="16"/>
  <c r="I41" i="16"/>
  <c r="I56" i="16"/>
  <c r="K56" i="16"/>
  <c r="C41" i="16"/>
  <c r="E41" i="16"/>
  <c r="J74" i="16"/>
  <c r="I74" i="16"/>
  <c r="K74" i="16"/>
  <c r="C74" i="16"/>
  <c r="E74" i="16"/>
  <c r="E35" i="16"/>
  <c r="G35" i="16"/>
  <c r="C35" i="16"/>
  <c r="F35" i="16"/>
  <c r="K35" i="16"/>
  <c r="J35" i="16"/>
  <c r="H35" i="16"/>
  <c r="B35" i="16"/>
  <c r="E34" i="16"/>
  <c r="F34" i="16"/>
  <c r="K59" i="16"/>
  <c r="I59" i="16"/>
  <c r="I50" i="16"/>
  <c r="E50" i="16"/>
  <c r="C50" i="16"/>
  <c r="G50" i="16"/>
  <c r="K50" i="16"/>
  <c r="H50" i="16"/>
  <c r="J50" i="16"/>
  <c r="F50" i="16"/>
  <c r="B50" i="16"/>
  <c r="B65" i="16"/>
  <c r="E65" i="16"/>
  <c r="B59" i="16"/>
  <c r="F65" i="16"/>
  <c r="C59" i="16"/>
  <c r="I65" i="16"/>
  <c r="C44" i="16"/>
  <c r="F44" i="16"/>
  <c r="I44" i="16"/>
  <c r="J44" i="16"/>
  <c r="E44" i="16"/>
  <c r="H44" i="16"/>
  <c r="G44" i="16"/>
  <c r="K44" i="16"/>
  <c r="B44" i="16"/>
  <c r="G59" i="16"/>
  <c r="G65" i="16"/>
  <c r="J38" i="16"/>
  <c r="E38" i="16"/>
  <c r="C38" i="16"/>
  <c r="I38" i="16"/>
  <c r="H38" i="16"/>
  <c r="F38" i="16"/>
  <c r="K38" i="16"/>
  <c r="G38" i="16"/>
  <c r="B38" i="16"/>
  <c r="H59" i="16"/>
  <c r="K65" i="16"/>
  <c r="E59" i="16"/>
  <c r="J65" i="16"/>
  <c r="J59" i="16"/>
  <c r="C65" i="16"/>
  <c r="I32" i="16" l="1"/>
  <c r="H32" i="16"/>
  <c r="J32" i="16"/>
  <c r="C32" i="16"/>
  <c r="K32" i="16"/>
  <c r="E32" i="16"/>
  <c r="F32" i="16"/>
  <c r="G32" i="16"/>
  <c r="B32" i="16"/>
</calcChain>
</file>

<file path=xl/sharedStrings.xml><?xml version="1.0" encoding="utf-8"?>
<sst xmlns="http://schemas.openxmlformats.org/spreadsheetml/2006/main" count="845" uniqueCount="182">
  <si>
    <t>CO2 Properties:</t>
  </si>
  <si>
    <t>saturation pressure (298K)</t>
  </si>
  <si>
    <t>&gt; bar</t>
  </si>
  <si>
    <t>density</t>
  </si>
  <si>
    <t>&gt;g/cm^3</t>
  </si>
  <si>
    <t xml:space="preserve">molecular weight </t>
  </si>
  <si>
    <t>&gt;g/mol (mg/mmol)</t>
  </si>
  <si>
    <t>&gt;g/mmol</t>
  </si>
  <si>
    <t xml:space="preserve">ideal molar volume </t>
  </si>
  <si>
    <t>&gt;cm^3/mmol</t>
  </si>
  <si>
    <t xml:space="preserve">Theoretical Pore volume </t>
  </si>
  <si>
    <t>&gt;cm^3/g</t>
  </si>
  <si>
    <t>Total files &gt;</t>
  </si>
  <si>
    <t>Green files &gt;</t>
  </si>
  <si>
    <t>Amber files &gt;</t>
  </si>
  <si>
    <t>Red files &gt;</t>
  </si>
  <si>
    <t>File Number</t>
  </si>
  <si>
    <t>Gas [T(K)]</t>
  </si>
  <si>
    <t>NIST Website</t>
  </si>
  <si>
    <t xml:space="preserve">NIST Isotherm </t>
  </si>
  <si>
    <t>Source/Ref</t>
  </si>
  <si>
    <t>DOI</t>
  </si>
  <si>
    <t>PV Reported (cm^3/g)</t>
  </si>
  <si>
    <t>PV Gurvitsch (cm^3/g)</t>
  </si>
  <si>
    <t>Comments</t>
  </si>
  <si>
    <t xml:space="preserve">Sum  </t>
  </si>
  <si>
    <t>nm</t>
  </si>
  <si>
    <t>k</t>
  </si>
  <si>
    <t>t</t>
  </si>
  <si>
    <t xml:space="preserve">Toth fit </t>
  </si>
  <si>
    <t xml:space="preserve">Error </t>
  </si>
  <si>
    <t>P (kPa)</t>
  </si>
  <si>
    <t>Toth (mmol/g)</t>
  </si>
  <si>
    <t>MOF-5 Properties:</t>
  </si>
  <si>
    <t>_007</t>
  </si>
  <si>
    <t>CO2 [303]</t>
  </si>
  <si>
    <t>https://adsorption.nist.gov/isodb/index.php?DOI=10.1016/j.cej.2009.10.067#biblio</t>
  </si>
  <si>
    <t xml:space="preserve">Chun-Mei et al. </t>
  </si>
  <si>
    <t>https://doi.org/10.1016/j.cej.2009.10.067</t>
  </si>
  <si>
    <t>-</t>
  </si>
  <si>
    <t>pressure (atm)</t>
  </si>
  <si>
    <t>P (bar)</t>
  </si>
  <si>
    <t>N (cm3/g)</t>
  </si>
  <si>
    <t>N (mmol/g)</t>
  </si>
  <si>
    <t>_008</t>
  </si>
  <si>
    <t>CO2 [298], N2 [77K]</t>
  </si>
  <si>
    <t>-, -</t>
  </si>
  <si>
    <t>&gt;g/L</t>
  </si>
  <si>
    <t>https://adsorption.nist.gov/isodb/index.php?DOI=10.1016/j.ijhydene.2011.11.023#biblio</t>
  </si>
  <si>
    <t>Marco et al.</t>
  </si>
  <si>
    <t>https://doi.org/10.1016/j.ijhydene.2011.11.023</t>
  </si>
  <si>
    <r>
      <t xml:space="preserve">CO2 [298], </t>
    </r>
    <r>
      <rPr>
        <i/>
        <sz val="11"/>
        <color theme="1"/>
        <rFont val="Calibri"/>
        <family val="2"/>
        <scheme val="minor"/>
      </rPr>
      <t>N2</t>
    </r>
  </si>
  <si>
    <t>https://adsorption.nist.gov/isodb/index.php?DOI=10.1016/j.micromeso.2008.04.033#biblio</t>
  </si>
  <si>
    <t>2, -</t>
  </si>
  <si>
    <t>https://doi.org/10.1016/j.micromeso.2008.04.033</t>
  </si>
  <si>
    <t>N (mg/g)</t>
  </si>
  <si>
    <t>Jung-Sik Choi et al.</t>
  </si>
  <si>
    <t>_027</t>
  </si>
  <si>
    <t>https://adsorption.nist.gov/isodb/index.php?DOI=10.1021/Ja0570032#biblio</t>
  </si>
  <si>
    <t>Andrew R. Millward et al.</t>
  </si>
  <si>
    <t>https://doi.org/10.1021/Ja0570032</t>
  </si>
  <si>
    <t>_013</t>
  </si>
  <si>
    <t>https://adsorption.nist.gov/isodb/index.php?DOI=10.1016/j.seppur.2014.08.021#biblio</t>
  </si>
  <si>
    <t>E. Dundar et al.</t>
  </si>
  <si>
    <t>https://doi.org/10.1016/j.seppur.2014.08.021</t>
  </si>
  <si>
    <t>Experimental data taken from _027</t>
  </si>
  <si>
    <t>_001</t>
  </si>
  <si>
    <t>https://adsorption.nist.gov/isodb/index.php?DOI=10.1002/Aic.14467#biblio</t>
  </si>
  <si>
    <t>Weizhen Sun</t>
  </si>
  <si>
    <t>https://doi.org/10.1002/Aic.14467</t>
  </si>
  <si>
    <t>_002</t>
  </si>
  <si>
    <t>https://adsorption.nist.gov/isodb/index.php?DOI=10.1002/anie.200700218#biblio</t>
  </si>
  <si>
    <t>David Dubbeldam</t>
  </si>
  <si>
    <t>https://doi.org/10.1002/anie.200700218</t>
  </si>
  <si>
    <t>_006</t>
  </si>
  <si>
    <t>https://adsorption.nist.gov/isodb/index.php?DOI=10.1007/s10450-010-9305-3#biblio</t>
  </si>
  <si>
    <t xml:space="preserve">Brad A. Wells </t>
  </si>
  <si>
    <t>https://doi.org/10.1007/s10450-010-9305-3</t>
  </si>
  <si>
    <t xml:space="preserve">Experimental data taken from _027. Appears to take other experimental papers but not clear which ones </t>
  </si>
  <si>
    <t>Tabular experimental data provided for CO2 isotherm. Paper states pore volume carried out with Gurvitsch method</t>
  </si>
  <si>
    <t>Scaled N (mmol/g)</t>
  </si>
  <si>
    <t>_014</t>
  </si>
  <si>
    <t>https://adsorption.nist.gov/isodb/index.php?DOI=10.1016/j.seppur.2018.01.013#biblio</t>
  </si>
  <si>
    <t>F. A. Kloutse et al.</t>
  </si>
  <si>
    <t>https://doi.org/10.1016/j.seppur.2018.01.013</t>
  </si>
  <si>
    <t>P (Mpa)</t>
  </si>
  <si>
    <t>_015</t>
  </si>
  <si>
    <t>https://adsorption.nist.gov/isodb/index.php?DOI=10.1016/S2095-4956(14)60171-6#biblio</t>
  </si>
  <si>
    <t>Junmin Li et al.</t>
  </si>
  <si>
    <t>https://doi.org/10.1016/S2095-4956(14)60171-6</t>
  </si>
  <si>
    <t>_016</t>
  </si>
  <si>
    <t>https://doi.org/10.1021/acs.jctc.5b00093</t>
  </si>
  <si>
    <t>https://adsorption.nist.gov/isodb/index.php?DOI=10.1021/acs.jctc.5b00093#biblio</t>
  </si>
  <si>
    <t>_020</t>
  </si>
  <si>
    <t>https://adsorption.nist.gov/isodb/index.php?DOI=10.1021/Cm502399q#biblio</t>
  </si>
  <si>
    <t>Srinivas Gadipelli et al.</t>
  </si>
  <si>
    <t>https://doi.org/10.1021/Cm502399q</t>
  </si>
  <si>
    <t>https://adsorption.nist.gov/isodb/index.php?DOI=10.1021/Jp4053538#biblio</t>
  </si>
  <si>
    <t>Michael L. Drummond et al.</t>
  </si>
  <si>
    <t>https://doi.org/10.1021/Jp4053538</t>
  </si>
  <si>
    <t>_029</t>
  </si>
  <si>
    <t>CO2 [298]</t>
  </si>
  <si>
    <t>_023</t>
  </si>
  <si>
    <t>https://adsorption.nist.gov/isodb/index.php?DOI=10.1021/Ie202777q#biblio</t>
  </si>
  <si>
    <t>Zhenxia Zhao et al.</t>
  </si>
  <si>
    <t>https://doi.org/10.1021/Ie202777q</t>
  </si>
  <si>
    <t>_024</t>
  </si>
  <si>
    <t>1, -</t>
  </si>
  <si>
    <t xml:space="preserve">1b, - </t>
  </si>
  <si>
    <t>https://adsorption.nist.gov/isodb/index.php?DOI=10.1021/Ie8005269#biblio</t>
  </si>
  <si>
    <t>Simone Cavenati et al.</t>
  </si>
  <si>
    <t>https://doi.org/10.1021/Ie8005269</t>
  </si>
  <si>
    <t>CO2 [296], N2 [77K]</t>
  </si>
  <si>
    <t>https://adsorption.nist.gov/isodb/index.php#home</t>
  </si>
  <si>
    <t xml:space="preserve">2, 1 </t>
  </si>
  <si>
    <t>https://doi.org/10.1021/Ie900665f</t>
  </si>
  <si>
    <t>_026</t>
  </si>
  <si>
    <t>https://adsorption.nist.gov/isodb/index.php?DOI=10.1021/Ie901000x#biblio</t>
  </si>
  <si>
    <t>Chengcheng Zheng et al.</t>
  </si>
  <si>
    <t>https://doi.org/10.1021/Ie901000x</t>
  </si>
  <si>
    <t>Usable files &gt;</t>
  </si>
  <si>
    <t xml:space="preserve">Qingyuan Yang et al. </t>
  </si>
  <si>
    <t>https://doi.org/10.1021/Jp062723w</t>
  </si>
  <si>
    <t>_035</t>
  </si>
  <si>
    <t>_043</t>
  </si>
  <si>
    <t>https://adsorption.nist.gov/isodb/index.php?DOI=10.1038/srep12045#biblio</t>
  </si>
  <si>
    <t>Jung Hyo Park et al.</t>
  </si>
  <si>
    <t>https://doi.org/10.1038/srep12045</t>
  </si>
  <si>
    <t xml:space="preserve">_033 in methane excel. Digitilised N2 isotherm </t>
  </si>
  <si>
    <t>_046</t>
  </si>
  <si>
    <r>
      <t xml:space="preserve">CO2 [300], </t>
    </r>
    <r>
      <rPr>
        <i/>
        <sz val="11"/>
        <color theme="1"/>
        <rFont val="Calibri"/>
        <family val="2"/>
        <scheme val="minor"/>
      </rPr>
      <t>N2</t>
    </r>
  </si>
  <si>
    <t>https://adsorption.nist.gov/isodb/index.php?DOI=10.1039/C0ee00700e#biblio</t>
  </si>
  <si>
    <t xml:space="preserve">5, - </t>
  </si>
  <si>
    <t>Jason M. Simmons</t>
  </si>
  <si>
    <t>https://doi.org/10.1039/C0ee00700e</t>
  </si>
  <si>
    <t>008</t>
  </si>
  <si>
    <t>015</t>
  </si>
  <si>
    <t>025</t>
  </si>
  <si>
    <t>046</t>
  </si>
  <si>
    <t>Average (mmol/g)</t>
  </si>
  <si>
    <t xml:space="preserve">Standard Deviation </t>
  </si>
  <si>
    <t xml:space="preserve">n of values </t>
  </si>
  <si>
    <t>Z (95% confidence)</t>
  </si>
  <si>
    <t>Lower 95% Confidence Interval</t>
  </si>
  <si>
    <t>Upper 95% Confidence Interval</t>
  </si>
  <si>
    <t>ERROR MARGIN</t>
  </si>
  <si>
    <t>% error</t>
  </si>
  <si>
    <t>Q1</t>
  </si>
  <si>
    <t>Q3</t>
  </si>
  <si>
    <t>IQR</t>
  </si>
  <si>
    <t>lower</t>
  </si>
  <si>
    <t>upper</t>
  </si>
  <si>
    <t>014</t>
  </si>
  <si>
    <t>020</t>
  </si>
  <si>
    <t>027</t>
  </si>
  <si>
    <t>043</t>
  </si>
  <si>
    <t>_010a</t>
  </si>
  <si>
    <t>_010b</t>
  </si>
  <si>
    <t>sample produced by convection heating</t>
  </si>
  <si>
    <t>sample produced by microwave heating</t>
  </si>
  <si>
    <t>3, -</t>
  </si>
  <si>
    <t>https://doi.org/10.1016/j.micromeso.2008.04.034</t>
  </si>
  <si>
    <t>010a</t>
  </si>
  <si>
    <t>Basolite Z100-H used. Appears in methane, pv = 1.24</t>
  </si>
  <si>
    <t xml:space="preserve">Appears in methane, pv = 0.294. low pore volume due to pellets not powder </t>
  </si>
  <si>
    <t>https://adsorption.nist.gov/isodb/index.php?DOI=10.1021/Ie900665f#biblio</t>
  </si>
  <si>
    <t>_025</t>
  </si>
  <si>
    <t xml:space="preserve">CO2 isotherm mislabelled, should be absolute pressure up to 1 atm. N2 isotherm very hard to digitalise but still got a similar pv </t>
  </si>
  <si>
    <t>Toth</t>
  </si>
  <si>
    <t>Bingel-Walton</t>
  </si>
  <si>
    <t>a</t>
  </si>
  <si>
    <t>b</t>
  </si>
  <si>
    <t>Bingel-Walton fit</t>
  </si>
  <si>
    <t>Bingel-Walton (mmol/g)</t>
  </si>
  <si>
    <t xml:space="preserve"> </t>
  </si>
  <si>
    <t>Digitalised N2. Reported tap density used for conversion (0.3 g/cm3). Sample supplied by BASF. Appears in methane, pv = 1.13</t>
  </si>
  <si>
    <t>38, -</t>
  </si>
  <si>
    <t>N (%wt)</t>
  </si>
  <si>
    <t>c</t>
  </si>
  <si>
    <t>Bingel-Walton (2V)</t>
  </si>
  <si>
    <t>Bingel-Walton (3V)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</si>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</sst>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  <charset val="1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1"/>
      <name val="Calibri"/>
      <family val="2"/>
    </font>
    <font>
      <b/>
      <sz val="10"/>
      <name val="Arial"/>
      <family val="2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5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rgb="FFD9D9D9"/>
      </patternFill>
    </fill>
    <fill>
      <patternFill patternType="solid">
        <fgColor rgb="FFBDD7EE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2" applyFont="1" applyAlignment="1">
      <alignment horizontal="right"/>
    </xf>
    <xf numFmtId="0" fontId="6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1"/>
    <xf numFmtId="49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164" fontId="10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 vertical="top"/>
    </xf>
    <xf numFmtId="0" fontId="8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6" borderId="3" xfId="0" applyFont="1" applyFill="1" applyBorder="1"/>
    <xf numFmtId="0" fontId="13" fillId="6" borderId="4" xfId="0" applyFont="1" applyFill="1" applyBorder="1"/>
    <xf numFmtId="0" fontId="8" fillId="0" borderId="5" xfId="0" applyFont="1" applyBorder="1"/>
    <xf numFmtId="0" fontId="8" fillId="0" borderId="6" xfId="0" applyFont="1" applyBorder="1"/>
    <xf numFmtId="0" fontId="0" fillId="0" borderId="7" xfId="0" applyBorder="1"/>
    <xf numFmtId="0" fontId="14" fillId="6" borderId="4" xfId="0" applyFont="1" applyFill="1" applyBorder="1"/>
    <xf numFmtId="0" fontId="15" fillId="6" borderId="4" xfId="0" applyFont="1" applyFill="1" applyBorder="1"/>
    <xf numFmtId="0" fontId="16" fillId="6" borderId="4" xfId="0" applyFont="1" applyFill="1" applyBorder="1"/>
    <xf numFmtId="49" fontId="11" fillId="0" borderId="2" xfId="0" applyNumberFormat="1" applyFont="1" applyBorder="1" applyAlignment="1">
      <alignment horizontal="center" vertical="top"/>
    </xf>
    <xf numFmtId="49" fontId="11" fillId="0" borderId="2" xfId="0" applyNumberFormat="1" applyFont="1" applyFill="1" applyBorder="1" applyAlignment="1">
      <alignment horizontal="center" vertical="top"/>
    </xf>
    <xf numFmtId="49" fontId="11" fillId="5" borderId="2" xfId="0" applyNumberFormat="1" applyFont="1" applyFill="1" applyBorder="1" applyAlignment="1">
      <alignment horizontal="center" vertical="top"/>
    </xf>
    <xf numFmtId="0" fontId="2" fillId="0" borderId="0" xfId="1"/>
    <xf numFmtId="0" fontId="17" fillId="6" borderId="4" xfId="0" applyFont="1" applyFill="1" applyBorder="1"/>
    <xf numFmtId="2" fontId="5" fillId="0" borderId="0" xfId="0" applyNumberFormat="1" applyFont="1" applyAlignment="1">
      <alignment horizontal="right"/>
    </xf>
    <xf numFmtId="0" fontId="0" fillId="7" borderId="0" xfId="0" applyFill="1"/>
    <xf numFmtId="0" fontId="0" fillId="0" borderId="0" xfId="0" applyFill="1"/>
    <xf numFmtId="0" fontId="19" fillId="0" borderId="0" xfId="0" applyFont="1"/>
    <xf numFmtId="0" fontId="2" fillId="0" borderId="0" xfId="1"/>
    <xf numFmtId="49" fontId="17" fillId="0" borderId="2" xfId="0" applyNumberFormat="1" applyFont="1" applyFill="1" applyBorder="1" applyAlignment="1">
      <alignment horizontal="center" vertical="top"/>
    </xf>
    <xf numFmtId="0" fontId="20" fillId="0" borderId="0" xfId="0" applyFont="1"/>
    <xf numFmtId="0" fontId="0" fillId="7" borderId="0" xfId="0" applyFont="1" applyFill="1"/>
    <xf numFmtId="0" fontId="2" fillId="0" borderId="0" xfId="1"/>
  </cellXfs>
  <cellStyles count="3">
    <cellStyle name="Hyperlink" xfId="1" builtinId="8"/>
    <cellStyle name="Normal" xfId="0" builtinId="0"/>
    <cellStyle name="Normal 4" xfId="2" xr:uid="{8F58C112-F2E8-43F3-BB57-70696BF0D9F8}"/>
  </cellStyles>
  <dxfs count="0"/>
  <tableStyles count="0" defaultTableStyle="TableStyleMedium2" defaultPivotStyle="PivotStyleLight16"/>
  <colors>
    <mruColors>
      <color rgb="FFFF505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Scaled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'008'!$B$4:$B$14</c:f>
              <c:numCache>
                <c:formatCode>General</c:formatCode>
                <c:ptCount val="11"/>
                <c:pt idx="0">
                  <c:v>209.476</c:v>
                </c:pt>
                <c:pt idx="1">
                  <c:v>399.00200000000001</c:v>
                </c:pt>
                <c:pt idx="2">
                  <c:v>588.529</c:v>
                </c:pt>
                <c:pt idx="3">
                  <c:v>778.05499999999995</c:v>
                </c:pt>
                <c:pt idx="4">
                  <c:v>1007.48</c:v>
                </c:pt>
                <c:pt idx="5">
                  <c:v>1486.28</c:v>
                </c:pt>
                <c:pt idx="6">
                  <c:v>1965.09</c:v>
                </c:pt>
                <c:pt idx="7">
                  <c:v>2493.77</c:v>
                </c:pt>
                <c:pt idx="8">
                  <c:v>3012.4700000000003</c:v>
                </c:pt>
                <c:pt idx="9">
                  <c:v>4000</c:v>
                </c:pt>
              </c:numCache>
            </c:numRef>
          </c:xVal>
          <c:yVal>
            <c:numRef>
              <c:f>'008'!$E$4:$E$15</c:f>
              <c:numCache>
                <c:formatCode>General</c:formatCode>
                <c:ptCount val="12"/>
                <c:pt idx="0">
                  <c:v>1.3021873466631171</c:v>
                </c:pt>
                <c:pt idx="1">
                  <c:v>3.1440500443671953</c:v>
                </c:pt>
                <c:pt idx="2">
                  <c:v>5.093967055968875</c:v>
                </c:pt>
                <c:pt idx="3">
                  <c:v>7.1519229620255569</c:v>
                </c:pt>
                <c:pt idx="4">
                  <c:v>9.859217294864969</c:v>
                </c:pt>
                <c:pt idx="5">
                  <c:v>16.030669300361669</c:v>
                </c:pt>
                <c:pt idx="6">
                  <c:v>20.041240620474301</c:v>
                </c:pt>
                <c:pt idx="7">
                  <c:v>21.892267606894521</c:v>
                </c:pt>
                <c:pt idx="8">
                  <c:v>23.202817431258797</c:v>
                </c:pt>
                <c:pt idx="9">
                  <c:v>23.985791027205661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2-4622-B0E5-FFA23DA60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795440"/>
        <c:axId val="1363374832"/>
      </c:scatterChart>
      <c:scatterChart>
        <c:scatterStyle val="smoothMarker"/>
        <c:varyColors val="0"/>
        <c:ser>
          <c:idx val="1"/>
          <c:order val="1"/>
          <c:tx>
            <c:v>Toth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'008'!$H$4:$H$14</c:f>
              <c:numCache>
                <c:formatCode>General</c:formatCode>
                <c:ptCount val="11"/>
                <c:pt idx="0">
                  <c:v>209.476</c:v>
                </c:pt>
                <c:pt idx="1">
                  <c:v>399.00200000000001</c:v>
                </c:pt>
                <c:pt idx="2">
                  <c:v>588.529</c:v>
                </c:pt>
                <c:pt idx="3">
                  <c:v>778.05499999999995</c:v>
                </c:pt>
                <c:pt idx="4">
                  <c:v>1007.48</c:v>
                </c:pt>
                <c:pt idx="5">
                  <c:v>1486.28</c:v>
                </c:pt>
                <c:pt idx="6">
                  <c:v>1965.09</c:v>
                </c:pt>
                <c:pt idx="7">
                  <c:v>2493.77</c:v>
                </c:pt>
                <c:pt idx="8">
                  <c:v>3012.4700000000003</c:v>
                </c:pt>
                <c:pt idx="9">
                  <c:v>4000</c:v>
                </c:pt>
              </c:numCache>
            </c:numRef>
          </c:xVal>
          <c:yVal>
            <c:numRef>
              <c:f>'008'!$K$4:$K$14</c:f>
              <c:numCache>
                <c:formatCode>General</c:formatCode>
                <c:ptCount val="11"/>
                <c:pt idx="0">
                  <c:v>2.7227495098172709</c:v>
                </c:pt>
                <c:pt idx="1">
                  <c:v>4.9015144374455408</c:v>
                </c:pt>
                <c:pt idx="2">
                  <c:v>6.8728733688048314</c:v>
                </c:pt>
                <c:pt idx="3">
                  <c:v>8.6728336676067634</c:v>
                </c:pt>
                <c:pt idx="4">
                  <c:v>10.659106791794702</c:v>
                </c:pt>
                <c:pt idx="5">
                  <c:v>14.259126301688848</c:v>
                </c:pt>
                <c:pt idx="6">
                  <c:v>17.288405109818843</c:v>
                </c:pt>
                <c:pt idx="7">
                  <c:v>20.134083539394389</c:v>
                </c:pt>
                <c:pt idx="8">
                  <c:v>22.532302982391915</c:v>
                </c:pt>
                <c:pt idx="9">
                  <c:v>26.297225111526544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52-4622-B0E5-FFA23DA60420}"/>
            </c:ext>
          </c:extLst>
        </c:ser>
        <c:ser>
          <c:idx val="2"/>
          <c:order val="2"/>
          <c:tx>
            <c:v>Bingel-Walton Fit (2V)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'008'!$H$4:$H$14</c:f>
              <c:numCache>
                <c:formatCode>General</c:formatCode>
                <c:ptCount val="11"/>
                <c:pt idx="0">
                  <c:v>209.476</c:v>
                </c:pt>
                <c:pt idx="1">
                  <c:v>399.00200000000001</c:v>
                </c:pt>
                <c:pt idx="2">
                  <c:v>588.529</c:v>
                </c:pt>
                <c:pt idx="3">
                  <c:v>778.05499999999995</c:v>
                </c:pt>
                <c:pt idx="4">
                  <c:v>1007.48</c:v>
                </c:pt>
                <c:pt idx="5">
                  <c:v>1486.28</c:v>
                </c:pt>
                <c:pt idx="6">
                  <c:v>1965.09</c:v>
                </c:pt>
                <c:pt idx="7">
                  <c:v>2493.77</c:v>
                </c:pt>
                <c:pt idx="8">
                  <c:v>3012.4700000000003</c:v>
                </c:pt>
                <c:pt idx="9">
                  <c:v>4000</c:v>
                </c:pt>
              </c:numCache>
            </c:numRef>
          </c:xVal>
          <c:yVal>
            <c:numRef>
              <c:f>'008'!$U$4:$U$14</c:f>
              <c:numCache>
                <c:formatCode>General</c:formatCode>
                <c:ptCount val="11"/>
                <c:pt idx="0">
                  <c:v>1.4330250788345165</c:v>
                </c:pt>
                <c:pt idx="1">
                  <c:v>3.0614182991495946</c:v>
                </c:pt>
                <c:pt idx="2">
                  <c:v>5.0013132747491529</c:v>
                </c:pt>
                <c:pt idx="3">
                  <c:v>7.2032236243034182</c:v>
                </c:pt>
                <c:pt idx="4">
                  <c:v>10.076532637079303</c:v>
                </c:pt>
                <c:pt idx="5">
                  <c:v>15.806779481714976</c:v>
                </c:pt>
                <c:pt idx="6">
                  <c:v>19.876950132644609</c:v>
                </c:pt>
                <c:pt idx="7">
                  <c:v>22.268445621472353</c:v>
                </c:pt>
                <c:pt idx="8">
                  <c:v>23.29570808002082</c:v>
                </c:pt>
                <c:pt idx="9">
                  <c:v>23.870395584837841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52-4622-B0E5-FFA23DA60420}"/>
            </c:ext>
          </c:extLst>
        </c:ser>
        <c:ser>
          <c:idx val="3"/>
          <c:order val="3"/>
          <c:tx>
            <c:v>Bingek-Walton (3V)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'008'!$H$4:$H$13</c:f>
              <c:numCache>
                <c:formatCode>General</c:formatCode>
                <c:ptCount val="10"/>
                <c:pt idx="0">
                  <c:v>209.476</c:v>
                </c:pt>
                <c:pt idx="1">
                  <c:v>399.00200000000001</c:v>
                </c:pt>
                <c:pt idx="2">
                  <c:v>588.529</c:v>
                </c:pt>
                <c:pt idx="3">
                  <c:v>778.05499999999995</c:v>
                </c:pt>
                <c:pt idx="4">
                  <c:v>1007.48</c:v>
                </c:pt>
                <c:pt idx="5">
                  <c:v>1486.28</c:v>
                </c:pt>
                <c:pt idx="6">
                  <c:v>1965.09</c:v>
                </c:pt>
                <c:pt idx="7">
                  <c:v>2493.77</c:v>
                </c:pt>
                <c:pt idx="8">
                  <c:v>3012.4700000000003</c:v>
                </c:pt>
                <c:pt idx="9">
                  <c:v>4000</c:v>
                </c:pt>
              </c:numCache>
            </c:numRef>
          </c:xVal>
          <c:yVal>
            <c:numRef>
              <c:f>'008'!$AD$5:$AD$14</c:f>
              <c:numCache>
                <c:formatCode>General</c:formatCode>
                <c:ptCount val="10"/>
                <c:pt idx="0">
                  <c:v>1.4220080846381129</c:v>
                </c:pt>
                <c:pt idx="1">
                  <c:v>3.0452620396094869</c:v>
                </c:pt>
                <c:pt idx="2">
                  <c:v>4.9862155559702339</c:v>
                </c:pt>
                <c:pt idx="3">
                  <c:v>7.1954777847982934</c:v>
                </c:pt>
                <c:pt idx="4">
                  <c:v>10.083185276943928</c:v>
                </c:pt>
                <c:pt idx="5">
                  <c:v>15.835426098197187</c:v>
                </c:pt>
                <c:pt idx="6">
                  <c:v>19.890720562950804</c:v>
                </c:pt>
                <c:pt idx="7">
                  <c:v>22.245144388651198</c:v>
                </c:pt>
                <c:pt idx="8">
                  <c:v>23.242968066231224</c:v>
                </c:pt>
                <c:pt idx="9">
                  <c:v>23.792387348523988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4F-4FB8-AD75-992EA5238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795440"/>
        <c:axId val="1363374832"/>
      </c:scatterChart>
      <c:valAx>
        <c:axId val="1216795440"/>
        <c:scaling>
          <c:orientation val="minMax"/>
          <c:max val="4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374832"/>
        <c:crosses val="autoZero"/>
        <c:crossBetween val="midCat"/>
      </c:valAx>
      <c:valAx>
        <c:axId val="136337483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79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'008'!$AG$4:$AG$23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  <c:pt idx="16">
                  <c:v>2000</c:v>
                </c:pt>
                <c:pt idx="17">
                  <c:v>3000</c:v>
                </c:pt>
                <c:pt idx="18">
                  <c:v>4000</c:v>
                </c:pt>
                <c:pt idx="19">
                  <c:v>5000</c:v>
                </c:pt>
              </c:numCache>
            </c:numRef>
          </c:xVal>
          <c:yVal>
            <c:numRef>
              <c:f>'008'!$AH$4:$AH$23</c:f>
              <c:numCache>
                <c:formatCode>General</c:formatCode>
                <c:ptCount val="20"/>
                <c:pt idx="0">
                  <c:v>0</c:v>
                </c:pt>
                <c:pt idx="1">
                  <c:v>5.9469989826649507E-2</c:v>
                </c:pt>
                <c:pt idx="2">
                  <c:v>0.18084402084746531</c:v>
                </c:pt>
                <c:pt idx="3">
                  <c:v>0.30550326443671977</c:v>
                </c:pt>
                <c:pt idx="4">
                  <c:v>0.43349372161726857</c:v>
                </c:pt>
                <c:pt idx="5">
                  <c:v>0.63182056770826267</c:v>
                </c:pt>
                <c:pt idx="6">
                  <c:v>1.3494055211360256</c:v>
                </c:pt>
                <c:pt idx="7">
                  <c:v>2.1565634759207799</c:v>
                </c:pt>
                <c:pt idx="8">
                  <c:v>3.054671654315571</c:v>
                </c:pt>
                <c:pt idx="9">
                  <c:v>4.0419863115574088</c:v>
                </c:pt>
                <c:pt idx="10">
                  <c:v>5.1130664836643032</c:v>
                </c:pt>
                <c:pt idx="11">
                  <c:v>6.2584280374449319</c:v>
                </c:pt>
                <c:pt idx="12">
                  <c:v>7.4645399455241552</c:v>
                </c:pt>
                <c:pt idx="13">
                  <c:v>8.7142399312651406</c:v>
                </c:pt>
                <c:pt idx="14">
                  <c:v>9.9875824782681946</c:v>
                </c:pt>
                <c:pt idx="15">
                  <c:v>15.979801321251154</c:v>
                </c:pt>
                <c:pt idx="16">
                  <c:v>20.107431047474712</c:v>
                </c:pt>
                <c:pt idx="17">
                  <c:v>23.22797949477658</c:v>
                </c:pt>
                <c:pt idx="18">
                  <c:v>23.792387348523988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9F-46DF-9515-71DFD2399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382719"/>
        <c:axId val="655763871"/>
      </c:scatterChart>
      <c:valAx>
        <c:axId val="75838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63871"/>
        <c:crosses val="autoZero"/>
        <c:crossBetween val="midCat"/>
      </c:valAx>
      <c:valAx>
        <c:axId val="6557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38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Scaled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'010'!$B$4:$B$13</c:f>
              <c:numCache>
                <c:formatCode>General</c:formatCode>
                <c:ptCount val="10"/>
                <c:pt idx="0">
                  <c:v>7.3003600000000004</c:v>
                </c:pt>
                <c:pt idx="1">
                  <c:v>199.56899999999999</c:v>
                </c:pt>
                <c:pt idx="2">
                  <c:v>505.452</c:v>
                </c:pt>
                <c:pt idx="3">
                  <c:v>793.85500000000002</c:v>
                </c:pt>
                <c:pt idx="4">
                  <c:v>1012.34</c:v>
                </c:pt>
                <c:pt idx="5">
                  <c:v>1222.0900000000001</c:v>
                </c:pt>
                <c:pt idx="6">
                  <c:v>1624.11</c:v>
                </c:pt>
                <c:pt idx="7">
                  <c:v>2008.64</c:v>
                </c:pt>
                <c:pt idx="8">
                  <c:v>2987.4700000000003</c:v>
                </c:pt>
                <c:pt idx="9">
                  <c:v>4211</c:v>
                </c:pt>
              </c:numCache>
            </c:numRef>
          </c:xVal>
          <c:yVal>
            <c:numRef>
              <c:f>'010'!$E$4:$E$13</c:f>
              <c:numCache>
                <c:formatCode>General</c:formatCode>
                <c:ptCount val="10"/>
                <c:pt idx="0">
                  <c:v>0</c:v>
                </c:pt>
                <c:pt idx="1">
                  <c:v>2.0693942354766275</c:v>
                </c:pt>
                <c:pt idx="2">
                  <c:v>4.7854814820935374</c:v>
                </c:pt>
                <c:pt idx="3">
                  <c:v>8.3536908772792344</c:v>
                </c:pt>
                <c:pt idx="4">
                  <c:v>11.229547675165618</c:v>
                </c:pt>
                <c:pt idx="5">
                  <c:v>13.892389779776449</c:v>
                </c:pt>
                <c:pt idx="6">
                  <c:v>17.087780805165885</c:v>
                </c:pt>
                <c:pt idx="7">
                  <c:v>18.63221655074685</c:v>
                </c:pt>
                <c:pt idx="8">
                  <c:v>20.176676671507273</c:v>
                </c:pt>
                <c:pt idx="9">
                  <c:v>20.389691364782824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F5-40FC-AE48-5309E4228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673296"/>
        <c:axId val="1376489408"/>
      </c:scatterChart>
      <c:scatterChart>
        <c:scatterStyle val="smoothMarker"/>
        <c:varyColors val="0"/>
        <c:ser>
          <c:idx val="1"/>
          <c:order val="1"/>
          <c:tx>
            <c:v>Toth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'010'!$H$4:$H$13</c:f>
              <c:numCache>
                <c:formatCode>General</c:formatCode>
                <c:ptCount val="10"/>
                <c:pt idx="0">
                  <c:v>7.3003600000000004</c:v>
                </c:pt>
                <c:pt idx="1">
                  <c:v>199.56899999999999</c:v>
                </c:pt>
                <c:pt idx="2">
                  <c:v>505.452</c:v>
                </c:pt>
                <c:pt idx="3">
                  <c:v>793.85500000000002</c:v>
                </c:pt>
                <c:pt idx="4">
                  <c:v>1012.34</c:v>
                </c:pt>
                <c:pt idx="5">
                  <c:v>1222.0900000000001</c:v>
                </c:pt>
                <c:pt idx="6">
                  <c:v>1624.11</c:v>
                </c:pt>
                <c:pt idx="7">
                  <c:v>2008.64</c:v>
                </c:pt>
                <c:pt idx="8">
                  <c:v>2987.4700000000003</c:v>
                </c:pt>
                <c:pt idx="9">
                  <c:v>4211</c:v>
                </c:pt>
              </c:numCache>
            </c:numRef>
          </c:xVal>
          <c:yVal>
            <c:numRef>
              <c:f>'010'!$K$4:$K$13</c:f>
              <c:numCache>
                <c:formatCode>General</c:formatCode>
                <c:ptCount val="10"/>
                <c:pt idx="0">
                  <c:v>9.3698158414072988E-2</c:v>
                </c:pt>
                <c:pt idx="1">
                  <c:v>2.5559962072019635</c:v>
                </c:pt>
                <c:pt idx="2">
                  <c:v>6.3667875602723383</c:v>
                </c:pt>
                <c:pt idx="3">
                  <c:v>9.668072239855416</c:v>
                </c:pt>
                <c:pt idx="4">
                  <c:v>11.883887704413883</c:v>
                </c:pt>
                <c:pt idx="5">
                  <c:v>13.743137560576438</c:v>
                </c:pt>
                <c:pt idx="6">
                  <c:v>16.575271648690411</c:v>
                </c:pt>
                <c:pt idx="7">
                  <c:v>18.507235056102584</c:v>
                </c:pt>
                <c:pt idx="8">
                  <c:v>21.235897993940309</c:v>
                </c:pt>
                <c:pt idx="9">
                  <c:v>22.602485021870319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F5-40FC-AE48-5309E4228BD6}"/>
            </c:ext>
          </c:extLst>
        </c:ser>
        <c:ser>
          <c:idx val="2"/>
          <c:order val="2"/>
          <c:tx>
            <c:v>Bingel-Walton fit (2V)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'010'!$H$4:$H$13</c:f>
              <c:numCache>
                <c:formatCode>General</c:formatCode>
                <c:ptCount val="10"/>
                <c:pt idx="0">
                  <c:v>7.3003600000000004</c:v>
                </c:pt>
                <c:pt idx="1">
                  <c:v>199.56899999999999</c:v>
                </c:pt>
                <c:pt idx="2">
                  <c:v>505.452</c:v>
                </c:pt>
                <c:pt idx="3">
                  <c:v>793.85500000000002</c:v>
                </c:pt>
                <c:pt idx="4">
                  <c:v>1012.34</c:v>
                </c:pt>
                <c:pt idx="5">
                  <c:v>1222.0900000000001</c:v>
                </c:pt>
                <c:pt idx="6">
                  <c:v>1624.11</c:v>
                </c:pt>
                <c:pt idx="7">
                  <c:v>2008.64</c:v>
                </c:pt>
                <c:pt idx="8">
                  <c:v>2987.4700000000003</c:v>
                </c:pt>
                <c:pt idx="9">
                  <c:v>4211</c:v>
                </c:pt>
              </c:numCache>
            </c:numRef>
          </c:xVal>
          <c:yVal>
            <c:numRef>
              <c:f>'010'!$U$4:$U$13</c:f>
              <c:numCache>
                <c:formatCode>General</c:formatCode>
                <c:ptCount val="10"/>
                <c:pt idx="0">
                  <c:v>5.1746875644767487E-2</c:v>
                </c:pt>
                <c:pt idx="1">
                  <c:v>1.6154870247927096</c:v>
                </c:pt>
                <c:pt idx="2">
                  <c:v>4.8793115907835167</c:v>
                </c:pt>
                <c:pt idx="3">
                  <c:v>8.5363122921519192</c:v>
                </c:pt>
                <c:pt idx="4">
                  <c:v>11.305275350915961</c:v>
                </c:pt>
                <c:pt idx="5">
                  <c:v>13.6803090335323</c:v>
                </c:pt>
                <c:pt idx="6">
                  <c:v>17.008647388610264</c:v>
                </c:pt>
                <c:pt idx="7">
                  <c:v>18.776515482035553</c:v>
                </c:pt>
                <c:pt idx="8">
                  <c:v>20.177825010887425</c:v>
                </c:pt>
                <c:pt idx="9">
                  <c:v>20.374021386076084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1F5-40FC-AE48-5309E4228BD6}"/>
            </c:ext>
          </c:extLst>
        </c:ser>
        <c:ser>
          <c:idx val="3"/>
          <c:order val="3"/>
          <c:tx>
            <c:v>Bingel-Walton fit (3V)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'010'!$H$4:$H$13</c:f>
              <c:numCache>
                <c:formatCode>General</c:formatCode>
                <c:ptCount val="10"/>
                <c:pt idx="0">
                  <c:v>7.3003600000000004</c:v>
                </c:pt>
                <c:pt idx="1">
                  <c:v>199.56899999999999</c:v>
                </c:pt>
                <c:pt idx="2">
                  <c:v>505.452</c:v>
                </c:pt>
                <c:pt idx="3">
                  <c:v>793.85500000000002</c:v>
                </c:pt>
                <c:pt idx="4">
                  <c:v>1012.34</c:v>
                </c:pt>
                <c:pt idx="5">
                  <c:v>1222.0900000000001</c:v>
                </c:pt>
                <c:pt idx="6">
                  <c:v>1624.11</c:v>
                </c:pt>
                <c:pt idx="7">
                  <c:v>2008.64</c:v>
                </c:pt>
                <c:pt idx="8">
                  <c:v>2987.4700000000003</c:v>
                </c:pt>
                <c:pt idx="9">
                  <c:v>4211</c:v>
                </c:pt>
              </c:numCache>
            </c:numRef>
          </c:xVal>
          <c:yVal>
            <c:numRef>
              <c:f>'010'!$AD$4:$AD$13</c:f>
              <c:numCache>
                <c:formatCode>General</c:formatCode>
                <c:ptCount val="10"/>
                <c:pt idx="0">
                  <c:v>0</c:v>
                </c:pt>
                <c:pt idx="1">
                  <c:v>1.6140807704515632</c:v>
                </c:pt>
                <c:pt idx="2">
                  <c:v>4.8774741925968792</c:v>
                </c:pt>
                <c:pt idx="3">
                  <c:v>8.5359681847001667</c:v>
                </c:pt>
                <c:pt idx="4">
                  <c:v>11.306327735305537</c:v>
                </c:pt>
                <c:pt idx="5">
                  <c:v>13.682056156367739</c:v>
                </c:pt>
                <c:pt idx="6">
                  <c:v>17.009219174719529</c:v>
                </c:pt>
                <c:pt idx="7">
                  <c:v>18.774395405311481</c:v>
                </c:pt>
                <c:pt idx="8">
                  <c:v>20.171060279890689</c:v>
                </c:pt>
                <c:pt idx="9">
                  <c:v>20.365999658770235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FA-47E2-9DF7-F0F96FB4C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673296"/>
        <c:axId val="1376489408"/>
      </c:scatterChart>
      <c:valAx>
        <c:axId val="136567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489408"/>
        <c:crosses val="autoZero"/>
        <c:crossBetween val="midCat"/>
      </c:valAx>
      <c:valAx>
        <c:axId val="137648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67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Scaled Experimental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'010b'!$B$4:$B$12</c:f>
              <c:numCache>
                <c:formatCode>General</c:formatCode>
                <c:ptCount val="9"/>
                <c:pt idx="0">
                  <c:v>42.258299999999998</c:v>
                </c:pt>
                <c:pt idx="1">
                  <c:v>610.32600000000002</c:v>
                </c:pt>
                <c:pt idx="2">
                  <c:v>994.86299999999994</c:v>
                </c:pt>
                <c:pt idx="3">
                  <c:v>1187.1299999999999</c:v>
                </c:pt>
                <c:pt idx="4">
                  <c:v>1388.1399999999999</c:v>
                </c:pt>
                <c:pt idx="5">
                  <c:v>1597.8899999999999</c:v>
                </c:pt>
                <c:pt idx="6">
                  <c:v>2017.38</c:v>
                </c:pt>
                <c:pt idx="7">
                  <c:v>3004.95</c:v>
                </c:pt>
                <c:pt idx="8">
                  <c:v>4202.2599999999993</c:v>
                </c:pt>
              </c:numCache>
            </c:numRef>
          </c:xVal>
          <c:yVal>
            <c:numRef>
              <c:f>'010b'!$E$4:$E$12</c:f>
              <c:numCache>
                <c:formatCode>General</c:formatCode>
                <c:ptCount val="9"/>
                <c:pt idx="0">
                  <c:v>0.68322269401676028</c:v>
                </c:pt>
                <c:pt idx="1">
                  <c:v>6.2149371086167537</c:v>
                </c:pt>
                <c:pt idx="2">
                  <c:v>11.573775557831128</c:v>
                </c:pt>
                <c:pt idx="3">
                  <c:v>14.166783172890494</c:v>
                </c:pt>
                <c:pt idx="4">
                  <c:v>16.010661604612171</c:v>
                </c:pt>
                <c:pt idx="5">
                  <c:v>17.739342139033411</c:v>
                </c:pt>
                <c:pt idx="6">
                  <c:v>19.41037097851445</c:v>
                </c:pt>
                <c:pt idx="7">
                  <c:v>21.02380086934528</c:v>
                </c:pt>
                <c:pt idx="8">
                  <c:v>21.369526426971529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45-42A1-B8F4-72A48C0CC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485408"/>
        <c:axId val="1469244240"/>
      </c:scatterChart>
      <c:scatterChart>
        <c:scatterStyle val="smoothMarker"/>
        <c:varyColors val="0"/>
        <c:ser>
          <c:idx val="1"/>
          <c:order val="1"/>
          <c:tx>
            <c:v>Toth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'010b'!$B$4:$B$12</c:f>
              <c:numCache>
                <c:formatCode>General</c:formatCode>
                <c:ptCount val="9"/>
                <c:pt idx="0">
                  <c:v>42.258299999999998</c:v>
                </c:pt>
                <c:pt idx="1">
                  <c:v>610.32600000000002</c:v>
                </c:pt>
                <c:pt idx="2">
                  <c:v>994.86299999999994</c:v>
                </c:pt>
                <c:pt idx="3">
                  <c:v>1187.1299999999999</c:v>
                </c:pt>
                <c:pt idx="4">
                  <c:v>1388.1399999999999</c:v>
                </c:pt>
                <c:pt idx="5">
                  <c:v>1597.8899999999999</c:v>
                </c:pt>
                <c:pt idx="6">
                  <c:v>2017.38</c:v>
                </c:pt>
                <c:pt idx="7">
                  <c:v>3004.95</c:v>
                </c:pt>
                <c:pt idx="8">
                  <c:v>4202.2599999999993</c:v>
                </c:pt>
              </c:numCache>
            </c:numRef>
          </c:xVal>
          <c:yVal>
            <c:numRef>
              <c:f>'010b'!$K$5:$K$13</c:f>
              <c:numCache>
                <c:formatCode>General</c:formatCode>
                <c:ptCount val="9"/>
                <c:pt idx="0">
                  <c:v>0.59410735837130846</c:v>
                </c:pt>
                <c:pt idx="1">
                  <c:v>8.1310564101355087</c:v>
                </c:pt>
                <c:pt idx="2">
                  <c:v>12.209958280109301</c:v>
                </c:pt>
                <c:pt idx="3">
                  <c:v>13.862969459262299</c:v>
                </c:pt>
                <c:pt idx="4">
                  <c:v>15.332928281403039</c:v>
                </c:pt>
                <c:pt idx="5">
                  <c:v>16.616513811203916</c:v>
                </c:pt>
                <c:pt idx="6">
                  <c:v>18.563668264447692</c:v>
                </c:pt>
                <c:pt idx="7">
                  <c:v>21.108310900034851</c:v>
                </c:pt>
                <c:pt idx="8">
                  <c:v>22.440468200550615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45-42A1-B8F4-72A48C0CCE42}"/>
            </c:ext>
          </c:extLst>
        </c:ser>
        <c:ser>
          <c:idx val="2"/>
          <c:order val="2"/>
          <c:tx>
            <c:v>Bingel-Walton Fit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'010b'!$B$4:$B$12</c:f>
              <c:numCache>
                <c:formatCode>General</c:formatCode>
                <c:ptCount val="9"/>
                <c:pt idx="0">
                  <c:v>42.258299999999998</c:v>
                </c:pt>
                <c:pt idx="1">
                  <c:v>610.32600000000002</c:v>
                </c:pt>
                <c:pt idx="2">
                  <c:v>994.86299999999994</c:v>
                </c:pt>
                <c:pt idx="3">
                  <c:v>1187.1299999999999</c:v>
                </c:pt>
                <c:pt idx="4">
                  <c:v>1388.1399999999999</c:v>
                </c:pt>
                <c:pt idx="5">
                  <c:v>1597.8899999999999</c:v>
                </c:pt>
                <c:pt idx="6">
                  <c:v>2017.38</c:v>
                </c:pt>
                <c:pt idx="7">
                  <c:v>3004.95</c:v>
                </c:pt>
                <c:pt idx="8">
                  <c:v>4202.2599999999993</c:v>
                </c:pt>
              </c:numCache>
            </c:numRef>
          </c:xVal>
          <c:yVal>
            <c:numRef>
              <c:f>'010b'!$U$4:$U$12</c:f>
              <c:numCache>
                <c:formatCode>General</c:formatCode>
                <c:ptCount val="9"/>
                <c:pt idx="0">
                  <c:v>0.31553276586566964</c:v>
                </c:pt>
                <c:pt idx="1">
                  <c:v>6.4125332626104043</c:v>
                </c:pt>
                <c:pt idx="2">
                  <c:v>11.591744240842026</c:v>
                </c:pt>
                <c:pt idx="3">
                  <c:v>13.937874386762386</c:v>
                </c:pt>
                <c:pt idx="4">
                  <c:v>15.998382672382197</c:v>
                </c:pt>
                <c:pt idx="5">
                  <c:v>17.667526040070413</c:v>
                </c:pt>
                <c:pt idx="6">
                  <c:v>19.728953635603872</c:v>
                </c:pt>
                <c:pt idx="7">
                  <c:v>21.162787152815984</c:v>
                </c:pt>
                <c:pt idx="8">
                  <c:v>21.35378041852082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45-42A1-B8F4-72A48C0CC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485408"/>
        <c:axId val="1469244240"/>
      </c:scatterChart>
      <c:valAx>
        <c:axId val="136848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244240"/>
        <c:crosses val="autoZero"/>
        <c:crossBetween val="midCat"/>
      </c:valAx>
      <c:valAx>
        <c:axId val="146924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48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Scaled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'014'!$A$4:$A$14</c:f>
              <c:numCache>
                <c:formatCode>General</c:formatCode>
                <c:ptCount val="11"/>
                <c:pt idx="0">
                  <c:v>0</c:v>
                </c:pt>
                <c:pt idx="1">
                  <c:v>69</c:v>
                </c:pt>
                <c:pt idx="2">
                  <c:v>89</c:v>
                </c:pt>
                <c:pt idx="3">
                  <c:v>121</c:v>
                </c:pt>
                <c:pt idx="4">
                  <c:v>180</c:v>
                </c:pt>
                <c:pt idx="5">
                  <c:v>268</c:v>
                </c:pt>
                <c:pt idx="6">
                  <c:v>318</c:v>
                </c:pt>
                <c:pt idx="7">
                  <c:v>541</c:v>
                </c:pt>
                <c:pt idx="8">
                  <c:v>870</c:v>
                </c:pt>
                <c:pt idx="9">
                  <c:v>1122</c:v>
                </c:pt>
                <c:pt idx="10">
                  <c:v>1581</c:v>
                </c:pt>
              </c:numCache>
            </c:numRef>
          </c:xVal>
          <c:yVal>
            <c:numRef>
              <c:f>'014'!$C$4:$C$14</c:f>
              <c:numCache>
                <c:formatCode>General</c:formatCode>
                <c:ptCount val="11"/>
                <c:pt idx="0">
                  <c:v>0</c:v>
                </c:pt>
                <c:pt idx="1">
                  <c:v>0.66216238006933803</c:v>
                </c:pt>
                <c:pt idx="2">
                  <c:v>0.8676610497460292</c:v>
                </c:pt>
                <c:pt idx="3">
                  <c:v>1.1074094977021687</c:v>
                </c:pt>
                <c:pt idx="4">
                  <c:v>1.6896557284527935</c:v>
                </c:pt>
                <c:pt idx="5">
                  <c:v>2.523066999919374</c:v>
                </c:pt>
                <c:pt idx="6">
                  <c:v>2.9683141175522052</c:v>
                </c:pt>
                <c:pt idx="7">
                  <c:v>5.3087156333145211</c:v>
                </c:pt>
                <c:pt idx="8">
                  <c:v>9.7726034024026447</c:v>
                </c:pt>
                <c:pt idx="9">
                  <c:v>13.779827461098122</c:v>
                </c:pt>
                <c:pt idx="10">
                  <c:v>19.316874949608966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7F-479A-9057-CB7E9A63D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523120"/>
        <c:axId val="1469260464"/>
      </c:scatterChart>
      <c:scatterChart>
        <c:scatterStyle val="smoothMarker"/>
        <c:varyColors val="0"/>
        <c:ser>
          <c:idx val="1"/>
          <c:order val="1"/>
          <c:tx>
            <c:v>Toth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'014'!$A$4:$A$14</c:f>
              <c:numCache>
                <c:formatCode>General</c:formatCode>
                <c:ptCount val="11"/>
                <c:pt idx="0">
                  <c:v>0</c:v>
                </c:pt>
                <c:pt idx="1">
                  <c:v>69</c:v>
                </c:pt>
                <c:pt idx="2">
                  <c:v>89</c:v>
                </c:pt>
                <c:pt idx="3">
                  <c:v>121</c:v>
                </c:pt>
                <c:pt idx="4">
                  <c:v>180</c:v>
                </c:pt>
                <c:pt idx="5">
                  <c:v>268</c:v>
                </c:pt>
                <c:pt idx="6">
                  <c:v>318</c:v>
                </c:pt>
                <c:pt idx="7">
                  <c:v>541</c:v>
                </c:pt>
                <c:pt idx="8">
                  <c:v>870</c:v>
                </c:pt>
                <c:pt idx="9">
                  <c:v>1122</c:v>
                </c:pt>
                <c:pt idx="10">
                  <c:v>1581</c:v>
                </c:pt>
              </c:numCache>
            </c:numRef>
          </c:xVal>
          <c:yVal>
            <c:numRef>
              <c:f>'014'!$K$4:$K$14</c:f>
              <c:numCache>
                <c:formatCode>General</c:formatCode>
                <c:ptCount val="11"/>
                <c:pt idx="0">
                  <c:v>0</c:v>
                </c:pt>
                <c:pt idx="1">
                  <c:v>0.81581255021100763</c:v>
                </c:pt>
                <c:pt idx="2">
                  <c:v>1.0522483707466486</c:v>
                </c:pt>
                <c:pt idx="3">
                  <c:v>1.4305185770819493</c:v>
                </c:pt>
                <c:pt idx="4">
                  <c:v>2.1278704008709046</c:v>
                </c:pt>
                <c:pt idx="5">
                  <c:v>3.1677957032790376</c:v>
                </c:pt>
                <c:pt idx="6">
                  <c:v>3.7585634856473096</c:v>
                </c:pt>
                <c:pt idx="7">
                  <c:v>6.392556717034652</c:v>
                </c:pt>
                <c:pt idx="8">
                  <c:v>10.276232943362009</c:v>
                </c:pt>
                <c:pt idx="9">
                  <c:v>13.249162601554419</c:v>
                </c:pt>
                <c:pt idx="10">
                  <c:v>18.660303376746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7F-479A-9057-CB7E9A63D8E3}"/>
            </c:ext>
          </c:extLst>
        </c:ser>
        <c:ser>
          <c:idx val="2"/>
          <c:order val="2"/>
          <c:tx>
            <c:v>Bingel-Walton Fit (2V)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'014'!$A$4:$A$14</c:f>
              <c:numCache>
                <c:formatCode>General</c:formatCode>
                <c:ptCount val="11"/>
                <c:pt idx="0">
                  <c:v>0</c:v>
                </c:pt>
                <c:pt idx="1">
                  <c:v>69</c:v>
                </c:pt>
                <c:pt idx="2">
                  <c:v>89</c:v>
                </c:pt>
                <c:pt idx="3">
                  <c:v>121</c:v>
                </c:pt>
                <c:pt idx="4">
                  <c:v>180</c:v>
                </c:pt>
                <c:pt idx="5">
                  <c:v>268</c:v>
                </c:pt>
                <c:pt idx="6">
                  <c:v>318</c:v>
                </c:pt>
                <c:pt idx="7">
                  <c:v>541</c:v>
                </c:pt>
                <c:pt idx="8">
                  <c:v>870</c:v>
                </c:pt>
                <c:pt idx="9">
                  <c:v>1122</c:v>
                </c:pt>
                <c:pt idx="10">
                  <c:v>1581</c:v>
                </c:pt>
              </c:numCache>
            </c:numRef>
          </c:xVal>
          <c:yVal>
            <c:numRef>
              <c:f>'014'!$U$4:$U$14</c:f>
              <c:numCache>
                <c:formatCode>General</c:formatCode>
                <c:ptCount val="11"/>
                <c:pt idx="0">
                  <c:v>0</c:v>
                </c:pt>
                <c:pt idx="1">
                  <c:v>0.50161353067632442</c:v>
                </c:pt>
                <c:pt idx="2">
                  <c:v>0.65855532660556393</c:v>
                </c:pt>
                <c:pt idx="3">
                  <c:v>0.9207551795376131</c:v>
                </c:pt>
                <c:pt idx="4">
                  <c:v>1.4405984536597967</c:v>
                </c:pt>
                <c:pt idx="5">
                  <c:v>2.3046817205070229</c:v>
                </c:pt>
                <c:pt idx="6">
                  <c:v>2.8424198385734694</c:v>
                </c:pt>
                <c:pt idx="7">
                  <c:v>5.6044867277023176</c:v>
                </c:pt>
                <c:pt idx="8">
                  <c:v>10.199288883958113</c:v>
                </c:pt>
                <c:pt idx="9">
                  <c:v>13.34937000759261</c:v>
                </c:pt>
                <c:pt idx="10">
                  <c:v>17.024718048496204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7F-479A-9057-CB7E9A63D8E3}"/>
            </c:ext>
          </c:extLst>
        </c:ser>
        <c:ser>
          <c:idx val="3"/>
          <c:order val="3"/>
          <c:tx>
            <c:v>Bingel-Walton Fit (2V)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'014'!$H$4:$H$14</c:f>
              <c:numCache>
                <c:formatCode>General</c:formatCode>
                <c:ptCount val="11"/>
                <c:pt idx="0">
                  <c:v>0</c:v>
                </c:pt>
                <c:pt idx="1">
                  <c:v>69</c:v>
                </c:pt>
                <c:pt idx="2">
                  <c:v>89</c:v>
                </c:pt>
                <c:pt idx="3">
                  <c:v>121</c:v>
                </c:pt>
                <c:pt idx="4">
                  <c:v>180</c:v>
                </c:pt>
                <c:pt idx="5">
                  <c:v>268</c:v>
                </c:pt>
                <c:pt idx="6">
                  <c:v>318</c:v>
                </c:pt>
                <c:pt idx="7">
                  <c:v>541</c:v>
                </c:pt>
                <c:pt idx="8">
                  <c:v>870</c:v>
                </c:pt>
                <c:pt idx="9">
                  <c:v>1122</c:v>
                </c:pt>
                <c:pt idx="10">
                  <c:v>1581</c:v>
                </c:pt>
              </c:numCache>
            </c:numRef>
          </c:xVal>
          <c:yVal>
            <c:numRef>
              <c:f>'014'!$AD$4:$AD$14</c:f>
              <c:numCache>
                <c:formatCode>General</c:formatCode>
                <c:ptCount val="11"/>
                <c:pt idx="0">
                  <c:v>0</c:v>
                </c:pt>
                <c:pt idx="1">
                  <c:v>0.55661629199073848</c:v>
                </c:pt>
                <c:pt idx="2">
                  <c:v>0.72602743259326541</c:v>
                </c:pt>
                <c:pt idx="3">
                  <c:v>1.0047264908908855</c:v>
                </c:pt>
                <c:pt idx="4">
                  <c:v>1.5434161911270998</c:v>
                </c:pt>
                <c:pt idx="5">
                  <c:v>2.4069752086856178</c:v>
                </c:pt>
                <c:pt idx="6">
                  <c:v>2.9294782958803882</c:v>
                </c:pt>
                <c:pt idx="7">
                  <c:v>5.5255118690083425</c:v>
                </c:pt>
                <c:pt idx="8">
                  <c:v>9.9651345236570616</c:v>
                </c:pt>
                <c:pt idx="9">
                  <c:v>13.538196285786251</c:v>
                </c:pt>
                <c:pt idx="10">
                  <c:v>19.37045345113896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38-4CF6-8425-0A003625B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523120"/>
        <c:axId val="1469260464"/>
      </c:scatterChart>
      <c:valAx>
        <c:axId val="1468523120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260464"/>
        <c:crosses val="autoZero"/>
        <c:crossBetween val="midCat"/>
      </c:valAx>
      <c:valAx>
        <c:axId val="1469260464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52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Scaled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'015'!$B$4:$B$11</c:f>
              <c:numCache>
                <c:formatCode>General</c:formatCode>
                <c:ptCount val="8"/>
                <c:pt idx="0">
                  <c:v>1.49</c:v>
                </c:pt>
                <c:pt idx="1">
                  <c:v>19.849999999999998</c:v>
                </c:pt>
                <c:pt idx="2">
                  <c:v>98.83</c:v>
                </c:pt>
                <c:pt idx="3">
                  <c:v>199.23</c:v>
                </c:pt>
                <c:pt idx="4">
                  <c:v>400.14</c:v>
                </c:pt>
                <c:pt idx="5">
                  <c:v>600.09</c:v>
                </c:pt>
                <c:pt idx="6">
                  <c:v>799.56000000000006</c:v>
                </c:pt>
                <c:pt idx="7">
                  <c:v>986.61</c:v>
                </c:pt>
              </c:numCache>
            </c:numRef>
          </c:xVal>
          <c:yVal>
            <c:numRef>
              <c:f>'015'!$E$4:$E$11</c:f>
              <c:numCache>
                <c:formatCode>General</c:formatCode>
                <c:ptCount val="8"/>
                <c:pt idx="0">
                  <c:v>0.29537949166607436</c:v>
                </c:pt>
                <c:pt idx="1">
                  <c:v>2.5405171729562785</c:v>
                </c:pt>
                <c:pt idx="2">
                  <c:v>9.058304411092946</c:v>
                </c:pt>
                <c:pt idx="3">
                  <c:v>13.742963988503675</c:v>
                </c:pt>
                <c:pt idx="4">
                  <c:v>18.345010274611521</c:v>
                </c:pt>
                <c:pt idx="5">
                  <c:v>20.681424021995959</c:v>
                </c:pt>
                <c:pt idx="6">
                  <c:v>22.190648420401374</c:v>
                </c:pt>
                <c:pt idx="7">
                  <c:v>23.109113835474641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69-4BAE-919F-8BC59DE1D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584784"/>
        <c:axId val="1469304976"/>
      </c:scatterChart>
      <c:scatterChart>
        <c:scatterStyle val="smoothMarker"/>
        <c:varyColors val="0"/>
        <c:ser>
          <c:idx val="1"/>
          <c:order val="1"/>
          <c:tx>
            <c:v>Toth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'015'!$B$4:$B$11</c:f>
              <c:numCache>
                <c:formatCode>General</c:formatCode>
                <c:ptCount val="8"/>
                <c:pt idx="0">
                  <c:v>1.49</c:v>
                </c:pt>
                <c:pt idx="1">
                  <c:v>19.849999999999998</c:v>
                </c:pt>
                <c:pt idx="2">
                  <c:v>98.83</c:v>
                </c:pt>
                <c:pt idx="3">
                  <c:v>199.23</c:v>
                </c:pt>
                <c:pt idx="4">
                  <c:v>400.14</c:v>
                </c:pt>
                <c:pt idx="5">
                  <c:v>600.09</c:v>
                </c:pt>
                <c:pt idx="6">
                  <c:v>799.56000000000006</c:v>
                </c:pt>
                <c:pt idx="7">
                  <c:v>986.61</c:v>
                </c:pt>
              </c:numCache>
            </c:numRef>
          </c:xVal>
          <c:yVal>
            <c:numRef>
              <c:f>'015'!$K$4:$K$11</c:f>
              <c:numCache>
                <c:formatCode>General</c:formatCode>
                <c:ptCount val="8"/>
                <c:pt idx="0">
                  <c:v>0.17944978563716493</c:v>
                </c:pt>
                <c:pt idx="1">
                  <c:v>2.2753393367104957</c:v>
                </c:pt>
                <c:pt idx="2">
                  <c:v>8.92567976363231</c:v>
                </c:pt>
                <c:pt idx="3">
                  <c:v>13.813249554744658</c:v>
                </c:pt>
                <c:pt idx="4">
                  <c:v>18.591984357055775</c:v>
                </c:pt>
                <c:pt idx="5">
                  <c:v>20.83836758934763</c:v>
                </c:pt>
                <c:pt idx="6">
                  <c:v>22.117154869123347</c:v>
                </c:pt>
                <c:pt idx="7">
                  <c:v>22.892687327719528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69-4BAE-919F-8BC59DE1D3CF}"/>
            </c:ext>
          </c:extLst>
        </c:ser>
        <c:ser>
          <c:idx val="2"/>
          <c:order val="2"/>
          <c:tx>
            <c:v>Bingel-Walton Fit (2V)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'015'!$B$4:$B$11</c:f>
              <c:numCache>
                <c:formatCode>General</c:formatCode>
                <c:ptCount val="8"/>
                <c:pt idx="0">
                  <c:v>1.49</c:v>
                </c:pt>
                <c:pt idx="1">
                  <c:v>19.849999999999998</c:v>
                </c:pt>
                <c:pt idx="2">
                  <c:v>98.83</c:v>
                </c:pt>
                <c:pt idx="3">
                  <c:v>199.23</c:v>
                </c:pt>
                <c:pt idx="4">
                  <c:v>400.14</c:v>
                </c:pt>
                <c:pt idx="5">
                  <c:v>600.09</c:v>
                </c:pt>
                <c:pt idx="6">
                  <c:v>799.56000000000006</c:v>
                </c:pt>
                <c:pt idx="7">
                  <c:v>986.61</c:v>
                </c:pt>
              </c:numCache>
            </c:numRef>
          </c:xVal>
          <c:yVal>
            <c:numRef>
              <c:f>'015'!$U$4:$U$11</c:f>
              <c:numCache>
                <c:formatCode>General</c:formatCode>
                <c:ptCount val="8"/>
                <c:pt idx="0">
                  <c:v>0.15108358013278564</c:v>
                </c:pt>
                <c:pt idx="1">
                  <c:v>1.9336672613515309</c:v>
                </c:pt>
                <c:pt idx="2">
                  <c:v>8.152736501415804</c:v>
                </c:pt>
                <c:pt idx="3">
                  <c:v>13.496195680441064</c:v>
                </c:pt>
                <c:pt idx="4">
                  <c:v>19.140114487440094</c:v>
                </c:pt>
                <c:pt idx="5">
                  <c:v>21.463498083539402</c:v>
                </c:pt>
                <c:pt idx="6">
                  <c:v>22.425378645672115</c:v>
                </c:pt>
                <c:pt idx="7">
                  <c:v>22.809062467969195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E69-4BAE-919F-8BC59DE1D3CF}"/>
            </c:ext>
          </c:extLst>
        </c:ser>
        <c:ser>
          <c:idx val="3"/>
          <c:order val="3"/>
          <c:tx>
            <c:v>Bingel-Walton Fit (3V)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'015'!$B$4:$B$11</c:f>
              <c:numCache>
                <c:formatCode>General</c:formatCode>
                <c:ptCount val="8"/>
                <c:pt idx="0">
                  <c:v>1.49</c:v>
                </c:pt>
                <c:pt idx="1">
                  <c:v>19.849999999999998</c:v>
                </c:pt>
                <c:pt idx="2">
                  <c:v>98.83</c:v>
                </c:pt>
                <c:pt idx="3">
                  <c:v>199.23</c:v>
                </c:pt>
                <c:pt idx="4">
                  <c:v>400.14</c:v>
                </c:pt>
                <c:pt idx="5">
                  <c:v>600.09</c:v>
                </c:pt>
                <c:pt idx="6">
                  <c:v>799.56000000000006</c:v>
                </c:pt>
                <c:pt idx="7">
                  <c:v>986.61</c:v>
                </c:pt>
              </c:numCache>
            </c:numRef>
          </c:xVal>
          <c:yVal>
            <c:numRef>
              <c:f>'015'!$AD$5:$AD$12</c:f>
              <c:numCache>
                <c:formatCode>General</c:formatCode>
                <c:ptCount val="8"/>
                <c:pt idx="0">
                  <c:v>0.15660006803631724</c:v>
                </c:pt>
                <c:pt idx="1">
                  <c:v>1.9995300504479114</c:v>
                </c:pt>
                <c:pt idx="2">
                  <c:v>8.3513827805877465</c:v>
                </c:pt>
                <c:pt idx="3">
                  <c:v>13.684409460356973</c:v>
                </c:pt>
                <c:pt idx="4">
                  <c:v>19.116012085047711</c:v>
                </c:pt>
                <c:pt idx="5">
                  <c:v>21.238101905938187</c:v>
                </c:pt>
                <c:pt idx="6">
                  <c:v>22.072107555007609</c:v>
                </c:pt>
                <c:pt idx="7">
                  <c:v>22.388314748787234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64-4376-BDBC-04ACCB156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584784"/>
        <c:axId val="1469304976"/>
      </c:scatterChart>
      <c:valAx>
        <c:axId val="163858478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304976"/>
        <c:crosses val="autoZero"/>
        <c:crossBetween val="midCat"/>
      </c:valAx>
      <c:valAx>
        <c:axId val="14693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584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Scaled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'020'!$B$4:$B$23</c:f>
              <c:numCache>
                <c:formatCode>General</c:formatCode>
                <c:ptCount val="20"/>
                <c:pt idx="0">
                  <c:v>1.552</c:v>
                </c:pt>
                <c:pt idx="1">
                  <c:v>5.7789999999999999</c:v>
                </c:pt>
                <c:pt idx="2">
                  <c:v>10.607999999999999</c:v>
                </c:pt>
                <c:pt idx="3">
                  <c:v>15.784000000000001</c:v>
                </c:pt>
                <c:pt idx="4">
                  <c:v>20.785999999999998</c:v>
                </c:pt>
                <c:pt idx="5">
                  <c:v>25.874999999999996</c:v>
                </c:pt>
                <c:pt idx="6">
                  <c:v>30.703999999999997</c:v>
                </c:pt>
                <c:pt idx="7">
                  <c:v>35.792999999999999</c:v>
                </c:pt>
                <c:pt idx="8">
                  <c:v>40.709000000000003</c:v>
                </c:pt>
                <c:pt idx="9">
                  <c:v>45.884</c:v>
                </c:pt>
                <c:pt idx="10">
                  <c:v>50.971999999999994</c:v>
                </c:pt>
                <c:pt idx="11">
                  <c:v>55.801999999999992</c:v>
                </c:pt>
                <c:pt idx="12">
                  <c:v>60.718000000000004</c:v>
                </c:pt>
                <c:pt idx="13">
                  <c:v>65.807000000000002</c:v>
                </c:pt>
                <c:pt idx="14">
                  <c:v>70.722999999999999</c:v>
                </c:pt>
                <c:pt idx="15">
                  <c:v>75.811999999999998</c:v>
                </c:pt>
                <c:pt idx="16">
                  <c:v>81.245000000000005</c:v>
                </c:pt>
                <c:pt idx="17">
                  <c:v>85.643999999999991</c:v>
                </c:pt>
                <c:pt idx="18">
                  <c:v>90.56</c:v>
                </c:pt>
                <c:pt idx="19">
                  <c:v>96.167000000000002</c:v>
                </c:pt>
              </c:numCache>
            </c:numRef>
          </c:xVal>
          <c:yVal>
            <c:numRef>
              <c:f>'020'!$D$4:$D$23</c:f>
              <c:numCache>
                <c:formatCode>General</c:formatCode>
                <c:ptCount val="20"/>
                <c:pt idx="0">
                  <c:v>2.2254447761194025E-2</c:v>
                </c:pt>
                <c:pt idx="1">
                  <c:v>4.9221850746268662E-2</c:v>
                </c:pt>
                <c:pt idx="2">
                  <c:v>9.1057253731343268E-2</c:v>
                </c:pt>
                <c:pt idx="3">
                  <c:v>0.12789438805970149</c:v>
                </c:pt>
                <c:pt idx="4">
                  <c:v>0.17717964179104476</c:v>
                </c:pt>
                <c:pt idx="5">
                  <c:v>0.21153349253731341</c:v>
                </c:pt>
                <c:pt idx="6">
                  <c:v>0.26333373134328358</c:v>
                </c:pt>
                <c:pt idx="7">
                  <c:v>0.31261898507462682</c:v>
                </c:pt>
                <c:pt idx="8">
                  <c:v>0.35445438805970148</c:v>
                </c:pt>
                <c:pt idx="9">
                  <c:v>0.39626865671641781</c:v>
                </c:pt>
                <c:pt idx="10">
                  <c:v>0.44306005970149248</c:v>
                </c:pt>
                <c:pt idx="11">
                  <c:v>0.47743504477611937</c:v>
                </c:pt>
                <c:pt idx="12">
                  <c:v>0.52424758208955213</c:v>
                </c:pt>
                <c:pt idx="13">
                  <c:v>0.56357856716417898</c:v>
                </c:pt>
                <c:pt idx="14">
                  <c:v>0.60541397014925369</c:v>
                </c:pt>
                <c:pt idx="15">
                  <c:v>0.64971152238805974</c:v>
                </c:pt>
                <c:pt idx="16">
                  <c:v>0.69896507462686552</c:v>
                </c:pt>
                <c:pt idx="17">
                  <c:v>0.73338232835820882</c:v>
                </c:pt>
                <c:pt idx="18">
                  <c:v>0.77273444776119404</c:v>
                </c:pt>
                <c:pt idx="19">
                  <c:v>0.81449588059701483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71-4923-AC23-7AD8E0832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82815"/>
        <c:axId val="1469297072"/>
      </c:scatterChart>
      <c:scatterChart>
        <c:scatterStyle val="smoothMarker"/>
        <c:varyColors val="0"/>
        <c:ser>
          <c:idx val="1"/>
          <c:order val="1"/>
          <c:tx>
            <c:v>Toth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'020'!$B$4:$B$23</c:f>
              <c:numCache>
                <c:formatCode>General</c:formatCode>
                <c:ptCount val="20"/>
                <c:pt idx="0">
                  <c:v>1.552</c:v>
                </c:pt>
                <c:pt idx="1">
                  <c:v>5.7789999999999999</c:v>
                </c:pt>
                <c:pt idx="2">
                  <c:v>10.607999999999999</c:v>
                </c:pt>
                <c:pt idx="3">
                  <c:v>15.784000000000001</c:v>
                </c:pt>
                <c:pt idx="4">
                  <c:v>20.785999999999998</c:v>
                </c:pt>
                <c:pt idx="5">
                  <c:v>25.874999999999996</c:v>
                </c:pt>
                <c:pt idx="6">
                  <c:v>30.703999999999997</c:v>
                </c:pt>
                <c:pt idx="7">
                  <c:v>35.792999999999999</c:v>
                </c:pt>
                <c:pt idx="8">
                  <c:v>40.709000000000003</c:v>
                </c:pt>
                <c:pt idx="9">
                  <c:v>45.884</c:v>
                </c:pt>
                <c:pt idx="10">
                  <c:v>50.971999999999994</c:v>
                </c:pt>
                <c:pt idx="11">
                  <c:v>55.801999999999992</c:v>
                </c:pt>
                <c:pt idx="12">
                  <c:v>60.718000000000004</c:v>
                </c:pt>
                <c:pt idx="13">
                  <c:v>65.807000000000002</c:v>
                </c:pt>
                <c:pt idx="14">
                  <c:v>70.722999999999999</c:v>
                </c:pt>
                <c:pt idx="15">
                  <c:v>75.811999999999998</c:v>
                </c:pt>
                <c:pt idx="16">
                  <c:v>81.245000000000005</c:v>
                </c:pt>
                <c:pt idx="17">
                  <c:v>85.643999999999991</c:v>
                </c:pt>
                <c:pt idx="18">
                  <c:v>90.56</c:v>
                </c:pt>
                <c:pt idx="19">
                  <c:v>96.167000000000002</c:v>
                </c:pt>
              </c:numCache>
            </c:numRef>
          </c:xVal>
          <c:yVal>
            <c:numRef>
              <c:f>'020'!$K$4:$K$26</c:f>
              <c:numCache>
                <c:formatCode>General</c:formatCode>
                <c:ptCount val="23"/>
                <c:pt idx="0">
                  <c:v>1.3595935541964544E-2</c:v>
                </c:pt>
                <c:pt idx="1">
                  <c:v>5.0563907061647206E-2</c:v>
                </c:pt>
                <c:pt idx="2">
                  <c:v>9.2682336360199652E-2</c:v>
                </c:pt>
                <c:pt idx="3">
                  <c:v>0.13768905653815425</c:v>
                </c:pt>
                <c:pt idx="4">
                  <c:v>0.18104543672269463</c:v>
                </c:pt>
                <c:pt idx="5">
                  <c:v>0.22501647742664863</c:v>
                </c:pt>
                <c:pt idx="6">
                  <c:v>0.26661047816387684</c:v>
                </c:pt>
                <c:pt idx="7">
                  <c:v>0.31030609238013113</c:v>
                </c:pt>
                <c:pt idx="8">
                  <c:v>0.3523817841709776</c:v>
                </c:pt>
                <c:pt idx="9">
                  <c:v>0.39653139475351556</c:v>
                </c:pt>
                <c:pt idx="10">
                  <c:v>0.43979598770657458</c:v>
                </c:pt>
                <c:pt idx="11">
                  <c:v>0.48073584813693537</c:v>
                </c:pt>
                <c:pt idx="12">
                  <c:v>0.52227390006927543</c:v>
                </c:pt>
                <c:pt idx="13">
                  <c:v>0.56513497619158648</c:v>
                </c:pt>
                <c:pt idx="14">
                  <c:v>0.60640519811160698</c:v>
                </c:pt>
                <c:pt idx="15">
                  <c:v>0.64898954429214883</c:v>
                </c:pt>
                <c:pt idx="16">
                  <c:v>0.69429761517973143</c:v>
                </c:pt>
                <c:pt idx="17">
                  <c:v>0.73086585444766672</c:v>
                </c:pt>
                <c:pt idx="18">
                  <c:v>0.77160840935017871</c:v>
                </c:pt>
                <c:pt idx="19">
                  <c:v>0.8179191851146369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71-4923-AC23-7AD8E0832C17}"/>
            </c:ext>
          </c:extLst>
        </c:ser>
        <c:ser>
          <c:idx val="2"/>
          <c:order val="2"/>
          <c:tx>
            <c:v>Bingel-Walton Fit (2V)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'020'!$B$4:$B$23</c:f>
              <c:numCache>
                <c:formatCode>General</c:formatCode>
                <c:ptCount val="20"/>
                <c:pt idx="0">
                  <c:v>1.552</c:v>
                </c:pt>
                <c:pt idx="1">
                  <c:v>5.7789999999999999</c:v>
                </c:pt>
                <c:pt idx="2">
                  <c:v>10.607999999999999</c:v>
                </c:pt>
                <c:pt idx="3">
                  <c:v>15.784000000000001</c:v>
                </c:pt>
                <c:pt idx="4">
                  <c:v>20.785999999999998</c:v>
                </c:pt>
                <c:pt idx="5">
                  <c:v>25.874999999999996</c:v>
                </c:pt>
                <c:pt idx="6">
                  <c:v>30.703999999999997</c:v>
                </c:pt>
                <c:pt idx="7">
                  <c:v>35.792999999999999</c:v>
                </c:pt>
                <c:pt idx="8">
                  <c:v>40.709000000000003</c:v>
                </c:pt>
                <c:pt idx="9">
                  <c:v>45.884</c:v>
                </c:pt>
                <c:pt idx="10">
                  <c:v>50.971999999999994</c:v>
                </c:pt>
                <c:pt idx="11">
                  <c:v>55.801999999999992</c:v>
                </c:pt>
                <c:pt idx="12">
                  <c:v>60.718000000000004</c:v>
                </c:pt>
                <c:pt idx="13">
                  <c:v>65.807000000000002</c:v>
                </c:pt>
                <c:pt idx="14">
                  <c:v>70.722999999999999</c:v>
                </c:pt>
                <c:pt idx="15">
                  <c:v>75.811999999999998</c:v>
                </c:pt>
                <c:pt idx="16">
                  <c:v>81.245000000000005</c:v>
                </c:pt>
                <c:pt idx="17">
                  <c:v>85.643999999999991</c:v>
                </c:pt>
                <c:pt idx="18">
                  <c:v>90.56</c:v>
                </c:pt>
                <c:pt idx="19">
                  <c:v>96.167000000000002</c:v>
                </c:pt>
              </c:numCache>
            </c:numRef>
          </c:xVal>
          <c:yVal>
            <c:numRef>
              <c:f>'020'!$U$4:$U$23</c:f>
              <c:numCache>
                <c:formatCode>General</c:formatCode>
                <c:ptCount val="20"/>
                <c:pt idx="0">
                  <c:v>8.8142580267719355E-3</c:v>
                </c:pt>
                <c:pt idx="1">
                  <c:v>3.4934830541953621E-2</c:v>
                </c:pt>
                <c:pt idx="2">
                  <c:v>6.8656620328102727E-2</c:v>
                </c:pt>
                <c:pt idx="3">
                  <c:v>0.10939981891986526</c:v>
                </c:pt>
                <c:pt idx="4">
                  <c:v>0.15306365943856043</c:v>
                </c:pt>
                <c:pt idx="5">
                  <c:v>0.20129245869817805</c:v>
                </c:pt>
                <c:pt idx="6">
                  <c:v>0.24986368996833033</c:v>
                </c:pt>
                <c:pt idx="7">
                  <c:v>0.30297210888948084</c:v>
                </c:pt>
                <c:pt idx="8">
                  <c:v>0.35498387387064573</c:v>
                </c:pt>
                <c:pt idx="9">
                  <c:v>0.40915355739613918</c:v>
                </c:pt>
                <c:pt idx="10">
                  <c:v>0.46055198227185978</c:v>
                </c:pt>
                <c:pt idx="11">
                  <c:v>0.50662667537571859</c:v>
                </c:pt>
                <c:pt idx="12">
                  <c:v>0.55003728180884337</c:v>
                </c:pt>
                <c:pt idx="13">
                  <c:v>0.59073601176382073</c:v>
                </c:pt>
                <c:pt idx="14">
                  <c:v>0.62570011566478412</c:v>
                </c:pt>
                <c:pt idx="15">
                  <c:v>0.65737063764690373</c:v>
                </c:pt>
                <c:pt idx="16">
                  <c:v>0.68630837797969313</c:v>
                </c:pt>
                <c:pt idx="17">
                  <c:v>0.7063146680682163</c:v>
                </c:pt>
                <c:pt idx="18">
                  <c:v>0.72539303621693829</c:v>
                </c:pt>
                <c:pt idx="19">
                  <c:v>0.74341978513375417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71-4923-AC23-7AD8E0832C17}"/>
            </c:ext>
          </c:extLst>
        </c:ser>
        <c:ser>
          <c:idx val="3"/>
          <c:order val="3"/>
          <c:tx>
            <c:v>Bingel-Walton Fit (3V)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'020'!$H$4:$H$23</c:f>
              <c:numCache>
                <c:formatCode>General</c:formatCode>
                <c:ptCount val="20"/>
                <c:pt idx="0">
                  <c:v>1.552</c:v>
                </c:pt>
                <c:pt idx="1">
                  <c:v>5.7789999999999999</c:v>
                </c:pt>
                <c:pt idx="2">
                  <c:v>10.607999999999999</c:v>
                </c:pt>
                <c:pt idx="3">
                  <c:v>15.784000000000001</c:v>
                </c:pt>
                <c:pt idx="4">
                  <c:v>20.785999999999998</c:v>
                </c:pt>
                <c:pt idx="5">
                  <c:v>25.874999999999996</c:v>
                </c:pt>
                <c:pt idx="6">
                  <c:v>30.703999999999997</c:v>
                </c:pt>
                <c:pt idx="7">
                  <c:v>35.792999999999999</c:v>
                </c:pt>
                <c:pt idx="8">
                  <c:v>40.709000000000003</c:v>
                </c:pt>
                <c:pt idx="9">
                  <c:v>45.884</c:v>
                </c:pt>
                <c:pt idx="10">
                  <c:v>50.971999999999994</c:v>
                </c:pt>
                <c:pt idx="11">
                  <c:v>55.801999999999992</c:v>
                </c:pt>
                <c:pt idx="12">
                  <c:v>60.718000000000004</c:v>
                </c:pt>
                <c:pt idx="13">
                  <c:v>65.807000000000002</c:v>
                </c:pt>
                <c:pt idx="14">
                  <c:v>70.722999999999999</c:v>
                </c:pt>
                <c:pt idx="15">
                  <c:v>75.811999999999998</c:v>
                </c:pt>
                <c:pt idx="16">
                  <c:v>81.245000000000005</c:v>
                </c:pt>
                <c:pt idx="17">
                  <c:v>85.643999999999991</c:v>
                </c:pt>
                <c:pt idx="18">
                  <c:v>90.56</c:v>
                </c:pt>
                <c:pt idx="19">
                  <c:v>96.167000000000002</c:v>
                </c:pt>
              </c:numCache>
            </c:numRef>
          </c:xVal>
          <c:yVal>
            <c:numRef>
              <c:f>'020'!$AD$5:$AD$24</c:f>
              <c:numCache>
                <c:formatCode>General</c:formatCode>
                <c:ptCount val="20"/>
                <c:pt idx="0">
                  <c:v>1.2979570375762825E-2</c:v>
                </c:pt>
                <c:pt idx="1">
                  <c:v>4.8541064385716905E-2</c:v>
                </c:pt>
                <c:pt idx="2">
                  <c:v>8.9509512003636924E-2</c:v>
                </c:pt>
                <c:pt idx="3">
                  <c:v>0.13377064352049034</c:v>
                </c:pt>
                <c:pt idx="4">
                  <c:v>0.17682619245907039</c:v>
                </c:pt>
                <c:pt idx="5">
                  <c:v>0.22085157429179095</c:v>
                </c:pt>
                <c:pt idx="6">
                  <c:v>0.26277439035188971</c:v>
                </c:pt>
                <c:pt idx="7">
                  <c:v>0.30704517662595254</c:v>
                </c:pt>
                <c:pt idx="8">
                  <c:v>0.34983745999124888</c:v>
                </c:pt>
                <c:pt idx="9">
                  <c:v>0.39484485352780252</c:v>
                </c:pt>
                <c:pt idx="10">
                  <c:v>0.43898892529626549</c:v>
                </c:pt>
                <c:pt idx="11">
                  <c:v>0.48073590747011513</c:v>
                </c:pt>
                <c:pt idx="12">
                  <c:v>0.52300868771141451</c:v>
                </c:pt>
                <c:pt idx="13">
                  <c:v>0.56647671335802152</c:v>
                </c:pt>
                <c:pt idx="14">
                  <c:v>0.60812671032703125</c:v>
                </c:pt>
                <c:pt idx="15">
                  <c:v>0.65083149356945014</c:v>
                </c:pt>
                <c:pt idx="16">
                  <c:v>0.69589703004474679</c:v>
                </c:pt>
                <c:pt idx="17">
                  <c:v>0.73194277110251416</c:v>
                </c:pt>
                <c:pt idx="18">
                  <c:v>0.77171113139668601</c:v>
                </c:pt>
                <c:pt idx="19">
                  <c:v>0.81635276571923521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C8-4FE2-BA02-114DD1A0D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82815"/>
        <c:axId val="1469297072"/>
      </c:scatterChart>
      <c:valAx>
        <c:axId val="11968281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297072"/>
        <c:crosses val="autoZero"/>
        <c:crossBetween val="midCat"/>
      </c:valAx>
      <c:valAx>
        <c:axId val="14692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8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Scaled Experimental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'025'!$B$4:$B$13</c:f>
              <c:numCache>
                <c:formatCode>General</c:formatCode>
                <c:ptCount val="10"/>
                <c:pt idx="0">
                  <c:v>10.090956749999998</c:v>
                </c:pt>
                <c:pt idx="1">
                  <c:v>20.325794999999999</c:v>
                </c:pt>
                <c:pt idx="2">
                  <c:v>30.413711999999997</c:v>
                </c:pt>
                <c:pt idx="3">
                  <c:v>40.574583000000004</c:v>
                </c:pt>
                <c:pt idx="4">
                  <c:v>50.734440749999997</c:v>
                </c:pt>
                <c:pt idx="5">
                  <c:v>60.823371000000002</c:v>
                </c:pt>
                <c:pt idx="6">
                  <c:v>70.982215499999995</c:v>
                </c:pt>
                <c:pt idx="7">
                  <c:v>81.142073249999996</c:v>
                </c:pt>
                <c:pt idx="8">
                  <c:v>91.299904499999997</c:v>
                </c:pt>
                <c:pt idx="9">
                  <c:v>101.458749</c:v>
                </c:pt>
              </c:numCache>
            </c:numRef>
          </c:xVal>
          <c:yVal>
            <c:numRef>
              <c:f>'025'!$D$4:$D$13</c:f>
              <c:numCache>
                <c:formatCode>General</c:formatCode>
                <c:ptCount val="10"/>
                <c:pt idx="0">
                  <c:v>0.46497863354037267</c:v>
                </c:pt>
                <c:pt idx="1">
                  <c:v>0.86821614906832301</c:v>
                </c:pt>
                <c:pt idx="2">
                  <c:v>1.2008442236024846</c:v>
                </c:pt>
                <c:pt idx="3">
                  <c:v>1.5187845962732918</c:v>
                </c:pt>
                <c:pt idx="4">
                  <c:v>1.8249542857142858</c:v>
                </c:pt>
                <c:pt idx="5">
                  <c:v>2.1899334161490684</c:v>
                </c:pt>
                <c:pt idx="6">
                  <c:v>2.4078742857142856</c:v>
                </c:pt>
                <c:pt idx="7">
                  <c:v>2.6875709316770187</c:v>
                </c:pt>
                <c:pt idx="8">
                  <c:v>2.8643363975155278</c:v>
                </c:pt>
                <c:pt idx="9">
                  <c:v>3.0852089440993788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9-4FDA-817C-A29237CA9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339392"/>
        <c:axId val="1469249232"/>
      </c:scatterChart>
      <c:scatterChart>
        <c:scatterStyle val="smoothMarker"/>
        <c:varyColors val="0"/>
        <c:ser>
          <c:idx val="1"/>
          <c:order val="1"/>
          <c:tx>
            <c:v>Toth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'025'!$B$4:$B$13</c:f>
              <c:numCache>
                <c:formatCode>General</c:formatCode>
                <c:ptCount val="10"/>
                <c:pt idx="0">
                  <c:v>10.090956749999998</c:v>
                </c:pt>
                <c:pt idx="1">
                  <c:v>20.325794999999999</c:v>
                </c:pt>
                <c:pt idx="2">
                  <c:v>30.413711999999997</c:v>
                </c:pt>
                <c:pt idx="3">
                  <c:v>40.574583000000004</c:v>
                </c:pt>
                <c:pt idx="4">
                  <c:v>50.734440749999997</c:v>
                </c:pt>
                <c:pt idx="5">
                  <c:v>60.823371000000002</c:v>
                </c:pt>
                <c:pt idx="6">
                  <c:v>70.982215499999995</c:v>
                </c:pt>
                <c:pt idx="7">
                  <c:v>81.142073249999996</c:v>
                </c:pt>
                <c:pt idx="8">
                  <c:v>91.299904499999997</c:v>
                </c:pt>
                <c:pt idx="9">
                  <c:v>101.458749</c:v>
                </c:pt>
              </c:numCache>
            </c:numRef>
          </c:xVal>
          <c:yVal>
            <c:numRef>
              <c:f>'025'!$K$4:$K$13</c:f>
              <c:numCache>
                <c:formatCode>General</c:formatCode>
                <c:ptCount val="10"/>
                <c:pt idx="0">
                  <c:v>0.44168099016984547</c:v>
                </c:pt>
                <c:pt idx="1">
                  <c:v>0.84807349780155217</c:v>
                </c:pt>
                <c:pt idx="2">
                  <c:v>1.2132579538955464</c:v>
                </c:pt>
                <c:pt idx="3">
                  <c:v>1.5501622284228098</c:v>
                </c:pt>
                <c:pt idx="4">
                  <c:v>1.8598089059061409</c:v>
                </c:pt>
                <c:pt idx="5">
                  <c:v>2.1435178397719326</c:v>
                </c:pt>
                <c:pt idx="6">
                  <c:v>2.4079506924605765</c:v>
                </c:pt>
                <c:pt idx="7">
                  <c:v>2.653402232573761</c:v>
                </c:pt>
                <c:pt idx="8">
                  <c:v>2.8817916595313817</c:v>
                </c:pt>
                <c:pt idx="9">
                  <c:v>3.0949094586965313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39-4FDA-817C-A29237CA9B1C}"/>
            </c:ext>
          </c:extLst>
        </c:ser>
        <c:ser>
          <c:idx val="2"/>
          <c:order val="2"/>
          <c:tx>
            <c:v>Bingel-Walton Fit (2V)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'025'!$B$4:$B$13</c:f>
              <c:numCache>
                <c:formatCode>General</c:formatCode>
                <c:ptCount val="10"/>
                <c:pt idx="0">
                  <c:v>10.090956749999998</c:v>
                </c:pt>
                <c:pt idx="1">
                  <c:v>20.325794999999999</c:v>
                </c:pt>
                <c:pt idx="2">
                  <c:v>30.413711999999997</c:v>
                </c:pt>
                <c:pt idx="3">
                  <c:v>40.574583000000004</c:v>
                </c:pt>
                <c:pt idx="4">
                  <c:v>50.734440749999997</c:v>
                </c:pt>
                <c:pt idx="5">
                  <c:v>60.823371000000002</c:v>
                </c:pt>
                <c:pt idx="6">
                  <c:v>70.982215499999995</c:v>
                </c:pt>
                <c:pt idx="7">
                  <c:v>81.142073249999996</c:v>
                </c:pt>
                <c:pt idx="8">
                  <c:v>91.299904499999997</c:v>
                </c:pt>
                <c:pt idx="9">
                  <c:v>101.458749</c:v>
                </c:pt>
              </c:numCache>
            </c:numRef>
          </c:xVal>
          <c:yVal>
            <c:numRef>
              <c:f>'025'!$U$4:$U$13</c:f>
              <c:numCache>
                <c:formatCode>General</c:formatCode>
                <c:ptCount val="10"/>
                <c:pt idx="0">
                  <c:v>0.35755221793896463</c:v>
                </c:pt>
                <c:pt idx="1">
                  <c:v>0.76285198310978208</c:v>
                </c:pt>
                <c:pt idx="2">
                  <c:v>1.1774974009219132</c:v>
                </c:pt>
                <c:pt idx="3">
                  <c:v>1.5790208601913258</c:v>
                </c:pt>
                <c:pt idx="4">
                  <c:v>1.9375273929739869</c:v>
                </c:pt>
                <c:pt idx="5">
                  <c:v>2.2352684930546109</c:v>
                </c:pt>
                <c:pt idx="6">
                  <c:v>2.4725167691900989</c:v>
                </c:pt>
                <c:pt idx="7">
                  <c:v>2.6520105787779098</c:v>
                </c:pt>
                <c:pt idx="8">
                  <c:v>2.7832707800388921</c:v>
                </c:pt>
                <c:pt idx="9">
                  <c:v>2.8769407240691143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39-4FDA-817C-A29237CA9B1C}"/>
            </c:ext>
          </c:extLst>
        </c:ser>
        <c:ser>
          <c:idx val="3"/>
          <c:order val="3"/>
          <c:tx>
            <c:v>Bingel-Walton Fit (3V)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'025'!$H$4:$H$13</c:f>
              <c:numCache>
                <c:formatCode>General</c:formatCode>
                <c:ptCount val="10"/>
                <c:pt idx="0">
                  <c:v>10.090956749999998</c:v>
                </c:pt>
                <c:pt idx="1">
                  <c:v>20.325794999999999</c:v>
                </c:pt>
                <c:pt idx="2">
                  <c:v>30.413711999999997</c:v>
                </c:pt>
                <c:pt idx="3">
                  <c:v>40.574583000000004</c:v>
                </c:pt>
                <c:pt idx="4">
                  <c:v>50.734440749999997</c:v>
                </c:pt>
                <c:pt idx="5">
                  <c:v>60.823371000000002</c:v>
                </c:pt>
                <c:pt idx="6">
                  <c:v>70.982215499999995</c:v>
                </c:pt>
                <c:pt idx="7">
                  <c:v>81.142073249999996</c:v>
                </c:pt>
                <c:pt idx="8">
                  <c:v>91.299904499999997</c:v>
                </c:pt>
                <c:pt idx="9">
                  <c:v>101.458749</c:v>
                </c:pt>
              </c:numCache>
            </c:numRef>
          </c:xVal>
          <c:yVal>
            <c:numRef>
              <c:f>'025'!$AD$5:$AD$14</c:f>
              <c:numCache>
                <c:formatCode>General</c:formatCode>
                <c:ptCount val="10"/>
                <c:pt idx="0">
                  <c:v>0.43282655416137678</c:v>
                </c:pt>
                <c:pt idx="1">
                  <c:v>0.83863987924622263</c:v>
                </c:pt>
                <c:pt idx="2">
                  <c:v>1.2075920517929806</c:v>
                </c:pt>
                <c:pt idx="3">
                  <c:v>1.5498002021209112</c:v>
                </c:pt>
                <c:pt idx="4">
                  <c:v>1.864221147826074</c:v>
                </c:pt>
                <c:pt idx="5">
                  <c:v>2.1507254301091643</c:v>
                </c:pt>
                <c:pt idx="6">
                  <c:v>2.4150441875688569</c:v>
                </c:pt>
                <c:pt idx="7">
                  <c:v>2.6568228141850625</c:v>
                </c:pt>
                <c:pt idx="8">
                  <c:v>2.8776308423141006</c:v>
                </c:pt>
                <c:pt idx="9">
                  <c:v>3.0791089378575824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6E-42FA-A908-21A72297C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339392"/>
        <c:axId val="1469249232"/>
      </c:scatterChart>
      <c:valAx>
        <c:axId val="164333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249232"/>
        <c:crosses val="autoZero"/>
        <c:crossBetween val="midCat"/>
      </c:valAx>
      <c:valAx>
        <c:axId val="146924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33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Scaled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'027'!$B$4:$B$35</c:f>
              <c:numCache>
                <c:formatCode>General</c:formatCode>
                <c:ptCount val="32"/>
                <c:pt idx="0">
                  <c:v>0</c:v>
                </c:pt>
                <c:pt idx="1">
                  <c:v>120</c:v>
                </c:pt>
                <c:pt idx="2">
                  <c:v>210</c:v>
                </c:pt>
                <c:pt idx="3">
                  <c:v>320</c:v>
                </c:pt>
                <c:pt idx="4">
                  <c:v>409.99999999999994</c:v>
                </c:pt>
                <c:pt idx="5">
                  <c:v>530</c:v>
                </c:pt>
                <c:pt idx="6">
                  <c:v>630</c:v>
                </c:pt>
                <c:pt idx="7">
                  <c:v>720</c:v>
                </c:pt>
                <c:pt idx="8">
                  <c:v>819.99999999999989</c:v>
                </c:pt>
                <c:pt idx="9">
                  <c:v>940</c:v>
                </c:pt>
                <c:pt idx="10">
                  <c:v>1040</c:v>
                </c:pt>
                <c:pt idx="11">
                  <c:v>1150</c:v>
                </c:pt>
                <c:pt idx="12">
                  <c:v>1230</c:v>
                </c:pt>
                <c:pt idx="13">
                  <c:v>1340</c:v>
                </c:pt>
                <c:pt idx="14">
                  <c:v>1440</c:v>
                </c:pt>
                <c:pt idx="15">
                  <c:v>1550</c:v>
                </c:pt>
                <c:pt idx="16">
                  <c:v>1660.0000000000002</c:v>
                </c:pt>
                <c:pt idx="17">
                  <c:v>1760.0000000000002</c:v>
                </c:pt>
                <c:pt idx="18">
                  <c:v>1860.0000000000002</c:v>
                </c:pt>
                <c:pt idx="19">
                  <c:v>1970</c:v>
                </c:pt>
                <c:pt idx="20">
                  <c:v>2060</c:v>
                </c:pt>
                <c:pt idx="21">
                  <c:v>2160</c:v>
                </c:pt>
                <c:pt idx="22">
                  <c:v>2390</c:v>
                </c:pt>
                <c:pt idx="23">
                  <c:v>2570</c:v>
                </c:pt>
                <c:pt idx="24">
                  <c:v>2790</c:v>
                </c:pt>
                <c:pt idx="25">
                  <c:v>3010</c:v>
                </c:pt>
                <c:pt idx="26">
                  <c:v>3200</c:v>
                </c:pt>
                <c:pt idx="27">
                  <c:v>3410</c:v>
                </c:pt>
                <c:pt idx="28">
                  <c:v>3620.0000000000005</c:v>
                </c:pt>
                <c:pt idx="29">
                  <c:v>3820.0000000000005</c:v>
                </c:pt>
                <c:pt idx="30">
                  <c:v>4029.9999999999995</c:v>
                </c:pt>
                <c:pt idx="31">
                  <c:v>4220</c:v>
                </c:pt>
              </c:numCache>
            </c:numRef>
          </c:xVal>
          <c:yVal>
            <c:numRef>
              <c:f>'027'!$D$4:$D$35</c:f>
              <c:numCache>
                <c:formatCode>General</c:formatCode>
                <c:ptCount val="32"/>
                <c:pt idx="0">
                  <c:v>0</c:v>
                </c:pt>
                <c:pt idx="1">
                  <c:v>1.3784070796460179</c:v>
                </c:pt>
                <c:pt idx="2">
                  <c:v>2.2555752212389382</c:v>
                </c:pt>
                <c:pt idx="3">
                  <c:v>3.5086725663716813</c:v>
                </c:pt>
                <c:pt idx="4">
                  <c:v>4.6364601769911511</c:v>
                </c:pt>
                <c:pt idx="5">
                  <c:v>6.1401769911504438</c:v>
                </c:pt>
                <c:pt idx="6">
                  <c:v>7.6438938053097347</c:v>
                </c:pt>
                <c:pt idx="7">
                  <c:v>8.8969911504424779</c:v>
                </c:pt>
                <c:pt idx="8">
                  <c:v>10.526017699115044</c:v>
                </c:pt>
                <c:pt idx="9">
                  <c:v>12.656283185840708</c:v>
                </c:pt>
                <c:pt idx="10">
                  <c:v>14.41061946902655</c:v>
                </c:pt>
                <c:pt idx="11">
                  <c:v>16.290265486725662</c:v>
                </c:pt>
                <c:pt idx="12">
                  <c:v>17.543362831858406</c:v>
                </c:pt>
                <c:pt idx="13">
                  <c:v>19.0470796460177</c:v>
                </c:pt>
                <c:pt idx="14">
                  <c:v>20.174867256637171</c:v>
                </c:pt>
                <c:pt idx="15">
                  <c:v>21.177345132743362</c:v>
                </c:pt>
                <c:pt idx="16">
                  <c:v>22.054513274336287</c:v>
                </c:pt>
                <c:pt idx="17">
                  <c:v>22.681061946902656</c:v>
                </c:pt>
                <c:pt idx="18">
                  <c:v>23.307610619469031</c:v>
                </c:pt>
                <c:pt idx="19">
                  <c:v>23.808849557522127</c:v>
                </c:pt>
                <c:pt idx="20">
                  <c:v>24.310088495575222</c:v>
                </c:pt>
                <c:pt idx="21">
                  <c:v>24.560707964601775</c:v>
                </c:pt>
                <c:pt idx="22">
                  <c:v>25.43787610619469</c:v>
                </c:pt>
                <c:pt idx="23">
                  <c:v>25.813805309734516</c:v>
                </c:pt>
                <c:pt idx="24">
                  <c:v>26.315044247787611</c:v>
                </c:pt>
                <c:pt idx="25">
                  <c:v>26.690973451327434</c:v>
                </c:pt>
                <c:pt idx="26">
                  <c:v>26.941592920353983</c:v>
                </c:pt>
                <c:pt idx="27">
                  <c:v>27.192212389380529</c:v>
                </c:pt>
                <c:pt idx="28">
                  <c:v>27.317522123893809</c:v>
                </c:pt>
                <c:pt idx="29">
                  <c:v>27.442831858407079</c:v>
                </c:pt>
                <c:pt idx="30">
                  <c:v>27.568141592920355</c:v>
                </c:pt>
                <c:pt idx="31">
                  <c:v>27.568141592920355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E-4255-88EA-D48EE259A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350192"/>
        <c:axId val="170366495"/>
      </c:scatterChart>
      <c:scatterChart>
        <c:scatterStyle val="smoothMarker"/>
        <c:varyColors val="0"/>
        <c:ser>
          <c:idx val="1"/>
          <c:order val="1"/>
          <c:tx>
            <c:v>Toth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'027'!$B$4:$B$35</c:f>
              <c:numCache>
                <c:formatCode>General</c:formatCode>
                <c:ptCount val="32"/>
                <c:pt idx="0">
                  <c:v>0</c:v>
                </c:pt>
                <c:pt idx="1">
                  <c:v>120</c:v>
                </c:pt>
                <c:pt idx="2">
                  <c:v>210</c:v>
                </c:pt>
                <c:pt idx="3">
                  <c:v>320</c:v>
                </c:pt>
                <c:pt idx="4">
                  <c:v>409.99999999999994</c:v>
                </c:pt>
                <c:pt idx="5">
                  <c:v>530</c:v>
                </c:pt>
                <c:pt idx="6">
                  <c:v>630</c:v>
                </c:pt>
                <c:pt idx="7">
                  <c:v>720</c:v>
                </c:pt>
                <c:pt idx="8">
                  <c:v>819.99999999999989</c:v>
                </c:pt>
                <c:pt idx="9">
                  <c:v>940</c:v>
                </c:pt>
                <c:pt idx="10">
                  <c:v>1040</c:v>
                </c:pt>
                <c:pt idx="11">
                  <c:v>1150</c:v>
                </c:pt>
                <c:pt idx="12">
                  <c:v>1230</c:v>
                </c:pt>
                <c:pt idx="13">
                  <c:v>1340</c:v>
                </c:pt>
                <c:pt idx="14">
                  <c:v>1440</c:v>
                </c:pt>
                <c:pt idx="15">
                  <c:v>1550</c:v>
                </c:pt>
                <c:pt idx="16">
                  <c:v>1660.0000000000002</c:v>
                </c:pt>
                <c:pt idx="17">
                  <c:v>1760.0000000000002</c:v>
                </c:pt>
                <c:pt idx="18">
                  <c:v>1860.0000000000002</c:v>
                </c:pt>
                <c:pt idx="19">
                  <c:v>1970</c:v>
                </c:pt>
                <c:pt idx="20">
                  <c:v>2060</c:v>
                </c:pt>
                <c:pt idx="21">
                  <c:v>2160</c:v>
                </c:pt>
                <c:pt idx="22">
                  <c:v>2390</c:v>
                </c:pt>
                <c:pt idx="23">
                  <c:v>2570</c:v>
                </c:pt>
                <c:pt idx="24">
                  <c:v>2790</c:v>
                </c:pt>
                <c:pt idx="25">
                  <c:v>3010</c:v>
                </c:pt>
                <c:pt idx="26">
                  <c:v>3200</c:v>
                </c:pt>
                <c:pt idx="27">
                  <c:v>3410</c:v>
                </c:pt>
                <c:pt idx="28">
                  <c:v>3620.0000000000005</c:v>
                </c:pt>
                <c:pt idx="29">
                  <c:v>3820.0000000000005</c:v>
                </c:pt>
                <c:pt idx="30">
                  <c:v>4029.9999999999995</c:v>
                </c:pt>
                <c:pt idx="31">
                  <c:v>4220</c:v>
                </c:pt>
              </c:numCache>
            </c:numRef>
          </c:xVal>
          <c:yVal>
            <c:numRef>
              <c:f>'027'!$K$4:$K$35</c:f>
              <c:numCache>
                <c:formatCode>General</c:formatCode>
                <c:ptCount val="32"/>
                <c:pt idx="0">
                  <c:v>0</c:v>
                </c:pt>
                <c:pt idx="1">
                  <c:v>1.904239896342355</c:v>
                </c:pt>
                <c:pt idx="2">
                  <c:v>3.3222907088522127</c:v>
                </c:pt>
                <c:pt idx="3">
                  <c:v>5.0314291840253738</c:v>
                </c:pt>
                <c:pt idx="4">
                  <c:v>6.4012867533922533</c:v>
                </c:pt>
                <c:pt idx="5">
                  <c:v>8.1752074543976931</c:v>
                </c:pt>
                <c:pt idx="6">
                  <c:v>9.5982869693742821</c:v>
                </c:pt>
                <c:pt idx="7">
                  <c:v>10.830154390373044</c:v>
                </c:pt>
                <c:pt idx="8">
                  <c:v>12.139735652417436</c:v>
                </c:pt>
                <c:pt idx="9">
                  <c:v>13.624013018773804</c:v>
                </c:pt>
                <c:pt idx="10">
                  <c:v>14.785671947136546</c:v>
                </c:pt>
                <c:pt idx="11">
                  <c:v>15.983541303126749</c:v>
                </c:pt>
                <c:pt idx="12">
                  <c:v>16.802421835550167</c:v>
                </c:pt>
                <c:pt idx="13">
                  <c:v>17.857911976430998</c:v>
                </c:pt>
                <c:pt idx="14">
                  <c:v>18.748800043660953</c:v>
                </c:pt>
                <c:pt idx="15">
                  <c:v>19.656575674769535</c:v>
                </c:pt>
                <c:pt idx="16">
                  <c:v>20.492722821191805</c:v>
                </c:pt>
                <c:pt idx="17">
                  <c:v>21.194459272219152</c:v>
                </c:pt>
                <c:pt idx="18">
                  <c:v>21.844171792494336</c:v>
                </c:pt>
                <c:pt idx="19">
                  <c:v>22.502936082861332</c:v>
                </c:pt>
                <c:pt idx="20">
                  <c:v>23.001442569734039</c:v>
                </c:pt>
                <c:pt idx="21">
                  <c:v>23.515765481665387</c:v>
                </c:pt>
                <c:pt idx="22">
                  <c:v>24.557212104106586</c:v>
                </c:pt>
                <c:pt idx="23">
                  <c:v>25.252580677541999</c:v>
                </c:pt>
                <c:pt idx="24">
                  <c:v>25.982970188983778</c:v>
                </c:pt>
                <c:pt idx="25">
                  <c:v>26.603130247167179</c:v>
                </c:pt>
                <c:pt idx="26">
                  <c:v>27.064621707675325</c:v>
                </c:pt>
                <c:pt idx="27">
                  <c:v>27.507644976061506</c:v>
                </c:pt>
                <c:pt idx="28">
                  <c:v>27.89126960799571</c:v>
                </c:pt>
                <c:pt idx="29">
                  <c:v>28.21003908211031</c:v>
                </c:pt>
                <c:pt idx="30">
                  <c:v>28.503329995005039</c:v>
                </c:pt>
                <c:pt idx="31">
                  <c:v>28.737459244343757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0E-4255-88EA-D48EE259A487}"/>
            </c:ext>
          </c:extLst>
        </c:ser>
        <c:ser>
          <c:idx val="2"/>
          <c:order val="2"/>
          <c:tx>
            <c:v>Bingel-Walton Fit (2V)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'027'!$B$4:$B$35</c:f>
              <c:numCache>
                <c:formatCode>General</c:formatCode>
                <c:ptCount val="32"/>
                <c:pt idx="0">
                  <c:v>0</c:v>
                </c:pt>
                <c:pt idx="1">
                  <c:v>120</c:v>
                </c:pt>
                <c:pt idx="2">
                  <c:v>210</c:v>
                </c:pt>
                <c:pt idx="3">
                  <c:v>320</c:v>
                </c:pt>
                <c:pt idx="4">
                  <c:v>409.99999999999994</c:v>
                </c:pt>
                <c:pt idx="5">
                  <c:v>530</c:v>
                </c:pt>
                <c:pt idx="6">
                  <c:v>630</c:v>
                </c:pt>
                <c:pt idx="7">
                  <c:v>720</c:v>
                </c:pt>
                <c:pt idx="8">
                  <c:v>819.99999999999989</c:v>
                </c:pt>
                <c:pt idx="9">
                  <c:v>940</c:v>
                </c:pt>
                <c:pt idx="10">
                  <c:v>1040</c:v>
                </c:pt>
                <c:pt idx="11">
                  <c:v>1150</c:v>
                </c:pt>
                <c:pt idx="12">
                  <c:v>1230</c:v>
                </c:pt>
                <c:pt idx="13">
                  <c:v>1340</c:v>
                </c:pt>
                <c:pt idx="14">
                  <c:v>1440</c:v>
                </c:pt>
                <c:pt idx="15">
                  <c:v>1550</c:v>
                </c:pt>
                <c:pt idx="16">
                  <c:v>1660.0000000000002</c:v>
                </c:pt>
                <c:pt idx="17">
                  <c:v>1760.0000000000002</c:v>
                </c:pt>
                <c:pt idx="18">
                  <c:v>1860.0000000000002</c:v>
                </c:pt>
                <c:pt idx="19">
                  <c:v>1970</c:v>
                </c:pt>
                <c:pt idx="20">
                  <c:v>2060</c:v>
                </c:pt>
                <c:pt idx="21">
                  <c:v>2160</c:v>
                </c:pt>
                <c:pt idx="22">
                  <c:v>2390</c:v>
                </c:pt>
                <c:pt idx="23">
                  <c:v>2570</c:v>
                </c:pt>
                <c:pt idx="24">
                  <c:v>2790</c:v>
                </c:pt>
                <c:pt idx="25">
                  <c:v>3010</c:v>
                </c:pt>
                <c:pt idx="26">
                  <c:v>3200</c:v>
                </c:pt>
                <c:pt idx="27">
                  <c:v>3410</c:v>
                </c:pt>
                <c:pt idx="28">
                  <c:v>3620.0000000000005</c:v>
                </c:pt>
                <c:pt idx="29">
                  <c:v>3820.0000000000005</c:v>
                </c:pt>
                <c:pt idx="30">
                  <c:v>4029.9999999999995</c:v>
                </c:pt>
                <c:pt idx="31">
                  <c:v>4220</c:v>
                </c:pt>
              </c:numCache>
            </c:numRef>
          </c:xVal>
          <c:yVal>
            <c:numRef>
              <c:f>'027'!$U$4:$U$35</c:f>
              <c:numCache>
                <c:formatCode>General</c:formatCode>
                <c:ptCount val="32"/>
                <c:pt idx="0">
                  <c:v>0</c:v>
                </c:pt>
                <c:pt idx="1">
                  <c:v>1.1944380524389513</c:v>
                </c:pt>
                <c:pt idx="2">
                  <c:v>2.1971342006361345</c:v>
                </c:pt>
                <c:pt idx="3">
                  <c:v>3.5442125056417102</c:v>
                </c:pt>
                <c:pt idx="4">
                  <c:v>4.7395142691584393</c:v>
                </c:pt>
                <c:pt idx="5">
                  <c:v>6.4468043228684735</c:v>
                </c:pt>
                <c:pt idx="6">
                  <c:v>7.9483635867464733</c:v>
                </c:pt>
                <c:pt idx="7">
                  <c:v>9.3413072014548568</c:v>
                </c:pt>
                <c:pt idx="8">
                  <c:v>10.911603201104874</c:v>
                </c:pt>
                <c:pt idx="9">
                  <c:v>12.790170444834745</c:v>
                </c:pt>
                <c:pt idx="10">
                  <c:v>14.319288942241638</c:v>
                </c:pt>
                <c:pt idx="11">
                  <c:v>15.932060720495087</c:v>
                </c:pt>
                <c:pt idx="12">
                  <c:v>17.04426668509188</c:v>
                </c:pt>
                <c:pt idx="13">
                  <c:v>18.473513078744144</c:v>
                </c:pt>
                <c:pt idx="14">
                  <c:v>19.661499607706187</c:v>
                </c:pt>
                <c:pt idx="15">
                  <c:v>20.838919272963306</c:v>
                </c:pt>
                <c:pt idx="16">
                  <c:v>21.879810489871989</c:v>
                </c:pt>
                <c:pt idx="17">
                  <c:v>22.711015020992857</c:v>
                </c:pt>
                <c:pt idx="18">
                  <c:v>23.438725010732419</c:v>
                </c:pt>
                <c:pt idx="19">
                  <c:v>24.128929436357268</c:v>
                </c:pt>
                <c:pt idx="20">
                  <c:v>24.615592900192155</c:v>
                </c:pt>
                <c:pt idx="21">
                  <c:v>25.082622318174597</c:v>
                </c:pt>
                <c:pt idx="22">
                  <c:v>25.909661081045535</c:v>
                </c:pt>
                <c:pt idx="23">
                  <c:v>26.367359869783609</c:v>
                </c:pt>
                <c:pt idx="24">
                  <c:v>26.763182111083378</c:v>
                </c:pt>
                <c:pt idx="25">
                  <c:v>27.030690582330536</c:v>
                </c:pt>
                <c:pt idx="26">
                  <c:v>27.189816562042864</c:v>
                </c:pt>
                <c:pt idx="27">
                  <c:v>27.311911555860274</c:v>
                </c:pt>
                <c:pt idx="28">
                  <c:v>27.394808967010583</c:v>
                </c:pt>
                <c:pt idx="29">
                  <c:v>27.448773700588859</c:v>
                </c:pt>
                <c:pt idx="30">
                  <c:v>27.487499537179922</c:v>
                </c:pt>
                <c:pt idx="31">
                  <c:v>27.511606877631795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0E-4255-88EA-D48EE259A487}"/>
            </c:ext>
          </c:extLst>
        </c:ser>
        <c:ser>
          <c:idx val="3"/>
          <c:order val="3"/>
          <c:tx>
            <c:v>Bingel-Walton Fit (3V)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'027'!$B$4:$B$35</c:f>
              <c:numCache>
                <c:formatCode>General</c:formatCode>
                <c:ptCount val="32"/>
                <c:pt idx="0">
                  <c:v>0</c:v>
                </c:pt>
                <c:pt idx="1">
                  <c:v>120</c:v>
                </c:pt>
                <c:pt idx="2">
                  <c:v>210</c:v>
                </c:pt>
                <c:pt idx="3">
                  <c:v>320</c:v>
                </c:pt>
                <c:pt idx="4">
                  <c:v>409.99999999999994</c:v>
                </c:pt>
                <c:pt idx="5">
                  <c:v>530</c:v>
                </c:pt>
                <c:pt idx="6">
                  <c:v>630</c:v>
                </c:pt>
                <c:pt idx="7">
                  <c:v>720</c:v>
                </c:pt>
                <c:pt idx="8">
                  <c:v>819.99999999999989</c:v>
                </c:pt>
                <c:pt idx="9">
                  <c:v>940</c:v>
                </c:pt>
                <c:pt idx="10">
                  <c:v>1040</c:v>
                </c:pt>
                <c:pt idx="11">
                  <c:v>1150</c:v>
                </c:pt>
                <c:pt idx="12">
                  <c:v>1230</c:v>
                </c:pt>
                <c:pt idx="13">
                  <c:v>1340</c:v>
                </c:pt>
                <c:pt idx="14">
                  <c:v>1440</c:v>
                </c:pt>
                <c:pt idx="15">
                  <c:v>1550</c:v>
                </c:pt>
                <c:pt idx="16">
                  <c:v>1660.0000000000002</c:v>
                </c:pt>
                <c:pt idx="17">
                  <c:v>1760.0000000000002</c:v>
                </c:pt>
                <c:pt idx="18">
                  <c:v>1860.0000000000002</c:v>
                </c:pt>
                <c:pt idx="19">
                  <c:v>1970</c:v>
                </c:pt>
                <c:pt idx="20">
                  <c:v>2060</c:v>
                </c:pt>
                <c:pt idx="21">
                  <c:v>2160</c:v>
                </c:pt>
                <c:pt idx="22">
                  <c:v>2390</c:v>
                </c:pt>
                <c:pt idx="23">
                  <c:v>2570</c:v>
                </c:pt>
                <c:pt idx="24">
                  <c:v>2790</c:v>
                </c:pt>
                <c:pt idx="25">
                  <c:v>3010</c:v>
                </c:pt>
                <c:pt idx="26">
                  <c:v>3200</c:v>
                </c:pt>
                <c:pt idx="27">
                  <c:v>3410</c:v>
                </c:pt>
                <c:pt idx="28">
                  <c:v>3620.0000000000005</c:v>
                </c:pt>
                <c:pt idx="29">
                  <c:v>3820.0000000000005</c:v>
                </c:pt>
                <c:pt idx="30">
                  <c:v>4029.9999999999995</c:v>
                </c:pt>
                <c:pt idx="31">
                  <c:v>4220</c:v>
                </c:pt>
              </c:numCache>
            </c:numRef>
          </c:xVal>
          <c:yVal>
            <c:numRef>
              <c:f>'027'!$AD$4:$AD$35</c:f>
              <c:numCache>
                <c:formatCode>General</c:formatCode>
                <c:ptCount val="32"/>
                <c:pt idx="0">
                  <c:v>0</c:v>
                </c:pt>
                <c:pt idx="1">
                  <c:v>1.150381969812267</c:v>
                </c:pt>
                <c:pt idx="2">
                  <c:v>2.127041300306411</c:v>
                </c:pt>
                <c:pt idx="3">
                  <c:v>3.4525306496974655</c:v>
                </c:pt>
                <c:pt idx="4">
                  <c:v>4.6396337597678015</c:v>
                </c:pt>
                <c:pt idx="5">
                  <c:v>6.3498516172687509</c:v>
                </c:pt>
                <c:pt idx="6">
                  <c:v>7.8653008759257306</c:v>
                </c:pt>
                <c:pt idx="7">
                  <c:v>9.2782292926457615</c:v>
                </c:pt>
                <c:pt idx="8">
                  <c:v>10.876714749173171</c:v>
                </c:pt>
                <c:pt idx="9">
                  <c:v>12.793117311496689</c:v>
                </c:pt>
                <c:pt idx="10">
                  <c:v>14.35317761722099</c:v>
                </c:pt>
                <c:pt idx="11">
                  <c:v>15.995476786965035</c:v>
                </c:pt>
                <c:pt idx="12">
                  <c:v>17.124417301851508</c:v>
                </c:pt>
                <c:pt idx="13">
                  <c:v>18.568534101313276</c:v>
                </c:pt>
                <c:pt idx="14">
                  <c:v>19.761211104105335</c:v>
                </c:pt>
                <c:pt idx="15">
                  <c:v>20.934298843403795</c:v>
                </c:pt>
                <c:pt idx="16">
                  <c:v>21.962014607251515</c:v>
                </c:pt>
                <c:pt idx="17">
                  <c:v>22.774981074694278</c:v>
                </c:pt>
                <c:pt idx="18">
                  <c:v>23.479979803051648</c:v>
                </c:pt>
                <c:pt idx="19">
                  <c:v>24.141743473623229</c:v>
                </c:pt>
                <c:pt idx="20">
                  <c:v>24.603615357741631</c:v>
                </c:pt>
                <c:pt idx="21">
                  <c:v>25.042545881940473</c:v>
                </c:pt>
                <c:pt idx="22">
                  <c:v>25.807097911293347</c:v>
                </c:pt>
                <c:pt idx="23">
                  <c:v>26.221199972454396</c:v>
                </c:pt>
                <c:pt idx="24">
                  <c:v>26.572150472201006</c:v>
                </c:pt>
                <c:pt idx="25">
                  <c:v>26.804141914435078</c:v>
                </c:pt>
                <c:pt idx="26">
                  <c:v>26.939348481255113</c:v>
                </c:pt>
                <c:pt idx="27">
                  <c:v>27.041105351420704</c:v>
                </c:pt>
                <c:pt idx="28">
                  <c:v>27.108816658126084</c:v>
                </c:pt>
                <c:pt idx="29">
                  <c:v>27.152044433567152</c:v>
                </c:pt>
                <c:pt idx="30">
                  <c:v>27.182475337699859</c:v>
                </c:pt>
                <c:pt idx="31">
                  <c:v>27.201066466036551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D4-4B1D-A06C-BACD18225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350192"/>
        <c:axId val="170366495"/>
      </c:scatterChart>
      <c:valAx>
        <c:axId val="164335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66495"/>
        <c:crosses val="autoZero"/>
        <c:crossBetween val="midCat"/>
      </c:valAx>
      <c:valAx>
        <c:axId val="17036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35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Scaled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'043'!$B$4:$B$11</c:f>
              <c:numCache>
                <c:formatCode>General</c:formatCode>
                <c:ptCount val="8"/>
                <c:pt idx="0">
                  <c:v>0</c:v>
                </c:pt>
                <c:pt idx="1">
                  <c:v>490.65500000000003</c:v>
                </c:pt>
                <c:pt idx="2">
                  <c:v>1016.04</c:v>
                </c:pt>
                <c:pt idx="3">
                  <c:v>1535.07</c:v>
                </c:pt>
                <c:pt idx="4">
                  <c:v>2048.96</c:v>
                </c:pt>
                <c:pt idx="5">
                  <c:v>2533.5699999999997</c:v>
                </c:pt>
                <c:pt idx="6">
                  <c:v>3045.35</c:v>
                </c:pt>
                <c:pt idx="7">
                  <c:v>3556.6699999999996</c:v>
                </c:pt>
              </c:numCache>
            </c:numRef>
          </c:xVal>
          <c:yVal>
            <c:numRef>
              <c:f>'043'!$E$4:$E$11</c:f>
              <c:numCache>
                <c:formatCode>General</c:formatCode>
                <c:ptCount val="8"/>
                <c:pt idx="0">
                  <c:v>0</c:v>
                </c:pt>
                <c:pt idx="1">
                  <c:v>5.0939015567637353</c:v>
                </c:pt>
                <c:pt idx="2">
                  <c:v>15.194599900144166</c:v>
                </c:pt>
                <c:pt idx="3">
                  <c:v>20.820108195160046</c:v>
                </c:pt>
                <c:pt idx="4">
                  <c:v>22.822812311241893</c:v>
                </c:pt>
                <c:pt idx="5">
                  <c:v>23.654638535204747</c:v>
                </c:pt>
                <c:pt idx="6">
                  <c:v>24.165612635165079</c:v>
                </c:pt>
                <c:pt idx="7">
                  <c:v>24.356975489133365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19-4781-A2AF-354A95807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90143"/>
        <c:axId val="170340703"/>
      </c:scatterChart>
      <c:scatterChart>
        <c:scatterStyle val="smoothMarker"/>
        <c:varyColors val="0"/>
        <c:ser>
          <c:idx val="1"/>
          <c:order val="1"/>
          <c:tx>
            <c:v>Toth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'043'!$B$4:$B$11</c:f>
              <c:numCache>
                <c:formatCode>General</c:formatCode>
                <c:ptCount val="8"/>
                <c:pt idx="0">
                  <c:v>0</c:v>
                </c:pt>
                <c:pt idx="1">
                  <c:v>490.65500000000003</c:v>
                </c:pt>
                <c:pt idx="2">
                  <c:v>1016.04</c:v>
                </c:pt>
                <c:pt idx="3">
                  <c:v>1535.07</c:v>
                </c:pt>
                <c:pt idx="4">
                  <c:v>2048.96</c:v>
                </c:pt>
                <c:pt idx="5">
                  <c:v>2533.5699999999997</c:v>
                </c:pt>
                <c:pt idx="6">
                  <c:v>3045.35</c:v>
                </c:pt>
                <c:pt idx="7">
                  <c:v>3556.6699999999996</c:v>
                </c:pt>
              </c:numCache>
            </c:numRef>
          </c:xVal>
          <c:yVal>
            <c:numRef>
              <c:f>'043'!$K$4:$K$11</c:f>
              <c:numCache>
                <c:formatCode>General</c:formatCode>
                <c:ptCount val="8"/>
                <c:pt idx="0">
                  <c:v>0</c:v>
                </c:pt>
                <c:pt idx="1">
                  <c:v>8.2212372363278927</c:v>
                </c:pt>
                <c:pt idx="2">
                  <c:v>14.682450512313864</c:v>
                </c:pt>
                <c:pt idx="3">
                  <c:v>18.628796256531146</c:v>
                </c:pt>
                <c:pt idx="4">
                  <c:v>20.975779702785509</c:v>
                </c:pt>
                <c:pt idx="5">
                  <c:v>22.359639326876589</c:v>
                </c:pt>
                <c:pt idx="6">
                  <c:v>23.313594560201867</c:v>
                </c:pt>
                <c:pt idx="7">
                  <c:v>23.954524893489722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19-4781-A2AF-354A958070AC}"/>
            </c:ext>
          </c:extLst>
        </c:ser>
        <c:ser>
          <c:idx val="2"/>
          <c:order val="2"/>
          <c:tx>
            <c:v>Bingel-Walton Fit (2V)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'043'!$B$4:$B$11</c:f>
              <c:numCache>
                <c:formatCode>General</c:formatCode>
                <c:ptCount val="8"/>
                <c:pt idx="0">
                  <c:v>0</c:v>
                </c:pt>
                <c:pt idx="1">
                  <c:v>490.65500000000003</c:v>
                </c:pt>
                <c:pt idx="2">
                  <c:v>1016.04</c:v>
                </c:pt>
                <c:pt idx="3">
                  <c:v>1535.07</c:v>
                </c:pt>
                <c:pt idx="4">
                  <c:v>2048.96</c:v>
                </c:pt>
                <c:pt idx="5">
                  <c:v>2533.5699999999997</c:v>
                </c:pt>
                <c:pt idx="6">
                  <c:v>3045.35</c:v>
                </c:pt>
                <c:pt idx="7">
                  <c:v>3556.6699999999996</c:v>
                </c:pt>
              </c:numCache>
            </c:numRef>
          </c:xVal>
          <c:yVal>
            <c:numRef>
              <c:f>'043'!$U$4:$U$11</c:f>
              <c:numCache>
                <c:formatCode>General</c:formatCode>
                <c:ptCount val="8"/>
                <c:pt idx="0">
                  <c:v>0</c:v>
                </c:pt>
                <c:pt idx="1">
                  <c:v>5.5888990147907363</c:v>
                </c:pt>
                <c:pt idx="2">
                  <c:v>14.648588045677519</c:v>
                </c:pt>
                <c:pt idx="3">
                  <c:v>20.959953931092649</c:v>
                </c:pt>
                <c:pt idx="4">
                  <c:v>23.378364159999826</c:v>
                </c:pt>
                <c:pt idx="5">
                  <c:v>24.073179691366221</c:v>
                </c:pt>
                <c:pt idx="6">
                  <c:v>24.281688702995751</c:v>
                </c:pt>
                <c:pt idx="7">
                  <c:v>24.337090940370391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19-4781-A2AF-354A958070AC}"/>
            </c:ext>
          </c:extLst>
        </c:ser>
        <c:ser>
          <c:idx val="3"/>
          <c:order val="3"/>
          <c:tx>
            <c:v>Bingel-Walton Fit (3V)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'043'!$H$4:$H$11</c:f>
              <c:numCache>
                <c:formatCode>General</c:formatCode>
                <c:ptCount val="8"/>
                <c:pt idx="0">
                  <c:v>0</c:v>
                </c:pt>
                <c:pt idx="1">
                  <c:v>490.65500000000003</c:v>
                </c:pt>
                <c:pt idx="2">
                  <c:v>1016.04</c:v>
                </c:pt>
                <c:pt idx="3">
                  <c:v>1535.07</c:v>
                </c:pt>
                <c:pt idx="4">
                  <c:v>2048.96</c:v>
                </c:pt>
                <c:pt idx="5">
                  <c:v>2533.5699999999997</c:v>
                </c:pt>
                <c:pt idx="6">
                  <c:v>3045.35</c:v>
                </c:pt>
                <c:pt idx="7">
                  <c:v>3556.6699999999996</c:v>
                </c:pt>
              </c:numCache>
            </c:numRef>
          </c:xVal>
          <c:yVal>
            <c:numRef>
              <c:f>'043'!$AD$4:$AD$11</c:f>
              <c:numCache>
                <c:formatCode>General</c:formatCode>
                <c:ptCount val="8"/>
                <c:pt idx="0">
                  <c:v>0</c:v>
                </c:pt>
                <c:pt idx="1">
                  <c:v>5.4351917730305104</c:v>
                </c:pt>
                <c:pt idx="2">
                  <c:v>14.777313506334522</c:v>
                </c:pt>
                <c:pt idx="3">
                  <c:v>21.057169830705906</c:v>
                </c:pt>
                <c:pt idx="4">
                  <c:v>23.23734682011332</c:v>
                </c:pt>
                <c:pt idx="5">
                  <c:v>23.801299367784999</c:v>
                </c:pt>
                <c:pt idx="6">
                  <c:v>23.954923126570058</c:v>
                </c:pt>
                <c:pt idx="7">
                  <c:v>23.991981277273087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A2-4E2A-A3E2-84096679C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90143"/>
        <c:axId val="170340703"/>
      </c:scatterChart>
      <c:valAx>
        <c:axId val="167990143"/>
        <c:scaling>
          <c:orientation val="minMax"/>
          <c:max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40703"/>
        <c:crosses val="autoZero"/>
        <c:crossBetween val="midCat"/>
      </c:valAx>
      <c:valAx>
        <c:axId val="17034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90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Scaled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'046'!$B$4:$B$13</c:f>
              <c:numCache>
                <c:formatCode>General</c:formatCode>
                <c:ptCount val="10"/>
                <c:pt idx="0">
                  <c:v>394.12900000000002</c:v>
                </c:pt>
                <c:pt idx="1">
                  <c:v>523.47900000000004</c:v>
                </c:pt>
                <c:pt idx="2">
                  <c:v>763.779</c:v>
                </c:pt>
                <c:pt idx="3">
                  <c:v>1041.1899999999998</c:v>
                </c:pt>
                <c:pt idx="4">
                  <c:v>1447.87</c:v>
                </c:pt>
                <c:pt idx="5">
                  <c:v>1989.5600000000002</c:v>
                </c:pt>
                <c:pt idx="6">
                  <c:v>2549.3200000000002</c:v>
                </c:pt>
                <c:pt idx="7">
                  <c:v>2869.15</c:v>
                </c:pt>
                <c:pt idx="8">
                  <c:v>3059.76</c:v>
                </c:pt>
                <c:pt idx="9">
                  <c:v>3158.1800000000003</c:v>
                </c:pt>
              </c:numCache>
            </c:numRef>
          </c:xVal>
          <c:yVal>
            <c:numRef>
              <c:f>'046'!$D$4:$D$13</c:f>
              <c:numCache>
                <c:formatCode>General</c:formatCode>
                <c:ptCount val="10"/>
                <c:pt idx="0">
                  <c:v>3.6180097099236641</c:v>
                </c:pt>
                <c:pt idx="1">
                  <c:v>4.9474499541984729</c:v>
                </c:pt>
                <c:pt idx="2">
                  <c:v>7.8289018625954201</c:v>
                </c:pt>
                <c:pt idx="3">
                  <c:v>11.893967633587785</c:v>
                </c:pt>
                <c:pt idx="4">
                  <c:v>16.844346870229003</c:v>
                </c:pt>
                <c:pt idx="5">
                  <c:v>20.606799389312975</c:v>
                </c:pt>
                <c:pt idx="6">
                  <c:v>22.369773435114503</c:v>
                </c:pt>
                <c:pt idx="7">
                  <c:v>23.176244885496178</c:v>
                </c:pt>
                <c:pt idx="8">
                  <c:v>23.393725190839689</c:v>
                </c:pt>
                <c:pt idx="9">
                  <c:v>23.687410076335876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3-49FF-9F11-933E5C2F8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07343"/>
        <c:axId val="170391871"/>
      </c:scatterChart>
      <c:scatterChart>
        <c:scatterStyle val="smoothMarker"/>
        <c:varyColors val="0"/>
        <c:ser>
          <c:idx val="1"/>
          <c:order val="1"/>
          <c:tx>
            <c:v>Toth 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'046'!$B$4:$B$13</c:f>
              <c:numCache>
                <c:formatCode>General</c:formatCode>
                <c:ptCount val="10"/>
                <c:pt idx="0">
                  <c:v>394.12900000000002</c:v>
                </c:pt>
                <c:pt idx="1">
                  <c:v>523.47900000000004</c:v>
                </c:pt>
                <c:pt idx="2">
                  <c:v>763.779</c:v>
                </c:pt>
                <c:pt idx="3">
                  <c:v>1041.1899999999998</c:v>
                </c:pt>
                <c:pt idx="4">
                  <c:v>1447.87</c:v>
                </c:pt>
                <c:pt idx="5">
                  <c:v>1989.5600000000002</c:v>
                </c:pt>
                <c:pt idx="6">
                  <c:v>2549.3200000000002</c:v>
                </c:pt>
                <c:pt idx="7">
                  <c:v>2869.15</c:v>
                </c:pt>
                <c:pt idx="8">
                  <c:v>3059.76</c:v>
                </c:pt>
                <c:pt idx="9">
                  <c:v>3158.1800000000003</c:v>
                </c:pt>
              </c:numCache>
            </c:numRef>
          </c:xVal>
          <c:yVal>
            <c:numRef>
              <c:f>'046'!$K$4:$K$13</c:f>
              <c:numCache>
                <c:formatCode>General</c:formatCode>
                <c:ptCount val="10"/>
                <c:pt idx="0">
                  <c:v>4.9784008436651117</c:v>
                </c:pt>
                <c:pt idx="1">
                  <c:v>6.4761771854643104</c:v>
                </c:pt>
                <c:pt idx="2">
                  <c:v>9.0644313582368703</c:v>
                </c:pt>
                <c:pt idx="3">
                  <c:v>11.746808881904888</c:v>
                </c:pt>
                <c:pt idx="4">
                  <c:v>15.139222088706253</c:v>
                </c:pt>
                <c:pt idx="5">
                  <c:v>18.816096877317715</c:v>
                </c:pt>
                <c:pt idx="6">
                  <c:v>21.820765334362246</c:v>
                </c:pt>
                <c:pt idx="7">
                  <c:v>23.252329244745116</c:v>
                </c:pt>
                <c:pt idx="8">
                  <c:v>24.023327528648039</c:v>
                </c:pt>
                <c:pt idx="9">
                  <c:v>24.399733990353216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63-49FF-9F11-933E5C2F8795}"/>
            </c:ext>
          </c:extLst>
        </c:ser>
        <c:ser>
          <c:idx val="2"/>
          <c:order val="2"/>
          <c:tx>
            <c:v>Bingel-Walton Fit (2V)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'046'!$B$4:$B$13</c:f>
              <c:numCache>
                <c:formatCode>General</c:formatCode>
                <c:ptCount val="10"/>
                <c:pt idx="0">
                  <c:v>394.12900000000002</c:v>
                </c:pt>
                <c:pt idx="1">
                  <c:v>523.47900000000004</c:v>
                </c:pt>
                <c:pt idx="2">
                  <c:v>763.779</c:v>
                </c:pt>
                <c:pt idx="3">
                  <c:v>1041.1899999999998</c:v>
                </c:pt>
                <c:pt idx="4">
                  <c:v>1447.87</c:v>
                </c:pt>
                <c:pt idx="5">
                  <c:v>1989.5600000000002</c:v>
                </c:pt>
                <c:pt idx="6">
                  <c:v>2549.3200000000002</c:v>
                </c:pt>
                <c:pt idx="7">
                  <c:v>2869.15</c:v>
                </c:pt>
                <c:pt idx="8">
                  <c:v>3059.76</c:v>
                </c:pt>
                <c:pt idx="9">
                  <c:v>3158.1800000000003</c:v>
                </c:pt>
              </c:numCache>
            </c:numRef>
          </c:xVal>
          <c:yVal>
            <c:numRef>
              <c:f>'046'!$U$4:$U$13</c:f>
              <c:numCache>
                <c:formatCode>General</c:formatCode>
                <c:ptCount val="10"/>
                <c:pt idx="0">
                  <c:v>3.4940042547501644</c:v>
                </c:pt>
                <c:pt idx="1">
                  <c:v>4.9724977917805928</c:v>
                </c:pt>
                <c:pt idx="2">
                  <c:v>8.0459809568889913</c:v>
                </c:pt>
                <c:pt idx="3">
                  <c:v>11.796784994496663</c:v>
                </c:pt>
                <c:pt idx="4">
                  <c:v>16.675462735981327</c:v>
                </c:pt>
                <c:pt idx="5">
                  <c:v>20.776776537816819</c:v>
                </c:pt>
                <c:pt idx="6">
                  <c:v>22.640209760358832</c:v>
                </c:pt>
                <c:pt idx="7">
                  <c:v>23.117064776747267</c:v>
                </c:pt>
                <c:pt idx="8">
                  <c:v>23.291974414869749</c:v>
                </c:pt>
                <c:pt idx="9">
                  <c:v>23.360376250069521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63-49FF-9F11-933E5C2F8795}"/>
            </c:ext>
          </c:extLst>
        </c:ser>
        <c:ser>
          <c:idx val="3"/>
          <c:order val="3"/>
          <c:tx>
            <c:v>Bingel-Walton Fit (3V)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'046'!$H$4:$H$13</c:f>
              <c:numCache>
                <c:formatCode>General</c:formatCode>
                <c:ptCount val="10"/>
                <c:pt idx="0">
                  <c:v>394.12900000000002</c:v>
                </c:pt>
                <c:pt idx="1">
                  <c:v>523.47900000000004</c:v>
                </c:pt>
                <c:pt idx="2">
                  <c:v>763.779</c:v>
                </c:pt>
                <c:pt idx="3">
                  <c:v>1041.1899999999998</c:v>
                </c:pt>
                <c:pt idx="4">
                  <c:v>1447.87</c:v>
                </c:pt>
                <c:pt idx="5">
                  <c:v>1989.5600000000002</c:v>
                </c:pt>
                <c:pt idx="6">
                  <c:v>2549.3200000000002</c:v>
                </c:pt>
                <c:pt idx="7">
                  <c:v>2869.15</c:v>
                </c:pt>
                <c:pt idx="8">
                  <c:v>3059.76</c:v>
                </c:pt>
                <c:pt idx="9">
                  <c:v>3158.1800000000003</c:v>
                </c:pt>
              </c:numCache>
            </c:numRef>
          </c:xVal>
          <c:yVal>
            <c:numRef>
              <c:f>'046'!$AD$5:$AD$14</c:f>
              <c:numCache>
                <c:formatCode>General</c:formatCode>
                <c:ptCount val="10"/>
                <c:pt idx="0">
                  <c:v>3.5222317388073625</c:v>
                </c:pt>
                <c:pt idx="1">
                  <c:v>4.9999202312121733</c:v>
                </c:pt>
                <c:pt idx="2">
                  <c:v>8.0578512996410137</c:v>
                </c:pt>
                <c:pt idx="3">
                  <c:v>11.77844342993944</c:v>
                </c:pt>
                <c:pt idx="4">
                  <c:v>16.630124499129867</c:v>
                </c:pt>
                <c:pt idx="5">
                  <c:v>20.759228676927233</c:v>
                </c:pt>
                <c:pt idx="6">
                  <c:v>22.674065698661853</c:v>
                </c:pt>
                <c:pt idx="7">
                  <c:v>23.17318532814911</c:v>
                </c:pt>
                <c:pt idx="8">
                  <c:v>23.358123911758057</c:v>
                </c:pt>
                <c:pt idx="9">
                  <c:v>23.430850816396667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A4-4AFF-B677-93222211E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07343"/>
        <c:axId val="170391871"/>
      </c:scatterChart>
      <c:valAx>
        <c:axId val="16800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91871"/>
        <c:crosses val="autoZero"/>
        <c:crossBetween val="midCat"/>
      </c:valAx>
      <c:valAx>
        <c:axId val="17039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07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913139</xdr:colOff>
      <xdr:row>24</xdr:row>
      <xdr:rowOff>100853</xdr:rowOff>
    </xdr:from>
    <xdr:to>
      <xdr:col>26</xdr:col>
      <xdr:colOff>268941</xdr:colOff>
      <xdr:row>59</xdr:row>
      <xdr:rowOff>22411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02FC9-FBFF-436E-A2CD-419A0C7D5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162484</xdr:colOff>
      <xdr:row>29</xdr:row>
      <xdr:rowOff>90767</xdr:rowOff>
    </xdr:from>
    <xdr:to>
      <xdr:col>32</xdr:col>
      <xdr:colOff>84043</xdr:colOff>
      <xdr:row>43</xdr:row>
      <xdr:rowOff>166967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7FF8D7-C9DD-F937-3D67-4122038CC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301437</xdr:colOff>
      <xdr:row>20</xdr:row>
      <xdr:rowOff>60059</xdr:rowOff>
    </xdr:from>
    <xdr:to>
      <xdr:col>26</xdr:col>
      <xdr:colOff>781051</xdr:colOff>
      <xdr:row>40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55D117-7A20-4557-841F-1D5D5C022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15</xdr:row>
      <xdr:rowOff>187902</xdr:rowOff>
    </xdr:from>
    <xdr:to>
      <xdr:col>10</xdr:col>
      <xdr:colOff>481446</xdr:colOff>
      <xdr:row>36</xdr:row>
      <xdr:rowOff>64076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7DCCE1-93D7-47E2-9857-5FD7058CD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738874</xdr:colOff>
      <xdr:row>19</xdr:row>
      <xdr:rowOff>44764</xdr:rowOff>
    </xdr:from>
    <xdr:to>
      <xdr:col>12</xdr:col>
      <xdr:colOff>582706</xdr:colOff>
      <xdr:row>45</xdr:row>
      <xdr:rowOff>78441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1C7E90-5C05-4C66-A1F1-6A9BD862C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183850</xdr:colOff>
      <xdr:row>18</xdr:row>
      <xdr:rowOff>82015</xdr:rowOff>
    </xdr:from>
    <xdr:to>
      <xdr:col>10</xdr:col>
      <xdr:colOff>1104899</xdr:colOff>
      <xdr:row>37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FD8BB3-19CC-4DB2-9C27-3ACE72859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36471</xdr:colOff>
      <xdr:row>25</xdr:row>
      <xdr:rowOff>171013</xdr:rowOff>
    </xdr:from>
    <xdr:to>
      <xdr:col>11</xdr:col>
      <xdr:colOff>46637</xdr:colOff>
      <xdr:row>45</xdr:row>
      <xdr:rowOff>180537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4E1D14-A8BC-41A9-AD5E-B3900E21C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797499</xdr:colOff>
      <xdr:row>16</xdr:row>
      <xdr:rowOff>131885</xdr:rowOff>
    </xdr:from>
    <xdr:to>
      <xdr:col>13</xdr:col>
      <xdr:colOff>271096</xdr:colOff>
      <xdr:row>34</xdr:row>
      <xdr:rowOff>169391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021E37-978E-4136-9F56-CFF123C2F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894156</xdr:colOff>
      <xdr:row>37</xdr:row>
      <xdr:rowOff>97519</xdr:rowOff>
    </xdr:from>
    <xdr:to>
      <xdr:col>13</xdr:col>
      <xdr:colOff>535781</xdr:colOff>
      <xdr:row>58</xdr:row>
      <xdr:rowOff>172641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E8A733-40C8-42EA-B7DE-C712D6E3C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15</xdr:row>
      <xdr:rowOff>71437</xdr:rowOff>
    </xdr:from>
    <xdr:to>
      <xdr:col>12</xdr:col>
      <xdr:colOff>276224</xdr:colOff>
      <xdr:row>34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7FB0BB-F80B-41D7-9597-4589EB257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14</xdr:row>
      <xdr:rowOff>128586</xdr:rowOff>
    </xdr:from>
    <xdr:to>
      <xdr:col>10</xdr:col>
      <xdr:colOff>381000</xdr:colOff>
      <xdr:row>30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386F14-19D0-4AF2-B8AC-B4896FE84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dsorption.nist.gov/isodb/index.php?DOI=10.1002/anie.200700218" TargetMode="External"/><Relationship Id="rId18" Type="http://schemas.openxmlformats.org/officeDocument/2006/relationships/hyperlink" Target="https://doi.org/10.1016/j.seppur.2018.01.013" TargetMode="External"/><Relationship Id="rId26" Type="http://schemas.openxmlformats.org/officeDocument/2006/relationships/hyperlink" Target="https://doi.org/10.1021/Jp4053538" TargetMode="External"/><Relationship Id="rId39" Type="http://schemas.openxmlformats.org/officeDocument/2006/relationships/hyperlink" Target="https://adsorption.nist.gov/isodb/index.php?DOI=10.1039/C0ee00700e" TargetMode="External"/><Relationship Id="rId21" Type="http://schemas.openxmlformats.org/officeDocument/2006/relationships/hyperlink" Target="https://doi.org/10.1021/acs.jctc.5b00093" TargetMode="External"/><Relationship Id="rId34" Type="http://schemas.openxmlformats.org/officeDocument/2006/relationships/hyperlink" Target="https://doi.org/10.1021/Ie901000x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adsorption.nist.gov/isodb/index.php?DOI=10.1021/Ja0570032" TargetMode="External"/><Relationship Id="rId2" Type="http://schemas.openxmlformats.org/officeDocument/2006/relationships/hyperlink" Target="https://doi.org/10.1016/j.cej.2009.10.067" TargetMode="External"/><Relationship Id="rId16" Type="http://schemas.openxmlformats.org/officeDocument/2006/relationships/hyperlink" Target="https://doi.org/10.1007/s10450-010-9305-3" TargetMode="External"/><Relationship Id="rId20" Type="http://schemas.openxmlformats.org/officeDocument/2006/relationships/hyperlink" Target="https://doi.org/10.1016/S2095-4956(14)60171-6" TargetMode="External"/><Relationship Id="rId29" Type="http://schemas.openxmlformats.org/officeDocument/2006/relationships/hyperlink" Target="https://adsorption.nist.gov/isodb/index.php?DOI=10.1021/Ie8005269" TargetMode="External"/><Relationship Id="rId41" Type="http://schemas.openxmlformats.org/officeDocument/2006/relationships/hyperlink" Target="https://doi.org/10.1016/j.micromeso.2008.04.033" TargetMode="External"/><Relationship Id="rId1" Type="http://schemas.openxmlformats.org/officeDocument/2006/relationships/hyperlink" Target="https://adsorption.nist.gov/isodb/index.php?DOI=10.1016/j.cej.2009.10.067" TargetMode="External"/><Relationship Id="rId6" Type="http://schemas.openxmlformats.org/officeDocument/2006/relationships/hyperlink" Target="https://doi.org/10.1016/j.micromeso.2008.04.033" TargetMode="External"/><Relationship Id="rId11" Type="http://schemas.openxmlformats.org/officeDocument/2006/relationships/hyperlink" Target="https://adsorption.nist.gov/isodb/index.php?DOI=10.1002/Aic.14467" TargetMode="External"/><Relationship Id="rId24" Type="http://schemas.openxmlformats.org/officeDocument/2006/relationships/hyperlink" Target="https://doi.org/10.1021/Cm502399q" TargetMode="External"/><Relationship Id="rId32" Type="http://schemas.openxmlformats.org/officeDocument/2006/relationships/hyperlink" Target="https://doi.org/10.1021/Ie900665f" TargetMode="External"/><Relationship Id="rId37" Type="http://schemas.openxmlformats.org/officeDocument/2006/relationships/hyperlink" Target="https://adsorption.nist.gov/isodb/index.php?DOI=10.1038/srep12045" TargetMode="External"/><Relationship Id="rId40" Type="http://schemas.openxmlformats.org/officeDocument/2006/relationships/hyperlink" Target="https://doi.org/10.1039/C0ee00700e" TargetMode="External"/><Relationship Id="rId5" Type="http://schemas.openxmlformats.org/officeDocument/2006/relationships/hyperlink" Target="https://adsorption.nist.gov/isodb/index.php?DOI=10.1016/j.micromeso.2008.04.033" TargetMode="External"/><Relationship Id="rId15" Type="http://schemas.openxmlformats.org/officeDocument/2006/relationships/hyperlink" Target="https://adsorption.nist.gov/isodb/index.php?DOI=10.1007/s10450-010-9305-3" TargetMode="External"/><Relationship Id="rId23" Type="http://schemas.openxmlformats.org/officeDocument/2006/relationships/hyperlink" Target="https://adsorption.nist.gov/isodb/index.php?DOI=10.1021/Cm502399q" TargetMode="External"/><Relationship Id="rId28" Type="http://schemas.openxmlformats.org/officeDocument/2006/relationships/hyperlink" Target="https://doi.org/10.1021/Ie202777q" TargetMode="External"/><Relationship Id="rId36" Type="http://schemas.openxmlformats.org/officeDocument/2006/relationships/hyperlink" Target="https://doi.org/10.1021/Jp062723w" TargetMode="External"/><Relationship Id="rId10" Type="http://schemas.openxmlformats.org/officeDocument/2006/relationships/hyperlink" Target="https://doi.org/10.1016/j.seppur.2014.08.021" TargetMode="External"/><Relationship Id="rId19" Type="http://schemas.openxmlformats.org/officeDocument/2006/relationships/hyperlink" Target="https://adsorption.nist.gov/isodb/index.php?DOI=10.1016/S2095-4956(14)60171-6" TargetMode="External"/><Relationship Id="rId31" Type="http://schemas.openxmlformats.org/officeDocument/2006/relationships/hyperlink" Target="https://adsorption.nist.gov/isodb/index.php?DOI=10.1021/Ie900665f" TargetMode="External"/><Relationship Id="rId4" Type="http://schemas.openxmlformats.org/officeDocument/2006/relationships/hyperlink" Target="https://doi.org/10.1016/j.ijhydene.2011.11.023" TargetMode="External"/><Relationship Id="rId9" Type="http://schemas.openxmlformats.org/officeDocument/2006/relationships/hyperlink" Target="https://adsorption.nist.gov/isodb/index.php?DOI=10.1016/j.seppur.2014.08.021" TargetMode="External"/><Relationship Id="rId14" Type="http://schemas.openxmlformats.org/officeDocument/2006/relationships/hyperlink" Target="https://doi.org/10.1002/anie.200700218" TargetMode="External"/><Relationship Id="rId22" Type="http://schemas.openxmlformats.org/officeDocument/2006/relationships/hyperlink" Target="https://adsorption.nist.gov/isodb/index.php?DOI=10.1021/acs.jctc.5b00093" TargetMode="External"/><Relationship Id="rId27" Type="http://schemas.openxmlformats.org/officeDocument/2006/relationships/hyperlink" Target="https://adsorption.nist.gov/isodb/index.php?DOI=10.1021/Ie202777q" TargetMode="External"/><Relationship Id="rId30" Type="http://schemas.openxmlformats.org/officeDocument/2006/relationships/hyperlink" Target="https://doi.org/10.1021/Ie8005269" TargetMode="External"/><Relationship Id="rId35" Type="http://schemas.openxmlformats.org/officeDocument/2006/relationships/hyperlink" Target="https://adsorption.nist.gov/isodb/index.php" TargetMode="External"/><Relationship Id="rId8" Type="http://schemas.openxmlformats.org/officeDocument/2006/relationships/hyperlink" Target="https://doi.org/10.1021/Ja0570032" TargetMode="External"/><Relationship Id="rId3" Type="http://schemas.openxmlformats.org/officeDocument/2006/relationships/hyperlink" Target="https://adsorption.nist.gov/isodb/index.php?DOI=10.1016/j.ijhydene.2011.11.023" TargetMode="External"/><Relationship Id="rId12" Type="http://schemas.openxmlformats.org/officeDocument/2006/relationships/hyperlink" Target="https://doi.org/10.1002/Aic.14467" TargetMode="External"/><Relationship Id="rId17" Type="http://schemas.openxmlformats.org/officeDocument/2006/relationships/hyperlink" Target="https://adsorption.nist.gov/isodb/index.php?DOI=10.1016/j.seppur.2018.01.013" TargetMode="External"/><Relationship Id="rId25" Type="http://schemas.openxmlformats.org/officeDocument/2006/relationships/hyperlink" Target="https://adsorption.nist.gov/isodb/index.php?DOI=10.1021/Jp4053538" TargetMode="External"/><Relationship Id="rId33" Type="http://schemas.openxmlformats.org/officeDocument/2006/relationships/hyperlink" Target="https://adsorption.nist.gov/isodb/index.php?DOI=10.1021/Ie901000x" TargetMode="External"/><Relationship Id="rId38" Type="http://schemas.openxmlformats.org/officeDocument/2006/relationships/hyperlink" Target="https://doi.org/10.1038/srep120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946E-3E68-4221-A82F-4EAD97752620}">
  <dimension ref="A1:I36"/>
  <sheetViews>
    <sheetView tabSelected="1" zoomScale="70" zoomScaleNormal="70" workbookViewId="0">
      <selection activeCell="E28" sqref="E28"/>
    </sheetView>
  </sheetViews>
  <sheetFormatPr defaultRowHeight="15" x14ac:dyDescent="0.25"/>
  <cols>
    <col min="1" max="1" width="25" customWidth="1"/>
    <col min="2" max="2" width="19" customWidth="1"/>
    <col min="3" max="3" width="18.140625" customWidth="1"/>
    <col min="4" max="4" width="16.42578125" customWidth="1"/>
    <col min="5" max="5" width="25.5703125" customWidth="1"/>
    <col min="6" max="6" width="19.7109375" customWidth="1"/>
    <col min="7" max="7" width="24" customWidth="1"/>
    <col min="8" max="8" width="24.5703125" customWidth="1"/>
    <col min="9" max="9" width="33.85546875" customWidth="1"/>
  </cols>
  <sheetData>
    <row r="1" spans="1:9" x14ac:dyDescent="0.25">
      <c r="A1" s="1" t="s">
        <v>0</v>
      </c>
      <c r="E1" s="1" t="s">
        <v>33</v>
      </c>
    </row>
    <row r="2" spans="1:9" x14ac:dyDescent="0.25">
      <c r="A2" t="s">
        <v>1</v>
      </c>
      <c r="B2" t="s">
        <v>2</v>
      </c>
      <c r="C2">
        <v>64.503495000000001</v>
      </c>
      <c r="E2" t="s">
        <v>3</v>
      </c>
      <c r="F2" t="s">
        <v>4</v>
      </c>
      <c r="G2">
        <v>0.3</v>
      </c>
      <c r="H2" t="s">
        <v>47</v>
      </c>
      <c r="I2">
        <f>G2*1000</f>
        <v>300</v>
      </c>
    </row>
    <row r="3" spans="1:9" x14ac:dyDescent="0.25">
      <c r="A3" t="s">
        <v>5</v>
      </c>
      <c r="B3" t="s">
        <v>6</v>
      </c>
      <c r="C3">
        <v>44.009</v>
      </c>
      <c r="D3">
        <f>C3/1000</f>
        <v>4.4009E-2</v>
      </c>
      <c r="E3" t="s">
        <v>5</v>
      </c>
      <c r="F3" t="s">
        <v>7</v>
      </c>
      <c r="G3" s="2"/>
      <c r="H3" s="46"/>
      <c r="I3" s="46"/>
    </row>
    <row r="4" spans="1:9" x14ac:dyDescent="0.25">
      <c r="A4" t="s">
        <v>8</v>
      </c>
      <c r="B4" t="s">
        <v>9</v>
      </c>
      <c r="C4" s="3">
        <v>22.413975747599999</v>
      </c>
      <c r="E4" s="4" t="s">
        <v>10</v>
      </c>
      <c r="F4" t="s">
        <v>11</v>
      </c>
      <c r="G4" s="19">
        <v>1.4159999999999999</v>
      </c>
    </row>
    <row r="6" spans="1:9" x14ac:dyDescent="0.25">
      <c r="A6" t="s">
        <v>12</v>
      </c>
      <c r="B6">
        <f>SUM(B7:B9)</f>
        <v>12</v>
      </c>
      <c r="C6" t="s">
        <v>120</v>
      </c>
      <c r="D6">
        <f>SUM(B7:B8)</f>
        <v>10</v>
      </c>
    </row>
    <row r="7" spans="1:9" x14ac:dyDescent="0.25">
      <c r="A7" s="5" t="s">
        <v>13</v>
      </c>
      <c r="B7">
        <v>7</v>
      </c>
    </row>
    <row r="8" spans="1:9" x14ac:dyDescent="0.25">
      <c r="A8" s="6" t="s">
        <v>14</v>
      </c>
      <c r="B8">
        <v>3</v>
      </c>
    </row>
    <row r="9" spans="1:9" x14ac:dyDescent="0.25">
      <c r="A9" s="7" t="s">
        <v>15</v>
      </c>
      <c r="B9">
        <v>2</v>
      </c>
    </row>
    <row r="11" spans="1:9" x14ac:dyDescent="0.25">
      <c r="A11" s="8" t="s">
        <v>16</v>
      </c>
      <c r="B11" s="8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23</v>
      </c>
      <c r="I11" s="8" t="s">
        <v>24</v>
      </c>
    </row>
    <row r="12" spans="1:9" x14ac:dyDescent="0.25">
      <c r="A12" t="s">
        <v>66</v>
      </c>
      <c r="B12" t="s">
        <v>51</v>
      </c>
      <c r="C12" s="11" t="s">
        <v>67</v>
      </c>
      <c r="D12" s="12" t="s">
        <v>46</v>
      </c>
      <c r="E12" t="s">
        <v>68</v>
      </c>
      <c r="F12" s="11" t="s">
        <v>69</v>
      </c>
      <c r="G12" t="s">
        <v>39</v>
      </c>
      <c r="H12" t="s">
        <v>39</v>
      </c>
      <c r="I12" t="s">
        <v>65</v>
      </c>
    </row>
    <row r="13" spans="1:9" x14ac:dyDescent="0.25">
      <c r="A13" t="s">
        <v>70</v>
      </c>
      <c r="B13" t="s">
        <v>51</v>
      </c>
      <c r="C13" s="11" t="s">
        <v>71</v>
      </c>
      <c r="D13" s="12" t="s">
        <v>46</v>
      </c>
      <c r="E13" t="s">
        <v>72</v>
      </c>
      <c r="F13" s="11" t="s">
        <v>73</v>
      </c>
      <c r="G13" t="s">
        <v>39</v>
      </c>
      <c r="H13" t="s">
        <v>39</v>
      </c>
      <c r="I13" t="s">
        <v>65</v>
      </c>
    </row>
    <row r="14" spans="1:9" x14ac:dyDescent="0.25">
      <c r="A14" t="s">
        <v>74</v>
      </c>
      <c r="B14" t="s">
        <v>51</v>
      </c>
      <c r="C14" s="11" t="s">
        <v>75</v>
      </c>
      <c r="D14" s="12" t="s">
        <v>46</v>
      </c>
      <c r="E14" t="s">
        <v>76</v>
      </c>
      <c r="F14" s="11" t="s">
        <v>77</v>
      </c>
      <c r="G14" t="s">
        <v>39</v>
      </c>
      <c r="H14" t="s">
        <v>39</v>
      </c>
      <c r="I14" t="s">
        <v>78</v>
      </c>
    </row>
    <row r="15" spans="1:9" x14ac:dyDescent="0.25">
      <c r="A15" s="7" t="s">
        <v>34</v>
      </c>
      <c r="B15" t="s">
        <v>35</v>
      </c>
      <c r="C15" s="11" t="s">
        <v>36</v>
      </c>
      <c r="D15" t="s">
        <v>108</v>
      </c>
      <c r="E15" t="s">
        <v>37</v>
      </c>
      <c r="F15" s="11" t="s">
        <v>38</v>
      </c>
      <c r="G15" t="s">
        <v>39</v>
      </c>
      <c r="H15" t="s">
        <v>39</v>
      </c>
    </row>
    <row r="16" spans="1:9" x14ac:dyDescent="0.25">
      <c r="A16" s="5" t="s">
        <v>44</v>
      </c>
      <c r="B16" t="s">
        <v>45</v>
      </c>
      <c r="C16" s="36" t="s">
        <v>48</v>
      </c>
      <c r="D16" s="12" t="s">
        <v>176</v>
      </c>
      <c r="E16" t="s">
        <v>49</v>
      </c>
      <c r="F16" s="11" t="s">
        <v>50</v>
      </c>
      <c r="G16">
        <v>1.1299999999999999</v>
      </c>
      <c r="H16">
        <v>1.252</v>
      </c>
      <c r="I16" t="s">
        <v>175</v>
      </c>
    </row>
    <row r="17" spans="1:9" x14ac:dyDescent="0.25">
      <c r="A17" s="5" t="s">
        <v>156</v>
      </c>
      <c r="B17" t="s">
        <v>51</v>
      </c>
      <c r="C17" s="17" t="s">
        <v>52</v>
      </c>
      <c r="D17" t="s">
        <v>53</v>
      </c>
      <c r="E17" t="s">
        <v>56</v>
      </c>
      <c r="F17" s="11" t="s">
        <v>54</v>
      </c>
      <c r="G17">
        <v>1.21</v>
      </c>
      <c r="H17">
        <v>1.32</v>
      </c>
      <c r="I17" t="s">
        <v>158</v>
      </c>
    </row>
    <row r="18" spans="1:9" x14ac:dyDescent="0.25">
      <c r="A18" s="5" t="s">
        <v>157</v>
      </c>
      <c r="B18" t="s">
        <v>51</v>
      </c>
      <c r="C18" t="s">
        <v>52</v>
      </c>
      <c r="D18" s="12" t="s">
        <v>160</v>
      </c>
      <c r="E18" t="s">
        <v>56</v>
      </c>
      <c r="F18" s="17" t="s">
        <v>161</v>
      </c>
      <c r="G18">
        <v>1.135</v>
      </c>
      <c r="H18">
        <v>1.22</v>
      </c>
      <c r="I18" t="s">
        <v>159</v>
      </c>
    </row>
    <row r="19" spans="1:9" x14ac:dyDescent="0.25">
      <c r="A19" t="s">
        <v>61</v>
      </c>
      <c r="B19" t="s">
        <v>51</v>
      </c>
      <c r="C19" s="11" t="s">
        <v>62</v>
      </c>
      <c r="D19" s="12" t="s">
        <v>46</v>
      </c>
      <c r="E19" t="s">
        <v>63</v>
      </c>
      <c r="F19" s="11" t="s">
        <v>64</v>
      </c>
      <c r="G19" t="s">
        <v>39</v>
      </c>
      <c r="H19" t="s">
        <v>39</v>
      </c>
      <c r="I19" t="s">
        <v>65</v>
      </c>
    </row>
    <row r="20" spans="1:9" x14ac:dyDescent="0.25">
      <c r="A20" s="6" t="s">
        <v>81</v>
      </c>
      <c r="B20" t="s">
        <v>51</v>
      </c>
      <c r="C20" s="36" t="s">
        <v>82</v>
      </c>
      <c r="D20" s="12" t="s">
        <v>46</v>
      </c>
      <c r="E20" t="s">
        <v>83</v>
      </c>
      <c r="F20" s="13" t="s">
        <v>84</v>
      </c>
      <c r="G20">
        <v>1.31</v>
      </c>
      <c r="H20" s="38">
        <v>1.2403</v>
      </c>
      <c r="I20" t="s">
        <v>163</v>
      </c>
    </row>
    <row r="21" spans="1:9" x14ac:dyDescent="0.25">
      <c r="A21" s="5" t="s">
        <v>86</v>
      </c>
      <c r="B21" t="s">
        <v>45</v>
      </c>
      <c r="C21" s="36" t="s">
        <v>87</v>
      </c>
      <c r="D21" s="12" t="s">
        <v>46</v>
      </c>
      <c r="E21" t="s">
        <v>88</v>
      </c>
      <c r="F21" s="13" t="s">
        <v>89</v>
      </c>
      <c r="G21">
        <v>0.3</v>
      </c>
      <c r="H21">
        <v>0.29899999999999999</v>
      </c>
      <c r="I21" t="s">
        <v>164</v>
      </c>
    </row>
    <row r="22" spans="1:9" x14ac:dyDescent="0.25">
      <c r="A22" t="s">
        <v>90</v>
      </c>
      <c r="B22" t="s">
        <v>51</v>
      </c>
      <c r="C22" s="13" t="s">
        <v>92</v>
      </c>
      <c r="D22" s="12" t="s">
        <v>46</v>
      </c>
      <c r="E22" t="s">
        <v>76</v>
      </c>
      <c r="F22" s="13" t="s">
        <v>91</v>
      </c>
      <c r="G22" t="s">
        <v>39</v>
      </c>
      <c r="H22" t="s">
        <v>39</v>
      </c>
      <c r="I22" t="s">
        <v>65</v>
      </c>
    </row>
    <row r="23" spans="1:9" x14ac:dyDescent="0.25">
      <c r="A23" s="5" t="s">
        <v>93</v>
      </c>
      <c r="B23" t="s">
        <v>45</v>
      </c>
      <c r="C23" s="13" t="s">
        <v>94</v>
      </c>
      <c r="D23" s="12" t="s">
        <v>46</v>
      </c>
      <c r="E23" t="s">
        <v>95</v>
      </c>
      <c r="F23" s="13" t="s">
        <v>96</v>
      </c>
      <c r="G23">
        <v>1.33</v>
      </c>
      <c r="H23">
        <v>1.34</v>
      </c>
    </row>
    <row r="24" spans="1:9" x14ac:dyDescent="0.25">
      <c r="A24" s="7" t="s">
        <v>102</v>
      </c>
      <c r="B24" t="s">
        <v>101</v>
      </c>
      <c r="C24" s="14" t="s">
        <v>103</v>
      </c>
      <c r="D24" t="s">
        <v>107</v>
      </c>
      <c r="E24" t="s">
        <v>104</v>
      </c>
      <c r="F24" s="14" t="s">
        <v>105</v>
      </c>
      <c r="G24" t="s">
        <v>39</v>
      </c>
      <c r="H24" t="s">
        <v>39</v>
      </c>
    </row>
    <row r="25" spans="1:9" x14ac:dyDescent="0.25">
      <c r="A25" t="s">
        <v>106</v>
      </c>
      <c r="B25" t="s">
        <v>51</v>
      </c>
      <c r="C25" s="14" t="s">
        <v>109</v>
      </c>
      <c r="D25" s="12" t="s">
        <v>46</v>
      </c>
      <c r="E25" t="s">
        <v>110</v>
      </c>
      <c r="F25" s="14" t="s">
        <v>111</v>
      </c>
      <c r="G25" t="s">
        <v>39</v>
      </c>
      <c r="H25" t="s">
        <v>39</v>
      </c>
      <c r="I25" t="s">
        <v>65</v>
      </c>
    </row>
    <row r="26" spans="1:9" x14ac:dyDescent="0.25">
      <c r="A26" s="5" t="s">
        <v>166</v>
      </c>
      <c r="B26" t="s">
        <v>112</v>
      </c>
      <c r="C26" s="36" t="s">
        <v>165</v>
      </c>
      <c r="D26" s="12" t="s">
        <v>114</v>
      </c>
      <c r="E26" t="s">
        <v>104</v>
      </c>
      <c r="F26" s="14" t="s">
        <v>115</v>
      </c>
      <c r="G26">
        <v>1.01</v>
      </c>
      <c r="H26">
        <v>0.96599999999999997</v>
      </c>
      <c r="I26" t="s">
        <v>167</v>
      </c>
    </row>
    <row r="27" spans="1:9" x14ac:dyDescent="0.25">
      <c r="A27" t="s">
        <v>116</v>
      </c>
      <c r="B27" t="s">
        <v>51</v>
      </c>
      <c r="C27" s="14" t="s">
        <v>117</v>
      </c>
      <c r="D27" s="12" t="s">
        <v>46</v>
      </c>
      <c r="E27" t="s">
        <v>118</v>
      </c>
      <c r="F27" s="14" t="s">
        <v>119</v>
      </c>
      <c r="G27" t="s">
        <v>39</v>
      </c>
      <c r="H27" t="s">
        <v>39</v>
      </c>
      <c r="I27" t="s">
        <v>65</v>
      </c>
    </row>
    <row r="28" spans="1:9" x14ac:dyDescent="0.25">
      <c r="A28" s="6" t="s">
        <v>57</v>
      </c>
      <c r="B28" t="s">
        <v>51</v>
      </c>
      <c r="C28" s="11" t="s">
        <v>58</v>
      </c>
      <c r="D28" s="12" t="s">
        <v>46</v>
      </c>
      <c r="E28" t="s">
        <v>59</v>
      </c>
      <c r="F28" s="11" t="s">
        <v>60</v>
      </c>
      <c r="G28">
        <v>1.1299999999999999</v>
      </c>
      <c r="H28" t="s">
        <v>39</v>
      </c>
      <c r="I28" t="s">
        <v>79</v>
      </c>
    </row>
    <row r="29" spans="1:9" x14ac:dyDescent="0.25">
      <c r="A29" t="s">
        <v>100</v>
      </c>
      <c r="B29" t="s">
        <v>51</v>
      </c>
      <c r="C29" s="14" t="s">
        <v>113</v>
      </c>
      <c r="D29" s="12" t="s">
        <v>46</v>
      </c>
      <c r="E29" t="s">
        <v>121</v>
      </c>
      <c r="F29" s="14" t="s">
        <v>122</v>
      </c>
      <c r="G29" t="s">
        <v>39</v>
      </c>
      <c r="H29" t="s">
        <v>39</v>
      </c>
      <c r="I29" t="s">
        <v>65</v>
      </c>
    </row>
    <row r="30" spans="1:9" x14ac:dyDescent="0.25">
      <c r="A30" t="s">
        <v>123</v>
      </c>
      <c r="B30" t="s">
        <v>51</v>
      </c>
      <c r="C30" s="13" t="s">
        <v>97</v>
      </c>
      <c r="D30" s="12" t="s">
        <v>46</v>
      </c>
      <c r="E30" t="s">
        <v>98</v>
      </c>
      <c r="F30" s="13" t="s">
        <v>99</v>
      </c>
      <c r="G30" t="s">
        <v>39</v>
      </c>
      <c r="H30" t="s">
        <v>39</v>
      </c>
      <c r="I30" t="s">
        <v>65</v>
      </c>
    </row>
    <row r="31" spans="1:9" x14ac:dyDescent="0.25">
      <c r="A31" s="5" t="s">
        <v>124</v>
      </c>
      <c r="B31" t="s">
        <v>45</v>
      </c>
      <c r="C31" s="15" t="s">
        <v>125</v>
      </c>
      <c r="D31" s="12" t="s">
        <v>53</v>
      </c>
      <c r="E31" t="s">
        <v>126</v>
      </c>
      <c r="F31" s="15" t="s">
        <v>127</v>
      </c>
      <c r="G31" t="s">
        <v>39</v>
      </c>
      <c r="H31" s="18">
        <v>1.3224</v>
      </c>
      <c r="I31" t="s">
        <v>128</v>
      </c>
    </row>
    <row r="32" spans="1:9" x14ac:dyDescent="0.25">
      <c r="A32" s="6" t="s">
        <v>129</v>
      </c>
      <c r="B32" t="s">
        <v>130</v>
      </c>
      <c r="C32" s="16" t="s">
        <v>131</v>
      </c>
      <c r="D32" s="12" t="s">
        <v>132</v>
      </c>
      <c r="E32" t="s">
        <v>133</v>
      </c>
      <c r="F32" s="16" t="s">
        <v>134</v>
      </c>
      <c r="G32">
        <v>1.31</v>
      </c>
      <c r="H32" t="s">
        <v>39</v>
      </c>
    </row>
    <row r="33" spans="1:6" x14ac:dyDescent="0.25">
      <c r="A33" s="40"/>
      <c r="D33" s="12"/>
      <c r="F33" s="42"/>
    </row>
    <row r="34" spans="1:6" x14ac:dyDescent="0.25">
      <c r="F34" s="42"/>
    </row>
    <row r="36" spans="1:6" x14ac:dyDescent="0.25">
      <c r="A36" s="40"/>
      <c r="C36" s="13"/>
      <c r="F36" s="13"/>
    </row>
  </sheetData>
  <mergeCells count="1">
    <mergeCell ref="H3:I3"/>
  </mergeCells>
  <phoneticPr fontId="18" type="noConversion"/>
  <hyperlinks>
    <hyperlink ref="C15" r:id="rId1" location="biblio" xr:uid="{E15B062B-D9C5-4A67-A18F-B6B5E0FEDB47}"/>
    <hyperlink ref="F15" r:id="rId2" tooltip="https://doi.org/10.1016/j.cej.2009.10.067" xr:uid="{95891D0E-700C-4596-85F3-BEEE50E6D211}"/>
    <hyperlink ref="C16" r:id="rId3" location="biblio" xr:uid="{51BC9B5D-5537-4E14-A348-EBE4D838EC41}"/>
    <hyperlink ref="F16" r:id="rId4" tooltip="https://doi.org/10.1016/j.ijhydene.2011.11.023" xr:uid="{5AFEC927-A80A-40B2-8BDA-EE3C5D5B579E}"/>
    <hyperlink ref="C17" r:id="rId5" location="biblio" xr:uid="{F2090264-41E6-466D-8D54-9BACF51095B2}"/>
    <hyperlink ref="F17" r:id="rId6" tooltip="https://doi.org/10.1016/j.micromeso.2008.04.033" xr:uid="{39B55F72-F5EE-4AE0-BECD-A55FB64C57AF}"/>
    <hyperlink ref="C28" r:id="rId7" location="biblio" xr:uid="{A2922952-56C9-4D38-9178-C5E8349F6F28}"/>
    <hyperlink ref="F28" r:id="rId8" xr:uid="{46952EF6-5BE9-499E-8BB9-2F84ABE58627}"/>
    <hyperlink ref="C19" r:id="rId9" location="biblio" xr:uid="{753E8EE6-68F7-4F6E-9A1A-EB682C3925CA}"/>
    <hyperlink ref="F19" r:id="rId10" tooltip="https://doi.org/10.1016/j.seppur.2014.08.021" xr:uid="{BEACDE22-B3BA-43B5-93D9-414CC8523E72}"/>
    <hyperlink ref="C12" r:id="rId11" location="biblio" xr:uid="{954BA911-5233-4D15-AA55-A17B8B55FAA3}"/>
    <hyperlink ref="F12" r:id="rId12" tooltip="https://doi.org/10.1002/Aic.14467" xr:uid="{C74E51C1-437D-4654-BD72-815CAE4A42D9}"/>
    <hyperlink ref="C13" r:id="rId13" location="biblio" xr:uid="{A169F325-3B34-49EB-B513-E53CEE1CBD03}"/>
    <hyperlink ref="F13" r:id="rId14" tooltip="https://doi.org/10.1002/anie.200700218" xr:uid="{554EA3C1-1E6C-4F0D-9A45-7F8E1404461F}"/>
    <hyperlink ref="C14" r:id="rId15" location="biblio" xr:uid="{B87842C4-E3B7-4867-A029-FD52E92540BD}"/>
    <hyperlink ref="F14" r:id="rId16" tooltip="https://doi.org/10.1007/s10450-010-9305-3" xr:uid="{709F6EC9-6D41-4436-A212-7CE7624DF5FF}"/>
    <hyperlink ref="C20" r:id="rId17" location="biblio" xr:uid="{D1442F43-7E65-46FC-8957-860EE65332DB}"/>
    <hyperlink ref="F20" r:id="rId18" tooltip="https://doi.org/10.1016/j.seppur.2018.01.013" xr:uid="{8CFD7AA6-C8FC-4AEF-8D51-B2A57FE54FAA}"/>
    <hyperlink ref="C21" r:id="rId19" location="biblio" xr:uid="{4E3BF746-AD17-467C-A6BD-E8298775F805}"/>
    <hyperlink ref="F21" r:id="rId20" tooltip="https://doi.org/10.1016/S2095-4956(14)60171-6" xr:uid="{418CE9A1-AA2E-43D8-BFEC-4A63AD99DB97}"/>
    <hyperlink ref="F22" r:id="rId21" tooltip="https://doi.org/10.1021/acs.jctc.5b00093" xr:uid="{9FCDDFAE-DC8A-4D7F-BE76-060132368830}"/>
    <hyperlink ref="C22" r:id="rId22" location="biblio" xr:uid="{D3746688-FC12-442E-84D8-ED01676A75F9}"/>
    <hyperlink ref="C23" r:id="rId23" location="biblio" xr:uid="{B89F4196-8601-40A9-B47B-8430F880CE4E}"/>
    <hyperlink ref="F23" r:id="rId24" tooltip="https://doi.org/10.1021/Cm502399q" xr:uid="{5F121A9E-C0C1-469A-B89E-C4F610A0EEC9}"/>
    <hyperlink ref="C30" r:id="rId25" location="biblio" xr:uid="{C0BF43D9-25C7-4AA8-AACB-F48720F2AC35}"/>
    <hyperlink ref="F30" r:id="rId26" tooltip="https://doi.org/10.1021/Jp4053538" xr:uid="{0FCF3846-E8AF-4F82-ADAE-0C860CC3E051}"/>
    <hyperlink ref="C24" r:id="rId27" location="biblio" xr:uid="{894710C4-342D-466E-9560-9080A60F5BB8}"/>
    <hyperlink ref="F24" r:id="rId28" tooltip="https://doi.org/10.1021/Ie202777q" xr:uid="{844BF7EE-BA81-4D7A-97FC-039A27C833DE}"/>
    <hyperlink ref="C25" r:id="rId29" location="biblio" xr:uid="{5F3EEB95-621C-4022-B592-3093226E6297}"/>
    <hyperlink ref="F25" r:id="rId30" xr:uid="{B3ADEB9B-A1F9-4682-B073-00E97710B8F0}"/>
    <hyperlink ref="C26" r:id="rId31" location="biblio" xr:uid="{DC00C331-AA23-40AB-A71D-9A159F6CDFCD}"/>
    <hyperlink ref="F26" r:id="rId32" tooltip="https://doi.org/10.1021/Ie900665f" xr:uid="{E5669B52-A345-48F3-B58E-9BFF6484902F}"/>
    <hyperlink ref="C27" r:id="rId33" location="biblio" xr:uid="{C13B22F5-7A6C-4B20-96CC-63374588E2DC}"/>
    <hyperlink ref="F27" r:id="rId34" tooltip="https://doi.org/10.1021/Ie901000x" xr:uid="{E73BFA49-1AF4-4794-BCAE-E0D8CA72F5E5}"/>
    <hyperlink ref="C29" r:id="rId35" location="home" xr:uid="{5DDEDFE5-989B-4009-B951-66D23868AC73}"/>
    <hyperlink ref="F29" r:id="rId36" tooltip="https://doi.org/10.1021/Jp062723w" xr:uid="{54D73614-77D3-4462-BDA7-B2DE63088489}"/>
    <hyperlink ref="C31" r:id="rId37" location="biblio" xr:uid="{EBD3EC5E-8BBD-42D7-B031-5B86C78BDC94}"/>
    <hyperlink ref="F31" r:id="rId38" tooltip="https://doi.org/10.1038/srep12045" xr:uid="{0978F521-6F43-455D-AEBB-5038A204C9D1}"/>
    <hyperlink ref="C32" r:id="rId39" location="biblio" xr:uid="{51CD222F-30BA-438F-8259-31FAE58D0A5C}"/>
    <hyperlink ref="F32" r:id="rId40" tooltip="https://doi.org/10.1039/C0ee00700e" xr:uid="{B87B050C-2448-4C81-8A8E-62D599E108B9}"/>
    <hyperlink ref="F18" r:id="rId41" tooltip="https://doi.org/10.1016/j.micromeso.2008.04.033" display="https://doi.org/10.1016/j.micromeso.2008.04.033" xr:uid="{7328A82D-AD57-4E80-806D-AD640323F7C5}"/>
  </hyperlinks>
  <pageMargins left="0.7" right="0.7" top="0.75" bottom="0.75" header="0.3" footer="0.3"/>
  <pageSetup paperSize="9" orientation="portrait" r:id="rId42"/>
  <ignoredErrors>
    <ignoredError sqref="D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B873-BC2F-4372-B3DC-5BCFB3849C0B}">
  <dimension ref="A3:S82"/>
  <sheetViews>
    <sheetView zoomScale="40" zoomScaleNormal="40" workbookViewId="0">
      <selection activeCell="L64" sqref="L64"/>
    </sheetView>
  </sheetViews>
  <sheetFormatPr defaultRowHeight="15" x14ac:dyDescent="0.25"/>
  <cols>
    <col min="11" max="11" width="11.140625" customWidth="1"/>
    <col min="12" max="12" width="24.140625" customWidth="1"/>
    <col min="13" max="13" width="15.7109375" customWidth="1"/>
    <col min="14" max="14" width="19.5703125" customWidth="1"/>
    <col min="15" max="15" width="35" customWidth="1"/>
    <col min="16" max="16" width="35.5703125" customWidth="1"/>
    <col min="17" max="17" width="18.42578125" customWidth="1"/>
  </cols>
  <sheetData>
    <row r="3" spans="1:19" x14ac:dyDescent="0.25">
      <c r="A3" s="20" t="s">
        <v>31</v>
      </c>
      <c r="B3" s="34" t="s">
        <v>135</v>
      </c>
      <c r="C3" s="33" t="s">
        <v>181</v>
      </c>
      <c r="D3" s="43"/>
      <c r="E3" s="34" t="s">
        <v>152</v>
      </c>
      <c r="F3" s="35" t="s">
        <v>136</v>
      </c>
      <c r="G3" s="34" t="s">
        <v>153</v>
      </c>
      <c r="H3" s="35" t="s">
        <v>137</v>
      </c>
      <c r="I3" s="33" t="s">
        <v>154</v>
      </c>
      <c r="J3" s="33" t="s">
        <v>155</v>
      </c>
      <c r="K3" s="34" t="s">
        <v>138</v>
      </c>
      <c r="L3" s="21" t="s">
        <v>139</v>
      </c>
      <c r="M3" s="21" t="s">
        <v>140</v>
      </c>
      <c r="N3" s="21" t="s">
        <v>141</v>
      </c>
      <c r="O3" s="22" t="s">
        <v>142</v>
      </c>
      <c r="P3" s="23" t="s">
        <v>143</v>
      </c>
      <c r="Q3" s="23" t="s">
        <v>144</v>
      </c>
      <c r="R3" s="23" t="s">
        <v>145</v>
      </c>
      <c r="S3" s="24" t="s">
        <v>146</v>
      </c>
    </row>
    <row r="4" spans="1:19" x14ac:dyDescent="0.25">
      <c r="A4">
        <v>0</v>
      </c>
      <c r="B4">
        <f>'008'!AH4</f>
        <v>0</v>
      </c>
      <c r="C4">
        <f>'010'!AH4</f>
        <v>0</v>
      </c>
      <c r="E4">
        <f>'014'!AH4</f>
        <v>0</v>
      </c>
      <c r="F4">
        <f>'015'!AH4</f>
        <v>0</v>
      </c>
      <c r="G4">
        <f>'020'!AH4</f>
        <v>0</v>
      </c>
      <c r="H4">
        <f>'025'!AH4</f>
        <v>0</v>
      </c>
      <c r="I4">
        <f>'027'!AH4</f>
        <v>0</v>
      </c>
      <c r="J4">
        <f>'043'!AH4</f>
        <v>0</v>
      </c>
      <c r="K4">
        <f>'046'!AH4</f>
        <v>0</v>
      </c>
      <c r="L4">
        <f t="shared" ref="L4:L22" si="0">AVERAGE(B4:K4)</f>
        <v>0</v>
      </c>
      <c r="M4">
        <f t="shared" ref="M4:M22" si="1">_xlfn.STDEV.P(B4:K4)</f>
        <v>0</v>
      </c>
      <c r="N4">
        <v>9</v>
      </c>
      <c r="O4">
        <v>1.96</v>
      </c>
      <c r="P4">
        <f>L4-O4*(M4/(N4^0.5))</f>
        <v>0</v>
      </c>
      <c r="Q4">
        <f>L4+O4*(M4/(N4^0.5))</f>
        <v>0</v>
      </c>
      <c r="R4">
        <f>O4*(M4/(N4^0.5))</f>
        <v>0</v>
      </c>
      <c r="S4" t="e">
        <f>R4/L4*100</f>
        <v>#DIV/0!</v>
      </c>
    </row>
    <row r="5" spans="1:19" x14ac:dyDescent="0.25">
      <c r="A5">
        <v>10</v>
      </c>
      <c r="B5">
        <f>'008'!AH5</f>
        <v>5.9469989826649507E-2</v>
      </c>
      <c r="C5">
        <f>'010'!AH5</f>
        <v>7.0935412066542511E-2</v>
      </c>
      <c r="E5">
        <f>'014'!AH5</f>
        <v>7.8019134460831543E-2</v>
      </c>
      <c r="F5">
        <f>'015'!AH5</f>
        <v>1.0304488126066329</v>
      </c>
      <c r="G5">
        <f>'020'!AH5</f>
        <v>8.4332896514484904E-2</v>
      </c>
      <c r="H5">
        <f>'025'!AH5</f>
        <v>0.42907273555190723</v>
      </c>
      <c r="I5">
        <f>'027'!AH5</f>
        <v>8.9340415983639704E-2</v>
      </c>
      <c r="J5">
        <f>'043'!AH5</f>
        <v>6.7592862660813463E-2</v>
      </c>
      <c r="K5">
        <f>'046'!AH5</f>
        <v>7.0626470753278367E-2</v>
      </c>
      <c r="L5">
        <f t="shared" si="0"/>
        <v>0.21998208115830895</v>
      </c>
      <c r="M5">
        <f t="shared" si="1"/>
        <v>0.30726486259201313</v>
      </c>
      <c r="N5">
        <v>9</v>
      </c>
      <c r="O5">
        <v>1.96</v>
      </c>
      <c r="P5">
        <f>L5-O5*(M5/(N5^0.5))</f>
        <v>1.9235704264860376E-2</v>
      </c>
      <c r="Q5">
        <f t="shared" ref="Q5:Q22" si="2">L5+O5*(M5/(N5^0.5))</f>
        <v>0.42072845805175751</v>
      </c>
      <c r="R5">
        <f t="shared" ref="R5:R22" si="3">O5*(M5/(N5^0.5))</f>
        <v>0.20074637689344857</v>
      </c>
      <c r="S5">
        <f t="shared" ref="S5:S22" si="4">R5/L5*100</f>
        <v>91.255785851476929</v>
      </c>
    </row>
    <row r="6" spans="1:19" x14ac:dyDescent="0.25">
      <c r="A6">
        <v>30</v>
      </c>
      <c r="B6">
        <f>'008'!AH6</f>
        <v>0.18084402084746531</v>
      </c>
      <c r="C6">
        <f>'010'!AH6</f>
        <v>0.2158861506840053</v>
      </c>
      <c r="E6">
        <f>'014'!AH6</f>
        <v>0.23673808819608905</v>
      </c>
      <c r="F6">
        <f>'015'!AH6</f>
        <v>2.9526315718657949</v>
      </c>
      <c r="G6">
        <f>'020'!AH6</f>
        <v>0.25665598753644675</v>
      </c>
      <c r="H6">
        <f>'025'!AH6</f>
        <v>1.1930450602873568</v>
      </c>
      <c r="I6">
        <f>'027'!AH6</f>
        <v>0.27153953717474677</v>
      </c>
      <c r="J6">
        <f>'043'!AH6</f>
        <v>0.20735586618084142</v>
      </c>
      <c r="K6">
        <f>'046'!AH6</f>
        <v>0.21470247872405177</v>
      </c>
      <c r="L6">
        <f t="shared" si="0"/>
        <v>0.63659986238853306</v>
      </c>
      <c r="M6">
        <f t="shared" si="1"/>
        <v>0.87293319014116377</v>
      </c>
      <c r="N6">
        <v>9</v>
      </c>
      <c r="O6">
        <v>1.96</v>
      </c>
      <c r="P6">
        <f t="shared" ref="P6:P21" si="5">L6-O6*(M6/(N6^0.5))</f>
        <v>6.6283511496306069E-2</v>
      </c>
      <c r="Q6">
        <f t="shared" si="2"/>
        <v>1.20691621328076</v>
      </c>
      <c r="R6">
        <f t="shared" si="3"/>
        <v>0.57031635089222699</v>
      </c>
      <c r="S6">
        <f t="shared" si="4"/>
        <v>89.587884727525818</v>
      </c>
    </row>
    <row r="7" spans="1:19" x14ac:dyDescent="0.25">
      <c r="A7">
        <v>50</v>
      </c>
      <c r="B7">
        <f>'008'!AH7</f>
        <v>0.30550326443671977</v>
      </c>
      <c r="C7">
        <f>'010'!AH7</f>
        <v>0.36497894986498808</v>
      </c>
      <c r="E7">
        <f>'014'!AH7</f>
        <v>0.39905599840362999</v>
      </c>
      <c r="F7">
        <f>'015'!AH7</f>
        <v>4.7036402020948893</v>
      </c>
      <c r="G7">
        <f>'020'!AH7</f>
        <v>0.43056705169583198</v>
      </c>
      <c r="H7">
        <f>'025'!AH7</f>
        <v>1.8423846163657662</v>
      </c>
      <c r="I7">
        <f>'027'!AH7</f>
        <v>0.45846385449725663</v>
      </c>
      <c r="J7">
        <f>'043'!AH7</f>
        <v>0.35338015313563914</v>
      </c>
      <c r="K7">
        <f>'046'!AH7</f>
        <v>0.36257749351406771</v>
      </c>
      <c r="L7">
        <f t="shared" si="0"/>
        <v>1.024505731556532</v>
      </c>
      <c r="M7">
        <f t="shared" si="1"/>
        <v>1.3788001591989085</v>
      </c>
      <c r="N7">
        <v>9</v>
      </c>
      <c r="O7">
        <v>1.96</v>
      </c>
      <c r="P7">
        <f t="shared" si="5"/>
        <v>0.12368962754657842</v>
      </c>
      <c r="Q7">
        <f t="shared" si="2"/>
        <v>1.9253218355664856</v>
      </c>
      <c r="R7">
        <f t="shared" si="3"/>
        <v>0.9008161040099536</v>
      </c>
      <c r="S7">
        <f t="shared" si="4"/>
        <v>87.926897455355686</v>
      </c>
    </row>
    <row r="8" spans="1:19" x14ac:dyDescent="0.25">
      <c r="A8">
        <v>70</v>
      </c>
      <c r="B8">
        <f>'008'!AH8</f>
        <v>0.43349372161726857</v>
      </c>
      <c r="C8">
        <f>'010'!AH8</f>
        <v>0.51825176232210568</v>
      </c>
      <c r="E8">
        <f>'014'!AH8</f>
        <v>0.56499999606494833</v>
      </c>
      <c r="F8">
        <f>'015'!AH8</f>
        <v>6.2987180938134006</v>
      </c>
      <c r="G8">
        <f>'020'!AH8</f>
        <v>0.60202435879122151</v>
      </c>
      <c r="H8">
        <f>'025'!AH8</f>
        <v>2.3905003083696901</v>
      </c>
      <c r="I8">
        <f>'027'!AH8</f>
        <v>0.65014967443764704</v>
      </c>
      <c r="J8">
        <f>'043'!AH8</f>
        <v>0.50585292552208894</v>
      </c>
      <c r="K8">
        <f>'046'!AH8</f>
        <v>0.51429033796938406</v>
      </c>
      <c r="L8">
        <f t="shared" si="0"/>
        <v>1.3864756865453061</v>
      </c>
      <c r="M8">
        <f t="shared" si="1"/>
        <v>1.8308693817825281</v>
      </c>
      <c r="N8">
        <v>9</v>
      </c>
      <c r="O8">
        <v>1.96</v>
      </c>
      <c r="P8">
        <f t="shared" si="5"/>
        <v>0.19030769044738771</v>
      </c>
      <c r="Q8">
        <f t="shared" si="2"/>
        <v>2.5826436826432246</v>
      </c>
      <c r="R8">
        <f t="shared" si="3"/>
        <v>1.1961679960979184</v>
      </c>
      <c r="S8">
        <f t="shared" si="4"/>
        <v>86.27399727999709</v>
      </c>
    </row>
    <row r="9" spans="1:19" x14ac:dyDescent="0.25">
      <c r="A9">
        <v>100</v>
      </c>
      <c r="B9">
        <f>'008'!AH9</f>
        <v>0.63182056770826267</v>
      </c>
      <c r="C9">
        <f>'010'!AH9</f>
        <v>0.75606740734443045</v>
      </c>
      <c r="E9">
        <f>'014'!AH9</f>
        <v>0.8207667205047533</v>
      </c>
      <c r="F9">
        <f>'015'!AH9</f>
        <v>8.4289990786069922</v>
      </c>
      <c r="G9">
        <f>'020'!AH9</f>
        <v>0.8464005134426793</v>
      </c>
      <c r="H9">
        <f>'025'!AH9</f>
        <v>3.0513100562977855</v>
      </c>
      <c r="I9">
        <f>'027'!AH9</f>
        <v>0.94667161626476737</v>
      </c>
      <c r="J9">
        <f>'043'!AH9</f>
        <v>0.74705213641848522</v>
      </c>
      <c r="K9">
        <f>'046'!AH9</f>
        <v>0.74913111995689208</v>
      </c>
      <c r="L9">
        <f t="shared" si="0"/>
        <v>1.8864688018383384</v>
      </c>
      <c r="M9">
        <f t="shared" si="1"/>
        <v>2.4199631800542769</v>
      </c>
      <c r="N9">
        <v>7</v>
      </c>
      <c r="O9">
        <v>1.96</v>
      </c>
      <c r="P9">
        <f t="shared" si="5"/>
        <v>9.3734990058479628E-2</v>
      </c>
      <c r="Q9">
        <f t="shared" si="2"/>
        <v>3.6792026136181972</v>
      </c>
      <c r="R9">
        <f t="shared" si="3"/>
        <v>1.7927338117798588</v>
      </c>
      <c r="S9">
        <f t="shared" si="4"/>
        <v>95.031193202498969</v>
      </c>
    </row>
    <row r="10" spans="1:19" x14ac:dyDescent="0.25">
      <c r="A10">
        <v>200</v>
      </c>
      <c r="B10">
        <f>'008'!AH10</f>
        <v>1.3494055211360256</v>
      </c>
      <c r="C10">
        <f>'010'!AH10</f>
        <v>1.6180248499005712</v>
      </c>
      <c r="E10">
        <f>'014'!AH10</f>
        <v>1.7333636802774741</v>
      </c>
      <c r="F10">
        <f>'015'!AH10</f>
        <v>13.716422024673323</v>
      </c>
      <c r="I10">
        <f>'027'!AH10</f>
        <v>2.013681960408999</v>
      </c>
      <c r="J10">
        <f>'043'!AH10</f>
        <v>1.6661364952938875</v>
      </c>
      <c r="K10">
        <f>'046'!AH10</f>
        <v>1.5959836024861553</v>
      </c>
      <c r="L10">
        <f t="shared" si="0"/>
        <v>3.384716876310919</v>
      </c>
      <c r="M10">
        <f t="shared" si="1"/>
        <v>4.2218414004006855</v>
      </c>
      <c r="N10">
        <v>7</v>
      </c>
      <c r="O10">
        <v>1.96</v>
      </c>
      <c r="P10">
        <f t="shared" si="5"/>
        <v>0.25713299865019268</v>
      </c>
      <c r="Q10">
        <f t="shared" si="2"/>
        <v>6.5123007539716458</v>
      </c>
      <c r="R10">
        <f t="shared" si="3"/>
        <v>3.1275838776607263</v>
      </c>
      <c r="S10">
        <f t="shared" si="4"/>
        <v>92.403116477782106</v>
      </c>
    </row>
    <row r="11" spans="1:19" x14ac:dyDescent="0.25">
      <c r="A11">
        <v>300</v>
      </c>
      <c r="B11">
        <f>'008'!AH11</f>
        <v>2.1565634759207799</v>
      </c>
      <c r="C11">
        <f>'010'!AH11</f>
        <v>2.5859170352099579</v>
      </c>
      <c r="E11">
        <f>'014'!AH11</f>
        <v>2.738744402143499</v>
      </c>
      <c r="F11">
        <f>'015'!AH11</f>
        <v>17.033167126893574</v>
      </c>
      <c r="I11">
        <f>'027'!AH11</f>
        <v>3.2009883326933548</v>
      </c>
      <c r="J11">
        <f>'043'!AH11</f>
        <v>2.7752436969329821</v>
      </c>
      <c r="K11">
        <f>'046'!AH11</f>
        <v>2.5422828131365467</v>
      </c>
      <c r="L11">
        <f t="shared" si="0"/>
        <v>4.7189866975615278</v>
      </c>
      <c r="M11">
        <f t="shared" si="1"/>
        <v>5.0355435773347512</v>
      </c>
      <c r="N11">
        <v>7</v>
      </c>
      <c r="O11">
        <v>1.96</v>
      </c>
      <c r="P11">
        <f t="shared" si="5"/>
        <v>0.98860381149776488</v>
      </c>
      <c r="Q11">
        <f t="shared" si="2"/>
        <v>8.4493695836252911</v>
      </c>
      <c r="R11">
        <f t="shared" si="3"/>
        <v>3.7303828860637629</v>
      </c>
      <c r="S11">
        <f t="shared" si="4"/>
        <v>79.050506499443784</v>
      </c>
    </row>
    <row r="12" spans="1:19" x14ac:dyDescent="0.25">
      <c r="A12">
        <v>400</v>
      </c>
      <c r="B12">
        <f>'008'!AH12</f>
        <v>3.054671654315571</v>
      </c>
      <c r="C12">
        <f>'010'!AH12</f>
        <v>3.6544345537308076</v>
      </c>
      <c r="E12">
        <f>'014'!AH12</f>
        <v>3.8351441888568729</v>
      </c>
      <c r="F12">
        <f>'015'!AH12</f>
        <v>19.113726632973233</v>
      </c>
      <c r="I12">
        <f>'027'!AH12</f>
        <v>4.5034285096364517</v>
      </c>
      <c r="J12">
        <f>'043'!AH12</f>
        <v>4.082893618184448</v>
      </c>
      <c r="K12">
        <f>'046'!AH12</f>
        <v>3.5861210334832019</v>
      </c>
      <c r="L12">
        <f t="shared" si="0"/>
        <v>5.9757743130257976</v>
      </c>
      <c r="M12">
        <f t="shared" si="1"/>
        <v>5.3794687708600444</v>
      </c>
      <c r="N12">
        <v>7</v>
      </c>
      <c r="O12">
        <v>1.96</v>
      </c>
      <c r="P12">
        <f t="shared" si="5"/>
        <v>1.9906080780922824</v>
      </c>
      <c r="Q12">
        <f t="shared" si="2"/>
        <v>9.9609405479593125</v>
      </c>
      <c r="R12">
        <f t="shared" si="3"/>
        <v>3.9851662349335153</v>
      </c>
      <c r="S12">
        <f t="shared" si="4"/>
        <v>66.68870051278175</v>
      </c>
    </row>
    <row r="13" spans="1:19" x14ac:dyDescent="0.25">
      <c r="A13">
        <v>500</v>
      </c>
      <c r="B13">
        <f>'008'!AH13</f>
        <v>4.0419863115574088</v>
      </c>
      <c r="C13">
        <f>'010'!AH13</f>
        <v>4.8121159375290148</v>
      </c>
      <c r="E13">
        <f>'014'!AH13</f>
        <v>5.0176325063129594</v>
      </c>
      <c r="F13">
        <f>'015'!AH13</f>
        <v>20.418839846358473</v>
      </c>
      <c r="I13">
        <f>'027'!AH13</f>
        <v>5.9099848375980812</v>
      </c>
      <c r="J13">
        <f>'043'!AH13</f>
        <v>5.5830127786100485</v>
      </c>
      <c r="K13">
        <f>'046'!AH13</f>
        <v>4.7212551020506606</v>
      </c>
      <c r="L13">
        <f t="shared" si="0"/>
        <v>7.2149753314309493</v>
      </c>
      <c r="M13">
        <f t="shared" si="1"/>
        <v>5.4195003558839661</v>
      </c>
      <c r="N13">
        <v>7</v>
      </c>
      <c r="O13">
        <v>1.96</v>
      </c>
      <c r="P13">
        <f t="shared" si="5"/>
        <v>3.2001532833003443</v>
      </c>
      <c r="Q13">
        <f t="shared" si="2"/>
        <v>11.229797379561553</v>
      </c>
      <c r="R13">
        <f t="shared" si="3"/>
        <v>4.0148220481306049</v>
      </c>
      <c r="S13">
        <f>R13/L13*100</f>
        <v>55.645679488890835</v>
      </c>
    </row>
    <row r="14" spans="1:19" x14ac:dyDescent="0.25">
      <c r="A14">
        <v>600</v>
      </c>
      <c r="B14">
        <f>'008'!AH14</f>
        <v>5.1130664836643032</v>
      </c>
      <c r="C14">
        <f>'010'!AH14</f>
        <v>6.0411847303347752</v>
      </c>
      <c r="E14">
        <f>'014'!AH14</f>
        <v>6.2778306460378817</v>
      </c>
      <c r="F14">
        <f>'015'!AH14</f>
        <v>21.237523712297147</v>
      </c>
      <c r="I14">
        <f>'027'!AH14</f>
        <v>7.4035430529796651</v>
      </c>
      <c r="J14">
        <f>'043'!AH14</f>
        <v>7.2508525603029268</v>
      </c>
      <c r="K14">
        <f>'046'!AH14</f>
        <v>5.9366938809823671</v>
      </c>
      <c r="L14">
        <f t="shared" si="0"/>
        <v>8.465813580942724</v>
      </c>
      <c r="M14">
        <f t="shared" si="1"/>
        <v>5.2647694641872027</v>
      </c>
      <c r="N14">
        <v>7</v>
      </c>
      <c r="O14">
        <v>1.96</v>
      </c>
      <c r="P14">
        <f t="shared" si="5"/>
        <v>4.5656177814914125</v>
      </c>
      <c r="Q14">
        <f t="shared" si="2"/>
        <v>12.366009380394036</v>
      </c>
      <c r="R14">
        <f t="shared" si="3"/>
        <v>3.9001957994513115</v>
      </c>
      <c r="S14">
        <f t="shared" si="4"/>
        <v>46.069946640816525</v>
      </c>
    </row>
    <row r="15" spans="1:19" x14ac:dyDescent="0.25">
      <c r="A15">
        <v>700</v>
      </c>
      <c r="B15">
        <f>'008'!AH15</f>
        <v>6.2584280374449319</v>
      </c>
      <c r="C15">
        <f>'010'!AH15</f>
        <v>7.3182261948622358</v>
      </c>
      <c r="E15">
        <f>'014'!AH15</f>
        <v>7.6038694159886235</v>
      </c>
      <c r="F15">
        <f>'015'!AH15</f>
        <v>21.751075537130639</v>
      </c>
      <c r="I15">
        <f>'027'!AH15</f>
        <v>8.9613127244108188</v>
      </c>
      <c r="J15">
        <f>'043'!AH15</f>
        <v>9.0417972655904446</v>
      </c>
      <c r="K15">
        <f>'046'!AH15</f>
        <v>7.2167203114803993</v>
      </c>
      <c r="L15">
        <f t="shared" si="0"/>
        <v>9.7359184981297258</v>
      </c>
      <c r="M15">
        <f t="shared" si="1"/>
        <v>4.9896462203776437</v>
      </c>
      <c r="N15">
        <v>7</v>
      </c>
      <c r="O15">
        <v>1.96</v>
      </c>
      <c r="P15">
        <f t="shared" si="5"/>
        <v>6.0395368499221895</v>
      </c>
      <c r="Q15">
        <f t="shared" si="2"/>
        <v>13.432300146337262</v>
      </c>
      <c r="R15">
        <f t="shared" si="3"/>
        <v>3.6963816482075358</v>
      </c>
      <c r="S15">
        <f t="shared" si="4"/>
        <v>37.966439929808494</v>
      </c>
    </row>
    <row r="16" spans="1:19" x14ac:dyDescent="0.25">
      <c r="A16">
        <v>800</v>
      </c>
      <c r="B16">
        <f>'008'!AH16</f>
        <v>7.4645399455241552</v>
      </c>
      <c r="C16">
        <f>'010'!AH16</f>
        <v>8.6157467792594709</v>
      </c>
      <c r="E16">
        <f>'014'!AH16</f>
        <v>8.9806423058785327</v>
      </c>
      <c r="F16">
        <f>'015'!AH16</f>
        <v>22.073221224571807</v>
      </c>
      <c r="I16">
        <f>'027'!AH16</f>
        <v>10.55597549438901</v>
      </c>
      <c r="J16">
        <f>'043'!AH16</f>
        <v>10.894540515510863</v>
      </c>
      <c r="K16">
        <f>'046'!AH16</f>
        <v>8.5414443477468698</v>
      </c>
      <c r="L16">
        <f t="shared" si="0"/>
        <v>11.018015801840102</v>
      </c>
      <c r="M16">
        <f t="shared" si="1"/>
        <v>4.6464837454695189</v>
      </c>
      <c r="N16">
        <v>7</v>
      </c>
      <c r="O16">
        <v>1.96</v>
      </c>
      <c r="P16">
        <f t="shared" si="5"/>
        <v>7.5758524726435414</v>
      </c>
      <c r="Q16">
        <f t="shared" si="2"/>
        <v>14.460179131036663</v>
      </c>
      <c r="R16">
        <f t="shared" si="3"/>
        <v>3.442163329196561</v>
      </c>
      <c r="S16">
        <f t="shared" si="4"/>
        <v>31.241227014955729</v>
      </c>
    </row>
    <row r="17" spans="1:19" x14ac:dyDescent="0.25">
      <c r="A17">
        <v>900</v>
      </c>
      <c r="B17">
        <f>'008'!AH17</f>
        <v>8.7142399312651406</v>
      </c>
      <c r="C17">
        <f>'010'!AH17</f>
        <v>9.9044409290807263</v>
      </c>
      <c r="E17">
        <f>'014'!AH17</f>
        <v>10.390373412000672</v>
      </c>
      <c r="F17">
        <f>'015'!AH17</f>
        <v>22.275299844330569</v>
      </c>
      <c r="I17">
        <f>'027'!AH17</f>
        <v>12.157481651683803</v>
      </c>
      <c r="J17">
        <f>'043'!AH17</f>
        <v>12.738729115985695</v>
      </c>
      <c r="K17">
        <f>'046'!AH17</f>
        <v>9.8878943617341477</v>
      </c>
      <c r="L17">
        <f t="shared" si="0"/>
        <v>12.295494178011536</v>
      </c>
      <c r="M17">
        <f t="shared" si="1"/>
        <v>4.2725129011364915</v>
      </c>
      <c r="N17">
        <v>7</v>
      </c>
      <c r="O17">
        <v>1.96</v>
      </c>
      <c r="P17">
        <f t="shared" si="5"/>
        <v>9.1303723272893063</v>
      </c>
      <c r="Q17">
        <f t="shared" si="2"/>
        <v>15.460616028733766</v>
      </c>
      <c r="R17">
        <f t="shared" si="3"/>
        <v>3.1651218507222301</v>
      </c>
      <c r="S17">
        <f t="shared" si="4"/>
        <v>25.742128009645427</v>
      </c>
    </row>
    <row r="18" spans="1:19" x14ac:dyDescent="0.25">
      <c r="A18">
        <v>1000</v>
      </c>
      <c r="B18">
        <f>'008'!AH18</f>
        <v>9.9875824782681946</v>
      </c>
      <c r="C18">
        <f>'010'!AH18</f>
        <v>11.15578924574173</v>
      </c>
      <c r="E18">
        <f>'014'!AH18</f>
        <v>11.813471298558525</v>
      </c>
      <c r="F18">
        <f>'015'!AH18</f>
        <v>22.402061648556373</v>
      </c>
      <c r="I18">
        <f>'027'!AH18</f>
        <v>13.735264437456438</v>
      </c>
      <c r="J18">
        <f>'043'!AH18</f>
        <v>14.505288741231881</v>
      </c>
      <c r="K18">
        <f>'046'!AH18</f>
        <v>11.231543754473556</v>
      </c>
      <c r="L18">
        <f t="shared" si="0"/>
        <v>13.547285943469527</v>
      </c>
      <c r="M18">
        <f t="shared" si="1"/>
        <v>3.8935785667160023</v>
      </c>
      <c r="N18">
        <v>6</v>
      </c>
      <c r="O18">
        <v>1.96</v>
      </c>
      <c r="P18">
        <f t="shared" si="5"/>
        <v>10.431774227918376</v>
      </c>
      <c r="Q18">
        <f t="shared" si="2"/>
        <v>16.662797659020676</v>
      </c>
      <c r="R18">
        <f t="shared" si="3"/>
        <v>3.1155117155511505</v>
      </c>
      <c r="S18">
        <f t="shared" si="4"/>
        <v>22.997312735197589</v>
      </c>
    </row>
    <row r="19" spans="1:19" x14ac:dyDescent="0.25">
      <c r="A19">
        <v>1500</v>
      </c>
      <c r="B19">
        <f>'008'!AH19</f>
        <v>15.979801321251154</v>
      </c>
      <c r="C19">
        <f>'010'!AH19</f>
        <v>16.162330927905984</v>
      </c>
      <c r="E19">
        <f>'014'!AH19</f>
        <v>18.453046817500312</v>
      </c>
      <c r="I19">
        <f>'027'!AH19</f>
        <v>20.419251925844133</v>
      </c>
      <c r="J19">
        <f>'043'!AH19</f>
        <v>20.790607159763692</v>
      </c>
      <c r="K19">
        <f>'046'!AH19</f>
        <v>17.150916660799414</v>
      </c>
      <c r="L19">
        <f t="shared" si="0"/>
        <v>18.159325802177449</v>
      </c>
      <c r="M19">
        <f t="shared" si="1"/>
        <v>1.9092923728130475</v>
      </c>
      <c r="N19">
        <v>5</v>
      </c>
      <c r="O19">
        <v>1.96</v>
      </c>
      <c r="P19">
        <f t="shared" si="5"/>
        <v>16.485757248640965</v>
      </c>
      <c r="Q19">
        <f t="shared" si="2"/>
        <v>19.832894355713933</v>
      </c>
      <c r="R19">
        <f t="shared" si="3"/>
        <v>1.6735685535364835</v>
      </c>
      <c r="S19">
        <f t="shared" si="4"/>
        <v>9.2160280165016317</v>
      </c>
    </row>
    <row r="20" spans="1:19" x14ac:dyDescent="0.25">
      <c r="A20">
        <v>2000</v>
      </c>
      <c r="B20">
        <f>'008'!AH20</f>
        <v>20.107431047474712</v>
      </c>
      <c r="C20">
        <f>'010'!AH20</f>
        <v>18.746448817800754</v>
      </c>
      <c r="I20">
        <f>'027'!AH20</f>
        <v>24.303226121775552</v>
      </c>
      <c r="J20">
        <f>'043'!AH20</f>
        <v>23.128782896549229</v>
      </c>
      <c r="K20">
        <f>'046'!AH20</f>
        <v>20.812955869644622</v>
      </c>
      <c r="L20">
        <f t="shared" si="0"/>
        <v>21.419768950648976</v>
      </c>
      <c r="M20">
        <f t="shared" si="1"/>
        <v>2.0234696610070677</v>
      </c>
      <c r="N20">
        <v>5</v>
      </c>
      <c r="O20">
        <v>1.96</v>
      </c>
      <c r="P20">
        <f t="shared" si="5"/>
        <v>19.646119591380234</v>
      </c>
      <c r="Q20">
        <f t="shared" si="2"/>
        <v>23.193418309917718</v>
      </c>
      <c r="R20">
        <f t="shared" si="3"/>
        <v>1.7736493592687412</v>
      </c>
      <c r="S20">
        <f t="shared" si="4"/>
        <v>8.2804317980983786</v>
      </c>
    </row>
    <row r="21" spans="1:19" x14ac:dyDescent="0.25">
      <c r="A21">
        <v>3000</v>
      </c>
      <c r="B21">
        <f>'008'!AH21</f>
        <v>23.22797949477658</v>
      </c>
      <c r="C21">
        <f>'010'!AH21</f>
        <v>20.176576072946581</v>
      </c>
      <c r="I21">
        <f>'027'!AH21</f>
        <v>26.795569200070307</v>
      </c>
      <c r="J21">
        <f>'043'!AH21</f>
        <v>23.948353344368591</v>
      </c>
      <c r="K21">
        <f>'046'!AH21</f>
        <v>23.306997712572439</v>
      </c>
      <c r="L21">
        <f t="shared" si="0"/>
        <v>23.491095164946898</v>
      </c>
      <c r="M21">
        <f t="shared" si="1"/>
        <v>2.1079749633497729</v>
      </c>
      <c r="N21">
        <v>4</v>
      </c>
      <c r="O21">
        <v>1.96</v>
      </c>
      <c r="P21">
        <f t="shared" si="5"/>
        <v>21.42527970086412</v>
      </c>
      <c r="Q21">
        <f t="shared" si="2"/>
        <v>25.556910629029677</v>
      </c>
      <c r="R21">
        <f t="shared" si="3"/>
        <v>2.0658154640827773</v>
      </c>
      <c r="S21">
        <f t="shared" si="4"/>
        <v>8.7940364192358285</v>
      </c>
    </row>
    <row r="22" spans="1:19" x14ac:dyDescent="0.25">
      <c r="A22">
        <v>4000</v>
      </c>
      <c r="B22">
        <f>'008'!AH22</f>
        <v>23.792387348523988</v>
      </c>
      <c r="C22">
        <f>'010'!AH22</f>
        <v>20.357167043644381</v>
      </c>
      <c r="I22">
        <f>'027'!AH22</f>
        <v>27.178854794325598</v>
      </c>
      <c r="J22">
        <f>'043'!AH22</f>
        <v>24.000299356089627</v>
      </c>
      <c r="L22">
        <f t="shared" si="0"/>
        <v>23.8321771356459</v>
      </c>
      <c r="M22">
        <f t="shared" si="1"/>
        <v>2.4138037823518568</v>
      </c>
      <c r="N22">
        <v>1</v>
      </c>
      <c r="O22">
        <v>1.96</v>
      </c>
      <c r="P22">
        <f>L22-O22*(M22/(N22^0.5))</f>
        <v>19.101121722236261</v>
      </c>
      <c r="Q22">
        <f t="shared" si="2"/>
        <v>28.563232549055538</v>
      </c>
      <c r="R22">
        <f t="shared" si="3"/>
        <v>4.7310554134096394</v>
      </c>
      <c r="S22">
        <f t="shared" si="4"/>
        <v>19.851545188179127</v>
      </c>
    </row>
    <row r="23" spans="1:19" x14ac:dyDescent="0.25">
      <c r="A23">
        <v>5000</v>
      </c>
    </row>
    <row r="24" spans="1:19" x14ac:dyDescent="0.25">
      <c r="R24" s="1"/>
    </row>
    <row r="25" spans="1:19" ht="15.75" thickBot="1" x14ac:dyDescent="0.3">
      <c r="A25" s="10" t="s">
        <v>31</v>
      </c>
    </row>
    <row r="26" spans="1:19" x14ac:dyDescent="0.25">
      <c r="A26" s="25">
        <v>0</v>
      </c>
      <c r="B26" s="26">
        <f>IF(OR(B$4&gt;$F28,B$4&lt;$E28),1,0)</f>
        <v>0</v>
      </c>
      <c r="C26" s="26">
        <f>IF(OR(C$4&gt;$F28,C$4&lt;$E28),1,0)</f>
        <v>0</v>
      </c>
      <c r="D26" s="26">
        <f t="shared" ref="D26" si="6">IF(OR(D$4&gt;$F28,D$4&lt;$E28),1,0)</f>
        <v>0</v>
      </c>
      <c r="E26" s="26">
        <f t="shared" ref="E26:K26" si="7">IF(OR(E$4&gt;$F28,E$4&lt;$E28),1,0)</f>
        <v>0</v>
      </c>
      <c r="F26" s="26">
        <f t="shared" si="7"/>
        <v>0</v>
      </c>
      <c r="G26" s="26">
        <f t="shared" si="7"/>
        <v>0</v>
      </c>
      <c r="H26" s="26">
        <f t="shared" si="7"/>
        <v>0</v>
      </c>
      <c r="I26" s="26">
        <f t="shared" si="7"/>
        <v>0</v>
      </c>
      <c r="J26" s="26">
        <f t="shared" si="7"/>
        <v>0</v>
      </c>
      <c r="K26" s="26">
        <f t="shared" si="7"/>
        <v>0</v>
      </c>
    </row>
    <row r="27" spans="1:19" x14ac:dyDescent="0.25">
      <c r="A27" s="27"/>
      <c r="B27" t="s">
        <v>147</v>
      </c>
      <c r="C27" t="s">
        <v>148</v>
      </c>
      <c r="D27" t="s">
        <v>149</v>
      </c>
      <c r="E27" t="s">
        <v>150</v>
      </c>
      <c r="F27" t="s">
        <v>151</v>
      </c>
    </row>
    <row r="28" spans="1:19" ht="15.75" thickBot="1" x14ac:dyDescent="0.3">
      <c r="A28" s="28"/>
      <c r="B28" s="29">
        <f>QUARTILE($B$4:$K$4,1)</f>
        <v>0</v>
      </c>
      <c r="C28" s="29">
        <f>QUARTILE($B$4:$K$4,3)</f>
        <v>0</v>
      </c>
      <c r="D28" s="29">
        <f>$C28-$B28</f>
        <v>0</v>
      </c>
      <c r="E28" s="29">
        <f>$B28-1.5*$D28</f>
        <v>0</v>
      </c>
      <c r="F28" s="29">
        <f>$C28+1.5*$D28</f>
        <v>0</v>
      </c>
      <c r="I28" s="29"/>
      <c r="J28" s="29"/>
      <c r="K28" s="29"/>
    </row>
    <row r="29" spans="1:19" x14ac:dyDescent="0.25">
      <c r="A29" s="25">
        <v>10</v>
      </c>
      <c r="B29" s="26">
        <f>IF(OR(B$5&gt;$F31,B$5&lt;$E31),1,0)</f>
        <v>0</v>
      </c>
      <c r="C29" s="26">
        <f>IF(OR(C$5&gt;$F31,C$5&lt;$E31),1,0)</f>
        <v>0</v>
      </c>
      <c r="D29" s="39">
        <f>IF(OR(D$5&gt;$F28,D$5&lt;$E28),1,0)</f>
        <v>0</v>
      </c>
      <c r="E29" s="26">
        <f t="shared" ref="E29:K29" si="8">IF(OR(E$5&gt;$F31,E$5&lt;$E31),1,0)</f>
        <v>0</v>
      </c>
      <c r="F29" s="26">
        <f t="shared" si="8"/>
        <v>1</v>
      </c>
      <c r="G29" s="26">
        <f t="shared" si="8"/>
        <v>0</v>
      </c>
      <c r="H29" s="26">
        <f t="shared" si="8"/>
        <v>1</v>
      </c>
      <c r="I29" s="26">
        <f t="shared" si="8"/>
        <v>0</v>
      </c>
      <c r="J29" s="26">
        <f t="shared" si="8"/>
        <v>0</v>
      </c>
      <c r="K29" s="26">
        <f t="shared" si="8"/>
        <v>0</v>
      </c>
    </row>
    <row r="30" spans="1:19" x14ac:dyDescent="0.25">
      <c r="A30" s="27"/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19" ht="15.75" thickBot="1" x14ac:dyDescent="0.3">
      <c r="A31" s="28"/>
      <c r="B31" s="29">
        <f>QUARTILE($B$5:$K$5,1)</f>
        <v>7.0626470753278367E-2</v>
      </c>
      <c r="C31" s="29">
        <f>QUARTILE($B$5:$K$5,3)</f>
        <v>8.9340415983639704E-2</v>
      </c>
      <c r="D31" s="29">
        <f>$C31-$B31</f>
        <v>1.8713945230361337E-2</v>
      </c>
      <c r="E31" s="29">
        <f>$B31-1.5*$D31</f>
        <v>4.2555552907736362E-2</v>
      </c>
      <c r="F31" s="29">
        <f>$C31+1.5*$D31</f>
        <v>0.1174113338291817</v>
      </c>
      <c r="I31" s="29"/>
      <c r="J31" s="29"/>
      <c r="K31" s="29"/>
    </row>
    <row r="32" spans="1:19" x14ac:dyDescent="0.25">
      <c r="A32" s="25">
        <v>30</v>
      </c>
      <c r="B32" s="26">
        <f>IF(OR(B$6&gt;$F34,B$6&lt;$E34),1,0)</f>
        <v>0</v>
      </c>
      <c r="C32" s="26">
        <f>IF(OR(C$6&gt;$F34,C$6&lt;$E34),1,0)</f>
        <v>0</v>
      </c>
      <c r="D32" s="39">
        <f>IF(OR(D$6&gt;$F28,D$6&lt;$E28),1,0)</f>
        <v>0</v>
      </c>
      <c r="E32" s="26">
        <f t="shared" ref="E32:K32" si="9">IF(OR(E$6&gt;$F34,E$6&lt;$E34),1,0)</f>
        <v>0</v>
      </c>
      <c r="F32" s="26">
        <f t="shared" si="9"/>
        <v>1</v>
      </c>
      <c r="G32" s="26">
        <f t="shared" si="9"/>
        <v>0</v>
      </c>
      <c r="H32" s="26">
        <f t="shared" si="9"/>
        <v>0</v>
      </c>
      <c r="I32" s="26">
        <f t="shared" si="9"/>
        <v>0</v>
      </c>
      <c r="J32" s="26">
        <f t="shared" si="9"/>
        <v>0</v>
      </c>
      <c r="K32" s="26">
        <f t="shared" si="9"/>
        <v>0</v>
      </c>
    </row>
    <row r="33" spans="1:11" x14ac:dyDescent="0.25">
      <c r="A33" s="27"/>
      <c r="B33" t="s">
        <v>147</v>
      </c>
      <c r="C33" t="s">
        <v>148</v>
      </c>
      <c r="D33" t="s">
        <v>149</v>
      </c>
      <c r="E33" t="s">
        <v>150</v>
      </c>
      <c r="F33" t="s">
        <v>151</v>
      </c>
    </row>
    <row r="34" spans="1:11" ht="15.75" thickBot="1" x14ac:dyDescent="0.3">
      <c r="A34" s="28"/>
      <c r="B34" s="29">
        <f>QUARTILE($B$6:$K$6,1)</f>
        <v>0.21470247872405177</v>
      </c>
      <c r="C34" s="29">
        <f>QUARTILE($B$6:$SZK$6,3)</f>
        <v>1.20691621328076</v>
      </c>
      <c r="D34" s="29">
        <f>$C34-$B34</f>
        <v>0.99221373455670825</v>
      </c>
      <c r="E34" s="29">
        <f>$B34-1.5*$D34</f>
        <v>-1.2736181231110106</v>
      </c>
      <c r="F34" s="29">
        <f>$C34+1.5*$D34</f>
        <v>2.6952368151158224</v>
      </c>
      <c r="I34" s="29"/>
      <c r="J34" s="29"/>
      <c r="K34" s="29"/>
    </row>
    <row r="35" spans="1:11" x14ac:dyDescent="0.25">
      <c r="A35" s="25">
        <v>50</v>
      </c>
      <c r="B35" s="26">
        <f>IF(OR(B$7&gt;$F37,B$7&lt;$E37),1,0)</f>
        <v>0</v>
      </c>
      <c r="C35" s="26">
        <f>IF(OR(C$7&gt;$F37,C$7&lt;$E37),1,0)</f>
        <v>0</v>
      </c>
      <c r="D35" s="39">
        <f>IF(OR(D$7&gt;$F28,D$7&lt;$E28),1,0)</f>
        <v>0</v>
      </c>
      <c r="E35" s="26">
        <f t="shared" ref="E35:K35" si="10">IF(OR(E$7&gt;$F37,E$7&lt;$E37),1,0)</f>
        <v>0</v>
      </c>
      <c r="F35" s="26">
        <f t="shared" si="10"/>
        <v>1</v>
      </c>
      <c r="G35" s="26">
        <f t="shared" si="10"/>
        <v>0</v>
      </c>
      <c r="H35" s="26">
        <f t="shared" si="10"/>
        <v>1</v>
      </c>
      <c r="I35" s="26">
        <f t="shared" si="10"/>
        <v>0</v>
      </c>
      <c r="J35" s="26">
        <f t="shared" si="10"/>
        <v>0</v>
      </c>
      <c r="K35" s="26">
        <f t="shared" si="10"/>
        <v>0</v>
      </c>
    </row>
    <row r="36" spans="1:11" x14ac:dyDescent="0.25">
      <c r="A36" s="27"/>
      <c r="B36" t="s">
        <v>147</v>
      </c>
      <c r="C36" t="s">
        <v>148</v>
      </c>
      <c r="D36" t="s">
        <v>149</v>
      </c>
      <c r="E36" t="s">
        <v>150</v>
      </c>
      <c r="F36" t="s">
        <v>151</v>
      </c>
    </row>
    <row r="37" spans="1:11" ht="15.75" thickBot="1" x14ac:dyDescent="0.3">
      <c r="A37" s="28"/>
      <c r="B37" s="29">
        <f>QUARTILE($B$7:$K$7,1)</f>
        <v>0.36257749351406771</v>
      </c>
      <c r="C37" s="29">
        <f>QUARTILE($B$7:$K$7,3)</f>
        <v>0.45846385449725663</v>
      </c>
      <c r="D37" s="29">
        <f>$C37-$B37</f>
        <v>9.5886360983188923E-2</v>
      </c>
      <c r="E37" s="29">
        <f>$B37-1.5*$D37</f>
        <v>0.21874795203928432</v>
      </c>
      <c r="F37" s="29">
        <f>$C37+1.5*$D37</f>
        <v>0.60229339597204001</v>
      </c>
      <c r="I37" s="29"/>
      <c r="J37" s="29"/>
      <c r="K37" s="29"/>
    </row>
    <row r="38" spans="1:11" x14ac:dyDescent="0.25">
      <c r="A38" s="25">
        <v>70</v>
      </c>
      <c r="B38" s="26">
        <f>IF(OR(B$8&gt;$F40,B$8&lt;$E40),1,0)</f>
        <v>0</v>
      </c>
      <c r="C38" s="26">
        <f>IF(OR(C$8&gt;$F40,C$8&lt;$E40),1,0)</f>
        <v>0</v>
      </c>
      <c r="D38" s="39">
        <f>IF(OR(D$8&gt;$F28,D$8&lt;$E28),1,0)</f>
        <v>0</v>
      </c>
      <c r="E38" s="26">
        <f t="shared" ref="E38:K38" si="11">IF(OR(E$8&gt;$F40,E$8&lt;$E40),1,0)</f>
        <v>0</v>
      </c>
      <c r="F38" s="26">
        <f t="shared" si="11"/>
        <v>1</v>
      </c>
      <c r="G38" s="30">
        <f t="shared" si="11"/>
        <v>0</v>
      </c>
      <c r="H38" s="26">
        <f t="shared" si="11"/>
        <v>1</v>
      </c>
      <c r="I38" s="26">
        <f t="shared" si="11"/>
        <v>0</v>
      </c>
      <c r="J38" s="26">
        <f t="shared" si="11"/>
        <v>0</v>
      </c>
      <c r="K38" s="26">
        <f t="shared" si="11"/>
        <v>0</v>
      </c>
    </row>
    <row r="39" spans="1:11" x14ac:dyDescent="0.25">
      <c r="A39" s="27"/>
      <c r="B39" t="s">
        <v>147</v>
      </c>
      <c r="C39" t="s">
        <v>148</v>
      </c>
      <c r="D39" t="s">
        <v>149</v>
      </c>
      <c r="E39" t="s">
        <v>150</v>
      </c>
      <c r="F39" t="s">
        <v>151</v>
      </c>
    </row>
    <row r="40" spans="1:11" ht="15.75" thickBot="1" x14ac:dyDescent="0.3">
      <c r="A40" s="28"/>
      <c r="B40" s="29">
        <f>QUARTILE($B$8:$K$8,1)</f>
        <v>0.51429033796938406</v>
      </c>
      <c r="C40" s="29">
        <f>QUARTILE($B$8:$K$8,3)</f>
        <v>0.65014967443764704</v>
      </c>
      <c r="D40" s="29">
        <f>$C40-$B40</f>
        <v>0.13585933646826298</v>
      </c>
      <c r="E40" s="29">
        <f>$B40-1.5*$D40</f>
        <v>0.31050133326698959</v>
      </c>
      <c r="F40" s="29">
        <f>$C40+1.5*$D40</f>
        <v>0.85393867914004151</v>
      </c>
      <c r="I40" s="29"/>
      <c r="J40" s="29"/>
      <c r="K40" s="29"/>
    </row>
    <row r="41" spans="1:11" x14ac:dyDescent="0.25">
      <c r="A41" s="25">
        <v>100</v>
      </c>
      <c r="B41" s="32">
        <f>IF(OR(B$9&gt;$F43,B$9&lt;$E43),1,0)</f>
        <v>0</v>
      </c>
      <c r="C41" s="32">
        <f>IF(OR(C$9&gt;$F43,C$9&lt;$E43),1,0)</f>
        <v>0</v>
      </c>
      <c r="D41" s="39">
        <f>IF(OR(D$9&gt;$F28,D$9&lt;$E28),1,0)</f>
        <v>0</v>
      </c>
      <c r="E41" s="30">
        <f t="shared" ref="E41:K41" si="12">IF(OR(E$9&gt;$F43,E$9&lt;$E43),1,0)</f>
        <v>0</v>
      </c>
      <c r="F41" s="30">
        <f t="shared" si="12"/>
        <v>1</v>
      </c>
      <c r="G41" s="30">
        <f t="shared" si="12"/>
        <v>0</v>
      </c>
      <c r="H41" s="30">
        <f t="shared" si="12"/>
        <v>1</v>
      </c>
      <c r="I41" s="32">
        <f t="shared" si="12"/>
        <v>0</v>
      </c>
      <c r="J41" s="30">
        <f t="shared" si="12"/>
        <v>0</v>
      </c>
      <c r="K41" s="30">
        <f t="shared" si="12"/>
        <v>0</v>
      </c>
    </row>
    <row r="42" spans="1:11" x14ac:dyDescent="0.25">
      <c r="A42" s="27"/>
      <c r="B42" t="s">
        <v>147</v>
      </c>
      <c r="C42" t="s">
        <v>148</v>
      </c>
      <c r="D42" t="s">
        <v>149</v>
      </c>
      <c r="E42" t="s">
        <v>150</v>
      </c>
      <c r="F42" t="s">
        <v>151</v>
      </c>
    </row>
    <row r="43" spans="1:11" ht="15.75" thickBot="1" x14ac:dyDescent="0.3">
      <c r="A43" s="28"/>
      <c r="B43" s="29">
        <f>QUARTILE($B$9:$K$9,1)</f>
        <v>0.74913111995689208</v>
      </c>
      <c r="C43" s="29">
        <f>QUARTILE($B$9:$K$9,3)</f>
        <v>0.94667161626476737</v>
      </c>
      <c r="D43" s="29">
        <f>$C43-$B43</f>
        <v>0.19754049630787529</v>
      </c>
      <c r="E43" s="29">
        <f>$B43-1.5*$D43</f>
        <v>0.45282037549507914</v>
      </c>
      <c r="F43" s="29">
        <f>$C43+1.5*$D43</f>
        <v>1.2429823607265802</v>
      </c>
      <c r="I43" s="29"/>
      <c r="J43" s="29"/>
      <c r="K43" s="29"/>
    </row>
    <row r="44" spans="1:11" x14ac:dyDescent="0.25">
      <c r="A44" s="25">
        <v>200</v>
      </c>
      <c r="B44" s="32">
        <f>IF(OR(B$10&gt;$F46,B$10&lt;$E46),1,0)</f>
        <v>0</v>
      </c>
      <c r="C44" s="32">
        <f>IF(OR(C$10&gt;$F46,C$10&lt;$E46),1,0)</f>
        <v>0</v>
      </c>
      <c r="D44" s="39">
        <f>IF(OR(D$10&gt;$F28,D$10&lt;$E28),1,0)</f>
        <v>0</v>
      </c>
      <c r="E44" s="30">
        <f t="shared" ref="E44:K44" si="13">IF(OR(E$10&gt;$F46,E$10&lt;$E46),1,0)</f>
        <v>0</v>
      </c>
      <c r="F44" s="30">
        <f t="shared" si="13"/>
        <v>1</v>
      </c>
      <c r="G44" s="31">
        <f t="shared" si="13"/>
        <v>1</v>
      </c>
      <c r="H44" s="31">
        <f t="shared" si="13"/>
        <v>1</v>
      </c>
      <c r="I44" s="32">
        <f t="shared" si="13"/>
        <v>0</v>
      </c>
      <c r="J44" s="30">
        <f t="shared" si="13"/>
        <v>0</v>
      </c>
      <c r="K44" s="30">
        <f t="shared" si="13"/>
        <v>0</v>
      </c>
    </row>
    <row r="45" spans="1:11" x14ac:dyDescent="0.25">
      <c r="A45" s="27"/>
      <c r="B45" t="s">
        <v>147</v>
      </c>
      <c r="C45" t="s">
        <v>148</v>
      </c>
      <c r="D45" t="s">
        <v>149</v>
      </c>
      <c r="E45" t="s">
        <v>150</v>
      </c>
      <c r="F45" t="s">
        <v>151</v>
      </c>
    </row>
    <row r="46" spans="1:11" ht="15.75" thickBot="1" x14ac:dyDescent="0.3">
      <c r="A46" s="28"/>
      <c r="B46" s="29">
        <f>QUARTILE($B$10:$K$10,1)</f>
        <v>1.6070042261933632</v>
      </c>
      <c r="C46" s="29">
        <f>QUARTILE($B$10:$K$10,3)</f>
        <v>1.8735228203432366</v>
      </c>
      <c r="D46" s="29">
        <f>$C46-$B46</f>
        <v>0.26651859414987333</v>
      </c>
      <c r="E46" s="29">
        <f>$B46-1.5*$D46</f>
        <v>1.2072263349685532</v>
      </c>
      <c r="F46" s="29">
        <f>$C46+1.5*$D46</f>
        <v>2.2733007115680466</v>
      </c>
      <c r="I46" s="29"/>
      <c r="J46" s="29"/>
      <c r="K46" s="29"/>
    </row>
    <row r="47" spans="1:11" x14ac:dyDescent="0.25">
      <c r="A47" s="25">
        <v>300</v>
      </c>
      <c r="B47" s="32">
        <f>IF(OR(B$11&gt;$F49,B$11&lt;$E49),1,0)</f>
        <v>0</v>
      </c>
      <c r="C47" s="32">
        <f>IF(OR(C$11&gt;$F49,C$11&lt;$E49),1,0)</f>
        <v>0</v>
      </c>
      <c r="D47" s="39">
        <f>IF(OR(D$11&gt;$F28,D$11&lt;$E28),1,0)</f>
        <v>0</v>
      </c>
      <c r="E47" s="30">
        <f t="shared" ref="E47:K47" si="14">IF(OR(E$11&gt;$F49,E$11&lt;$E49),1,0)</f>
        <v>0</v>
      </c>
      <c r="F47" s="30">
        <f t="shared" si="14"/>
        <v>1</v>
      </c>
      <c r="G47" s="31">
        <f t="shared" si="14"/>
        <v>1</v>
      </c>
      <c r="H47" s="31">
        <f t="shared" si="14"/>
        <v>1</v>
      </c>
      <c r="I47" s="32">
        <f t="shared" si="14"/>
        <v>0</v>
      </c>
      <c r="J47" s="30">
        <f t="shared" si="14"/>
        <v>0</v>
      </c>
      <c r="K47" s="30">
        <f t="shared" si="14"/>
        <v>0</v>
      </c>
    </row>
    <row r="48" spans="1:11" x14ac:dyDescent="0.25">
      <c r="A48" s="27"/>
      <c r="B48" t="s">
        <v>147</v>
      </c>
      <c r="C48" t="s">
        <v>148</v>
      </c>
      <c r="D48" t="s">
        <v>149</v>
      </c>
      <c r="E48" t="s">
        <v>150</v>
      </c>
      <c r="F48" t="s">
        <v>151</v>
      </c>
    </row>
    <row r="49" spans="1:11" ht="15.75" thickBot="1" x14ac:dyDescent="0.3">
      <c r="A49" s="28"/>
      <c r="B49" s="29">
        <f>QUARTILE($B$11:$K$11,1)</f>
        <v>2.5640999241732523</v>
      </c>
      <c r="C49" s="29">
        <f>QUARTILE($B$11:$K$11,3)</f>
        <v>2.9881160148131682</v>
      </c>
      <c r="D49" s="29">
        <f>$C49-$B49</f>
        <v>0.42401609063991597</v>
      </c>
      <c r="E49" s="29">
        <f>$B49-1.5*$D49</f>
        <v>1.9280757882133783</v>
      </c>
      <c r="F49" s="29">
        <f>$C49+1.5*$D49</f>
        <v>3.6241401507730422</v>
      </c>
      <c r="I49" s="29"/>
      <c r="J49" s="29"/>
      <c r="K49" s="29"/>
    </row>
    <row r="50" spans="1:11" x14ac:dyDescent="0.25">
      <c r="A50" s="25">
        <v>400</v>
      </c>
      <c r="B50" s="32">
        <f>IF(OR(B$12&gt;$F52,B$12&lt;$E52),1,0)</f>
        <v>0</v>
      </c>
      <c r="C50" s="32">
        <f>IF(OR(C$12&gt;$F52,C$12&lt;$E52),1,0)</f>
        <v>0</v>
      </c>
      <c r="D50" s="39">
        <f>IF(OR(D$12&gt;$F28,D$12&lt;$E28),1,0)</f>
        <v>0</v>
      </c>
      <c r="E50" s="30">
        <f t="shared" ref="E50:K50" si="15">IF(OR(E$12&gt;$F52,E$12&lt;$E52),1,0)</f>
        <v>0</v>
      </c>
      <c r="F50" s="30">
        <f t="shared" si="15"/>
        <v>1</v>
      </c>
      <c r="G50" s="31">
        <f t="shared" si="15"/>
        <v>1</v>
      </c>
      <c r="H50" s="31">
        <f t="shared" si="15"/>
        <v>1</v>
      </c>
      <c r="I50" s="32">
        <f t="shared" si="15"/>
        <v>0</v>
      </c>
      <c r="J50" s="30">
        <f t="shared" si="15"/>
        <v>0</v>
      </c>
      <c r="K50" s="30">
        <f t="shared" si="15"/>
        <v>0</v>
      </c>
    </row>
    <row r="51" spans="1:11" x14ac:dyDescent="0.25">
      <c r="A51" s="27"/>
      <c r="B51" t="s">
        <v>147</v>
      </c>
      <c r="C51" t="s">
        <v>148</v>
      </c>
      <c r="D51" t="s">
        <v>149</v>
      </c>
      <c r="E51" t="s">
        <v>150</v>
      </c>
      <c r="F51" t="s">
        <v>151</v>
      </c>
    </row>
    <row r="52" spans="1:11" ht="15.75" thickBot="1" x14ac:dyDescent="0.3">
      <c r="A52" s="28"/>
      <c r="B52" s="29">
        <f>QUARTILE($B$12:$K$12,1)</f>
        <v>3.6202777936070047</v>
      </c>
      <c r="C52" s="29">
        <f>QUARTILE($B$12:$K$12,3)</f>
        <v>4.2931610639104498</v>
      </c>
      <c r="D52" s="29">
        <f>$C52-$B52</f>
        <v>0.67288327030344508</v>
      </c>
      <c r="E52" s="29">
        <f>$B52-1.5*$D52</f>
        <v>2.6109528881518371</v>
      </c>
      <c r="F52" s="29">
        <f>$C52+1.5*$D52</f>
        <v>5.3024859693656179</v>
      </c>
      <c r="I52" s="29"/>
      <c r="J52" s="29"/>
      <c r="K52" s="29"/>
    </row>
    <row r="53" spans="1:11" x14ac:dyDescent="0.25">
      <c r="A53" s="25">
        <v>500</v>
      </c>
      <c r="B53" s="32">
        <f>IF(OR(B$13&gt;$F55,B$13&lt;$E55),1,0)</f>
        <v>0</v>
      </c>
      <c r="C53" s="32">
        <f>IF(OR(C$13&gt;$F55,C$13&lt;$E55),1,0)</f>
        <v>0</v>
      </c>
      <c r="D53" s="39">
        <f>IF(OR(D$13&gt;$F28,D$13&lt;$E28),1,0)</f>
        <v>0</v>
      </c>
      <c r="E53" s="30">
        <f t="shared" ref="E53:K53" si="16">IF(OR(E$13&gt;$F55,E$13&lt;$E55),1,0)</f>
        <v>0</v>
      </c>
      <c r="F53" s="30">
        <f t="shared" si="16"/>
        <v>1</v>
      </c>
      <c r="G53" s="31">
        <f t="shared" si="16"/>
        <v>1</v>
      </c>
      <c r="H53" s="31">
        <f t="shared" si="16"/>
        <v>1</v>
      </c>
      <c r="I53" s="32">
        <f t="shared" si="16"/>
        <v>0</v>
      </c>
      <c r="J53" s="30">
        <f t="shared" si="16"/>
        <v>0</v>
      </c>
      <c r="K53" s="30">
        <f t="shared" si="16"/>
        <v>0</v>
      </c>
    </row>
    <row r="54" spans="1:11" x14ac:dyDescent="0.25">
      <c r="A54" s="27"/>
      <c r="B54" t="s">
        <v>147</v>
      </c>
      <c r="C54" t="s">
        <v>148</v>
      </c>
      <c r="D54" t="s">
        <v>149</v>
      </c>
      <c r="E54" t="s">
        <v>150</v>
      </c>
      <c r="F54" t="s">
        <v>151</v>
      </c>
    </row>
    <row r="55" spans="1:11" ht="15.75" thickBot="1" x14ac:dyDescent="0.3">
      <c r="A55" s="28"/>
      <c r="B55" s="29">
        <f>QUARTILE($B$13:$K$13,1)</f>
        <v>4.7666855197898377</v>
      </c>
      <c r="C55" s="29">
        <f>QUARTILE($B$13:$K$13,3)</f>
        <v>5.7464988081040644</v>
      </c>
      <c r="D55" s="29">
        <f>$C55-$B55</f>
        <v>0.97981328831422676</v>
      </c>
      <c r="E55" s="29">
        <f>$B55-1.5*$D55</f>
        <v>3.2969655873184975</v>
      </c>
      <c r="F55" s="29">
        <f>$C55+1.5*$D55</f>
        <v>7.216218740575405</v>
      </c>
      <c r="I55" s="29"/>
      <c r="J55" s="29"/>
      <c r="K55" s="29"/>
    </row>
    <row r="56" spans="1:11" x14ac:dyDescent="0.25">
      <c r="A56" s="25">
        <v>600</v>
      </c>
      <c r="B56" s="32">
        <f>IF(OR(B$14&gt;$F58,B$14&lt;$E58),1,0)</f>
        <v>0</v>
      </c>
      <c r="C56" s="32">
        <f>IF(OR(C$14&gt;$F58,C$14&lt;$E58),1,0)</f>
        <v>0</v>
      </c>
      <c r="D56" s="39">
        <f>IF(OR(D$14&gt;$F28,D$14&lt;$E28),1,0)</f>
        <v>0</v>
      </c>
      <c r="E56" s="30">
        <f t="shared" ref="E56:K56" si="17">IF(OR(E$14&gt;$F58,E$14&lt;$E58),1,0)</f>
        <v>0</v>
      </c>
      <c r="F56" s="30">
        <f t="shared" si="17"/>
        <v>1</v>
      </c>
      <c r="G56" s="31">
        <f t="shared" si="17"/>
        <v>1</v>
      </c>
      <c r="H56" s="31">
        <f t="shared" si="17"/>
        <v>1</v>
      </c>
      <c r="I56" s="32">
        <f t="shared" si="17"/>
        <v>0</v>
      </c>
      <c r="J56" s="30">
        <f t="shared" si="17"/>
        <v>0</v>
      </c>
      <c r="K56" s="30">
        <f t="shared" si="17"/>
        <v>0</v>
      </c>
    </row>
    <row r="57" spans="1:11" x14ac:dyDescent="0.25">
      <c r="A57" s="27"/>
      <c r="B57" t="s">
        <v>147</v>
      </c>
      <c r="C57" t="s">
        <v>148</v>
      </c>
      <c r="D57" t="s">
        <v>149</v>
      </c>
      <c r="E57" t="s">
        <v>150</v>
      </c>
      <c r="F57" t="s">
        <v>151</v>
      </c>
    </row>
    <row r="58" spans="1:11" ht="15.75" thickBot="1" x14ac:dyDescent="0.3">
      <c r="A58" s="28"/>
      <c r="B58" s="29">
        <f>QUARTILE($B$14:$K$14,1)</f>
        <v>5.9889393056585707</v>
      </c>
      <c r="C58" s="29">
        <f>QUARTILE($B$14:$K$14,3)</f>
        <v>7.3271978066412959</v>
      </c>
      <c r="D58" s="29">
        <f>$C58-$B58</f>
        <v>1.3382585009827253</v>
      </c>
      <c r="E58" s="29">
        <f>$B58-1.5*$D58</f>
        <v>3.9815515541844828</v>
      </c>
      <c r="F58" s="29">
        <f>$C58+1.5*$D58</f>
        <v>9.3345855581153838</v>
      </c>
      <c r="I58" s="29"/>
      <c r="J58" s="29"/>
      <c r="K58" s="29"/>
    </row>
    <row r="59" spans="1:11" x14ac:dyDescent="0.25">
      <c r="A59" s="25">
        <v>700</v>
      </c>
      <c r="B59" s="32">
        <f>IF(OR(B$15&gt;$F61,B$15&lt;$E61),1,0)</f>
        <v>0</v>
      </c>
      <c r="C59" s="32">
        <f>IF(OR(C$15&gt;$F61,C$15&lt;$E61),1,0)</f>
        <v>0</v>
      </c>
      <c r="D59" s="39">
        <f>IF(OR(D$15&gt;$F28,D$15&lt;$E28),1,0)</f>
        <v>0</v>
      </c>
      <c r="E59" s="30">
        <f t="shared" ref="E59:K59" si="18">IF(OR(E$15&gt;$F61,E$15&lt;$E61),1,0)</f>
        <v>0</v>
      </c>
      <c r="F59" s="30">
        <f t="shared" si="18"/>
        <v>1</v>
      </c>
      <c r="G59" s="31">
        <f t="shared" si="18"/>
        <v>1</v>
      </c>
      <c r="H59" s="31">
        <f t="shared" si="18"/>
        <v>1</v>
      </c>
      <c r="I59" s="32">
        <f t="shared" si="18"/>
        <v>0</v>
      </c>
      <c r="J59" s="30">
        <f t="shared" si="18"/>
        <v>0</v>
      </c>
      <c r="K59" s="30">
        <f t="shared" si="18"/>
        <v>0</v>
      </c>
    </row>
    <row r="60" spans="1:11" x14ac:dyDescent="0.25">
      <c r="A60" s="27"/>
      <c r="B60" t="s">
        <v>147</v>
      </c>
      <c r="C60" t="s">
        <v>148</v>
      </c>
      <c r="D60" t="s">
        <v>149</v>
      </c>
      <c r="E60" t="s">
        <v>150</v>
      </c>
      <c r="F60" t="s">
        <v>151</v>
      </c>
    </row>
    <row r="61" spans="1:11" ht="15.75" thickBot="1" x14ac:dyDescent="0.3">
      <c r="A61" s="28"/>
      <c r="B61" s="29">
        <f>QUARTILE($B$15:$K$15,1)</f>
        <v>7.2674732531713175</v>
      </c>
      <c r="C61" s="29">
        <f>QUARTILE($B$15:$K$15,3)</f>
        <v>9.0015549950006317</v>
      </c>
      <c r="D61" s="29">
        <f>$C61-$B61</f>
        <v>1.7340817418293142</v>
      </c>
      <c r="E61" s="29">
        <f>$B61-1.5*$D61</f>
        <v>4.6663506404273463</v>
      </c>
      <c r="F61" s="29">
        <f>$C61+1.5*$D61</f>
        <v>11.602677607744603</v>
      </c>
      <c r="I61" s="29"/>
      <c r="J61" s="29"/>
      <c r="K61" s="29"/>
    </row>
    <row r="62" spans="1:11" x14ac:dyDescent="0.25">
      <c r="A62" s="25">
        <v>800</v>
      </c>
      <c r="B62" s="32">
        <f>IF(OR(B$16&gt;$F64,B$16&lt;$E64),1,0)</f>
        <v>0</v>
      </c>
      <c r="C62" s="32">
        <f>IF(OR(C$16&gt;$F64,C$16&lt;$E64),1,0)</f>
        <v>0</v>
      </c>
      <c r="D62" s="39">
        <f>IF(OR(D$16&gt;$F28,D$16&lt;$E28),1,0)</f>
        <v>0</v>
      </c>
      <c r="E62" s="30">
        <f t="shared" ref="E62:K62" si="19">IF(OR(E$16&gt;$F64,E$16&lt;$E64),1,0)</f>
        <v>0</v>
      </c>
      <c r="F62" s="30">
        <f t="shared" si="19"/>
        <v>1</v>
      </c>
      <c r="G62" s="31">
        <f t="shared" si="19"/>
        <v>1</v>
      </c>
      <c r="H62" s="31">
        <f t="shared" si="19"/>
        <v>1</v>
      </c>
      <c r="I62" s="32">
        <f t="shared" si="19"/>
        <v>0</v>
      </c>
      <c r="J62" s="30">
        <f t="shared" si="19"/>
        <v>0</v>
      </c>
      <c r="K62" s="30">
        <f t="shared" si="19"/>
        <v>0</v>
      </c>
    </row>
    <row r="63" spans="1:11" x14ac:dyDescent="0.25">
      <c r="A63" s="27"/>
      <c r="B63" t="s">
        <v>147</v>
      </c>
      <c r="C63" t="s">
        <v>148</v>
      </c>
      <c r="D63" t="s">
        <v>149</v>
      </c>
      <c r="E63" t="s">
        <v>150</v>
      </c>
      <c r="F63" t="s">
        <v>151</v>
      </c>
    </row>
    <row r="64" spans="1:11" ht="15.75" thickBot="1" x14ac:dyDescent="0.3">
      <c r="A64" s="28"/>
      <c r="B64" s="29">
        <f>QUARTILE($B$16:$K$16,1)</f>
        <v>8.5785955635031712</v>
      </c>
      <c r="C64" s="29">
        <f>QUARTILE($B$16:$K$16,3)</f>
        <v>10.725258004949936</v>
      </c>
      <c r="D64" s="29">
        <f>$C64-$B64</f>
        <v>2.1466624414467645</v>
      </c>
      <c r="E64" s="29">
        <f>$B64-1.5*$D64</f>
        <v>5.3586019013330244</v>
      </c>
      <c r="F64" s="29">
        <f>$C64+1.5*$D64</f>
        <v>13.945251667120083</v>
      </c>
      <c r="I64" s="29"/>
      <c r="J64" s="29"/>
      <c r="K64" s="29"/>
    </row>
    <row r="65" spans="1:11" x14ac:dyDescent="0.25">
      <c r="A65" s="25">
        <v>900</v>
      </c>
      <c r="B65" s="32">
        <f>IF(OR(B$17&gt;$F67,B$17&lt;$E67),1,0)</f>
        <v>0</v>
      </c>
      <c r="C65" s="32">
        <f>IF(OR(C$17&gt;$F67,C$17&lt;$E67),1,0)</f>
        <v>0</v>
      </c>
      <c r="D65" s="39">
        <f>IF(OR(D$17&gt;$F28,D$17&lt;$E28),1,0)</f>
        <v>0</v>
      </c>
      <c r="E65" s="30">
        <f t="shared" ref="E65:K65" si="20">IF(OR(E$17&gt;$F67,E$17&lt;$E67),1,0)</f>
        <v>0</v>
      </c>
      <c r="F65" s="32">
        <f t="shared" si="20"/>
        <v>1</v>
      </c>
      <c r="G65" s="31">
        <f t="shared" si="20"/>
        <v>1</v>
      </c>
      <c r="H65" s="31">
        <f t="shared" si="20"/>
        <v>1</v>
      </c>
      <c r="I65" s="32">
        <f t="shared" si="20"/>
        <v>0</v>
      </c>
      <c r="J65" s="30">
        <f t="shared" si="20"/>
        <v>0</v>
      </c>
      <c r="K65" s="30">
        <f t="shared" si="20"/>
        <v>0</v>
      </c>
    </row>
    <row r="66" spans="1:11" x14ac:dyDescent="0.25">
      <c r="A66" s="27"/>
      <c r="B66" t="s">
        <v>147</v>
      </c>
      <c r="C66" t="s">
        <v>148</v>
      </c>
      <c r="D66" t="s">
        <v>149</v>
      </c>
      <c r="E66" t="s">
        <v>150</v>
      </c>
      <c r="F66" t="s">
        <v>151</v>
      </c>
    </row>
    <row r="67" spans="1:11" ht="15.75" thickBot="1" x14ac:dyDescent="0.3">
      <c r="A67" s="28"/>
      <c r="B67" s="29">
        <f>QUARTILE($B$17:$K$17,1)</f>
        <v>9.8961676454074379</v>
      </c>
      <c r="C67" s="29">
        <f>QUARTILE($B$17:$K$17,3)</f>
        <v>12.448105383834749</v>
      </c>
      <c r="D67" s="29">
        <f>$C67-$B67</f>
        <v>2.551937738427311</v>
      </c>
      <c r="E67" s="29">
        <f>$B67-1.5*$D67</f>
        <v>6.0682610377664714</v>
      </c>
      <c r="F67" s="29">
        <f>$C67+1.5*$D67</f>
        <v>16.276011991475716</v>
      </c>
      <c r="I67" s="29"/>
      <c r="J67" s="29"/>
      <c r="K67" s="29"/>
    </row>
    <row r="68" spans="1:11" x14ac:dyDescent="0.25">
      <c r="A68" s="25">
        <v>1000</v>
      </c>
      <c r="B68" s="32">
        <f>IF(OR(B$18&gt;$F70,B$18&lt;$E70),1,0)</f>
        <v>0</v>
      </c>
      <c r="C68" s="32">
        <f>IF(OR(C$18&gt;$F70,C$18&lt;$E70),1,0)</f>
        <v>0</v>
      </c>
      <c r="D68" s="39">
        <f>IF(OR(D$18&gt;$F28,D$18&lt;$E28),1,0)</f>
        <v>0</v>
      </c>
      <c r="E68" s="30">
        <f t="shared" ref="E68:K68" si="21">IF(OR(E$18&gt;$F70,E$18&lt;$E70),1,0)</f>
        <v>0</v>
      </c>
      <c r="F68" s="32">
        <f t="shared" si="21"/>
        <v>1</v>
      </c>
      <c r="G68" s="31">
        <f t="shared" si="21"/>
        <v>1</v>
      </c>
      <c r="H68" s="31">
        <f t="shared" si="21"/>
        <v>1</v>
      </c>
      <c r="I68" s="32">
        <f t="shared" si="21"/>
        <v>0</v>
      </c>
      <c r="J68" s="30">
        <f t="shared" si="21"/>
        <v>0</v>
      </c>
      <c r="K68" s="30">
        <f t="shared" si="21"/>
        <v>0</v>
      </c>
    </row>
    <row r="69" spans="1:11" x14ac:dyDescent="0.25">
      <c r="A69" s="27"/>
      <c r="B69" t="s">
        <v>147</v>
      </c>
      <c r="C69" t="s">
        <v>148</v>
      </c>
      <c r="D69" t="s">
        <v>149</v>
      </c>
      <c r="E69" t="s">
        <v>150</v>
      </c>
      <c r="F69" t="s">
        <v>151</v>
      </c>
    </row>
    <row r="70" spans="1:11" ht="15.75" thickBot="1" x14ac:dyDescent="0.3">
      <c r="A70" s="28"/>
      <c r="B70" s="29">
        <f>QUARTILE($B$18:$K$18,1)</f>
        <v>11.193666500107643</v>
      </c>
      <c r="C70" s="29">
        <f>QUARTILE($B$18:$K$18,3)</f>
        <v>14.12027658934416</v>
      </c>
      <c r="D70" s="29">
        <f>$C70-$B70</f>
        <v>2.926610089236517</v>
      </c>
      <c r="E70" s="29">
        <f>$B70-1.5*$D70</f>
        <v>6.8037513662528672</v>
      </c>
      <c r="F70" s="29">
        <f>$C70+1.5*$D70</f>
        <v>18.510191723198936</v>
      </c>
      <c r="I70" s="29"/>
      <c r="J70" s="29"/>
      <c r="K70" s="29"/>
    </row>
    <row r="71" spans="1:11" x14ac:dyDescent="0.25">
      <c r="A71" s="25">
        <v>1500</v>
      </c>
      <c r="B71" s="32">
        <f>IF(OR(B$19&gt;$F73,B$19&lt;$E73),1,0)</f>
        <v>0</v>
      </c>
      <c r="C71" s="32">
        <f>IF(OR(C$19&gt;$F73,C$19&lt;$E73),1,0)</f>
        <v>0</v>
      </c>
      <c r="D71" s="39">
        <f>IF(OR(D$19&gt;$F28,D$19&lt;$E28),1,0)</f>
        <v>0</v>
      </c>
      <c r="E71" s="30">
        <f t="shared" ref="E71:K71" si="22">IF(OR(E$19&gt;$F73,E$19&lt;$E73),1,0)</f>
        <v>0</v>
      </c>
      <c r="F71" s="37">
        <f t="shared" si="22"/>
        <v>1</v>
      </c>
      <c r="G71" s="31">
        <f t="shared" si="22"/>
        <v>1</v>
      </c>
      <c r="H71" s="31">
        <f t="shared" si="22"/>
        <v>1</v>
      </c>
      <c r="I71" s="32">
        <f t="shared" si="22"/>
        <v>0</v>
      </c>
      <c r="J71" s="30">
        <f t="shared" si="22"/>
        <v>0</v>
      </c>
      <c r="K71" s="30">
        <f t="shared" si="22"/>
        <v>0</v>
      </c>
    </row>
    <row r="72" spans="1:11" x14ac:dyDescent="0.25">
      <c r="A72" s="27"/>
      <c r="B72" t="s">
        <v>147</v>
      </c>
      <c r="C72" t="s">
        <v>148</v>
      </c>
      <c r="D72" t="s">
        <v>149</v>
      </c>
      <c r="E72" t="s">
        <v>150</v>
      </c>
      <c r="F72" t="s">
        <v>151</v>
      </c>
    </row>
    <row r="73" spans="1:11" ht="15.75" thickBot="1" x14ac:dyDescent="0.3">
      <c r="A73" s="28"/>
      <c r="B73" s="29">
        <f>QUARTILE($B$19:$K$19,1)</f>
        <v>16.409477361129341</v>
      </c>
      <c r="C73" s="29">
        <f>QUARTILE($B$19:$K$19,3)</f>
        <v>19.927700648758176</v>
      </c>
      <c r="D73" s="29">
        <f>$C73-$B73</f>
        <v>3.5182232876288353</v>
      </c>
      <c r="E73" s="29">
        <f>$B73-1.5*$D73</f>
        <v>11.132142429686088</v>
      </c>
      <c r="F73" s="29">
        <f>$C73+1.5*$D73</f>
        <v>25.205035580201429</v>
      </c>
      <c r="H73" s="29"/>
      <c r="I73" s="29"/>
      <c r="J73" s="29"/>
      <c r="K73" s="29"/>
    </row>
    <row r="74" spans="1:11" x14ac:dyDescent="0.25">
      <c r="A74" s="25">
        <v>2000</v>
      </c>
      <c r="B74" s="32">
        <f>IF(OR(B$20&gt;$F76,B$20&lt;$E76),1,0)</f>
        <v>0</v>
      </c>
      <c r="C74" s="32">
        <f>IF(OR(C$20&gt;$F76,C$20&lt;$E76),1,0)</f>
        <v>0</v>
      </c>
      <c r="D74" s="39">
        <f>IF(OR(D$20&gt;$F28,D$20&lt;$E28),1,0)</f>
        <v>0</v>
      </c>
      <c r="E74" s="31">
        <f t="shared" ref="E74:K74" si="23">IF(OR(E$20&gt;$F76,E$20&lt;$E76),1,0)</f>
        <v>1</v>
      </c>
      <c r="F74" s="31">
        <f t="shared" si="23"/>
        <v>1</v>
      </c>
      <c r="G74" s="31">
        <f t="shared" si="23"/>
        <v>1</v>
      </c>
      <c r="H74" s="31">
        <f t="shared" si="23"/>
        <v>1</v>
      </c>
      <c r="I74" s="32">
        <f t="shared" si="23"/>
        <v>0</v>
      </c>
      <c r="J74" s="30">
        <f t="shared" si="23"/>
        <v>0</v>
      </c>
      <c r="K74" s="30">
        <f t="shared" si="23"/>
        <v>0</v>
      </c>
    </row>
    <row r="75" spans="1:11" x14ac:dyDescent="0.25">
      <c r="A75" s="27"/>
      <c r="B75" t="s">
        <v>147</v>
      </c>
      <c r="C75" t="s">
        <v>148</v>
      </c>
      <c r="D75" t="s">
        <v>149</v>
      </c>
      <c r="E75" t="s">
        <v>150</v>
      </c>
      <c r="F75" t="s">
        <v>151</v>
      </c>
    </row>
    <row r="76" spans="1:11" ht="15.75" thickBot="1" x14ac:dyDescent="0.3">
      <c r="A76" s="28"/>
      <c r="B76" s="29">
        <f>QUARTILE($B$20:$K$20,1)</f>
        <v>20.107431047474712</v>
      </c>
      <c r="C76" s="29">
        <f>QUARTILE($B$20:$K$20,3)</f>
        <v>23.128782896549229</v>
      </c>
      <c r="D76" s="29">
        <f>$C76-$B76</f>
        <v>3.0213518490745166</v>
      </c>
      <c r="E76" s="29">
        <f>$B76-1.5*$D76</f>
        <v>15.575403273862937</v>
      </c>
      <c r="F76" s="29">
        <f>$C76+1.5*$D76</f>
        <v>27.660810670161005</v>
      </c>
      <c r="H76" s="29"/>
      <c r="I76" s="29"/>
      <c r="J76" s="29"/>
      <c r="K76" s="29"/>
    </row>
    <row r="77" spans="1:11" x14ac:dyDescent="0.25">
      <c r="A77" s="25">
        <v>3000</v>
      </c>
      <c r="B77" s="32">
        <f>IF(OR(B$21&gt;$F79,B$21&lt;$E79),1,0)</f>
        <v>0</v>
      </c>
      <c r="C77" s="32">
        <f>IF(OR(C$21&gt;$F79,C$21&lt;$E79),1,0)</f>
        <v>1</v>
      </c>
      <c r="D77" s="39">
        <f>IF(OR(D$21&gt;$F28,D$21&lt;$E28),1,0)</f>
        <v>0</v>
      </c>
      <c r="E77" s="31">
        <f t="shared" ref="E77:K77" si="24">IF(OR(E$21&gt;$F79,E$21&lt;$E79),1,0)</f>
        <v>1</v>
      </c>
      <c r="F77" s="31">
        <f t="shared" si="24"/>
        <v>1</v>
      </c>
      <c r="G77" s="31">
        <f t="shared" si="24"/>
        <v>1</v>
      </c>
      <c r="H77" s="31">
        <f t="shared" si="24"/>
        <v>1</v>
      </c>
      <c r="I77" s="32">
        <f>IF(OR(I$21&gt;$F79,I$21&lt;$E79),1,0)</f>
        <v>1</v>
      </c>
      <c r="J77" s="30">
        <f t="shared" si="24"/>
        <v>0</v>
      </c>
      <c r="K77" s="30">
        <f t="shared" si="24"/>
        <v>0</v>
      </c>
    </row>
    <row r="78" spans="1:11" x14ac:dyDescent="0.25">
      <c r="A78" s="27"/>
      <c r="B78" t="s">
        <v>147</v>
      </c>
      <c r="C78" t="s">
        <v>148</v>
      </c>
      <c r="D78" t="s">
        <v>149</v>
      </c>
      <c r="E78" t="s">
        <v>150</v>
      </c>
      <c r="F78" t="s">
        <v>151</v>
      </c>
    </row>
    <row r="79" spans="1:11" ht="15.75" thickBot="1" x14ac:dyDescent="0.3">
      <c r="A79" s="28"/>
      <c r="B79" s="29">
        <f>QUARTILE($B$21:$K$21,1)</f>
        <v>23.22797949477658</v>
      </c>
      <c r="C79" s="29">
        <f>QUARTILE($B$21:$K$21,3)</f>
        <v>23.948353344368591</v>
      </c>
      <c r="D79" s="29">
        <f>$C79-$B79</f>
        <v>0.72037384959201134</v>
      </c>
      <c r="E79" s="29">
        <f>$B79-1.5*$D79</f>
        <v>22.147418720388565</v>
      </c>
      <c r="F79" s="29">
        <f>$C79+1.5*$D79</f>
        <v>25.02891411875661</v>
      </c>
      <c r="H79" s="29"/>
      <c r="I79" s="29"/>
      <c r="J79" s="29"/>
      <c r="K79" s="29"/>
    </row>
    <row r="80" spans="1:11" x14ac:dyDescent="0.25">
      <c r="A80" s="25">
        <v>4000</v>
      </c>
      <c r="B80" s="30">
        <f>IF(OR(B$22&gt;$F82,B$22&lt;$E82),1,0)</f>
        <v>0</v>
      </c>
      <c r="C80" s="30">
        <f>IF(OR(C$22&gt;$F82,C$22&lt;$E82),1,0)</f>
        <v>0</v>
      </c>
      <c r="D80" s="45">
        <f>IF(OR(D$22&gt;$F28,D$22&lt;$E28),1,0)</f>
        <v>0</v>
      </c>
      <c r="E80" s="31">
        <f t="shared" ref="E80:K80" si="25">IF(OR(E$22&gt;$F82,E$22&lt;$E82),1,0)</f>
        <v>1</v>
      </c>
      <c r="F80" s="31">
        <f t="shared" si="25"/>
        <v>1</v>
      </c>
      <c r="G80" s="31">
        <f t="shared" si="25"/>
        <v>1</v>
      </c>
      <c r="H80" s="31">
        <f t="shared" si="25"/>
        <v>1</v>
      </c>
      <c r="I80" s="30">
        <f t="shared" si="25"/>
        <v>0</v>
      </c>
      <c r="J80" s="30">
        <f t="shared" si="25"/>
        <v>0</v>
      </c>
      <c r="K80" s="31">
        <f t="shared" si="25"/>
        <v>1</v>
      </c>
    </row>
    <row r="81" spans="1:11" x14ac:dyDescent="0.25">
      <c r="A81" s="27"/>
      <c r="B81" t="s">
        <v>147</v>
      </c>
      <c r="C81" t="s">
        <v>148</v>
      </c>
      <c r="D81" t="s">
        <v>149</v>
      </c>
      <c r="E81" t="s">
        <v>150</v>
      </c>
      <c r="F81" t="s">
        <v>151</v>
      </c>
    </row>
    <row r="82" spans="1:11" ht="15.75" thickBot="1" x14ac:dyDescent="0.3">
      <c r="A82" s="28"/>
      <c r="B82" s="29">
        <f>QUARTILE($B$22:$K$22,1)</f>
        <v>22.933582272304086</v>
      </c>
      <c r="C82" s="29">
        <f>QUARTILE($B$22:$K$22,3)</f>
        <v>24.794938215648621</v>
      </c>
      <c r="D82" s="29">
        <f>$C82-$B82</f>
        <v>1.8613559433445346</v>
      </c>
      <c r="E82" s="29">
        <f>$B82-1.5*$D82</f>
        <v>20.141548357287284</v>
      </c>
      <c r="F82" s="29">
        <f>$C82+1.5*$D82</f>
        <v>27.586972130665423</v>
      </c>
      <c r="G82" s="29"/>
      <c r="H82" s="29"/>
      <c r="I82" s="29"/>
      <c r="J82" s="29"/>
      <c r="K82" s="29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FBB-A949-4727-B1BA-95D54E93A08D}">
  <dimension ref="A3:S82"/>
  <sheetViews>
    <sheetView zoomScale="70" zoomScaleNormal="70" workbookViewId="0">
      <selection activeCell="N41" sqref="N41"/>
    </sheetView>
  </sheetViews>
  <sheetFormatPr defaultRowHeight="15" x14ac:dyDescent="0.25"/>
  <cols>
    <col min="11" max="11" width="11.140625" customWidth="1"/>
    <col min="12" max="12" width="24.140625" customWidth="1"/>
    <col min="13" max="13" width="15.7109375" customWidth="1"/>
    <col min="14" max="14" width="19.5703125" customWidth="1"/>
    <col min="15" max="15" width="35" customWidth="1"/>
    <col min="16" max="16" width="35.5703125" customWidth="1"/>
    <col min="17" max="17" width="18.42578125" customWidth="1"/>
    <col min="18" max="18" width="16.85546875" customWidth="1"/>
  </cols>
  <sheetData>
    <row r="3" spans="1:19" x14ac:dyDescent="0.25">
      <c r="A3" s="20" t="s">
        <v>31</v>
      </c>
      <c r="B3" s="34" t="s">
        <v>135</v>
      </c>
      <c r="C3" s="33" t="s">
        <v>162</v>
      </c>
      <c r="D3" s="43"/>
      <c r="E3" s="34" t="s">
        <v>152</v>
      </c>
      <c r="F3" s="35" t="s">
        <v>136</v>
      </c>
      <c r="G3" s="34" t="s">
        <v>153</v>
      </c>
      <c r="H3" s="35" t="s">
        <v>137</v>
      </c>
      <c r="I3" s="33" t="s">
        <v>154</v>
      </c>
      <c r="J3" s="33" t="s">
        <v>155</v>
      </c>
      <c r="K3" s="34" t="s">
        <v>138</v>
      </c>
      <c r="L3" s="21" t="s">
        <v>139</v>
      </c>
      <c r="M3" s="21" t="s">
        <v>140</v>
      </c>
      <c r="N3" s="21" t="s">
        <v>141</v>
      </c>
      <c r="O3" s="22" t="s">
        <v>142</v>
      </c>
      <c r="P3" s="23" t="s">
        <v>143</v>
      </c>
      <c r="Q3" s="23" t="s">
        <v>144</v>
      </c>
      <c r="R3" s="23" t="s">
        <v>145</v>
      </c>
      <c r="S3" s="24" t="s">
        <v>146</v>
      </c>
    </row>
    <row r="4" spans="1:19" x14ac:dyDescent="0.25">
      <c r="A4">
        <v>0</v>
      </c>
      <c r="B4">
        <f>'008'!AH4</f>
        <v>0</v>
      </c>
      <c r="C4">
        <f>'010'!AH4</f>
        <v>0</v>
      </c>
      <c r="E4">
        <f>'014'!AH4</f>
        <v>0</v>
      </c>
      <c r="G4">
        <f>'020'!AH4</f>
        <v>0</v>
      </c>
      <c r="I4">
        <f>'027'!AH4</f>
        <v>0</v>
      </c>
      <c r="J4">
        <f>'043'!AH4</f>
        <v>0</v>
      </c>
      <c r="K4">
        <f>'046'!AH4</f>
        <v>0</v>
      </c>
      <c r="L4">
        <f t="shared" ref="L4:L22" si="0">AVERAGE(B4:K4)</f>
        <v>0</v>
      </c>
      <c r="M4">
        <f t="shared" ref="M4:M22" si="1">_xlfn.STDEV.P(B4:K4)</f>
        <v>0</v>
      </c>
      <c r="N4">
        <v>9</v>
      </c>
      <c r="O4">
        <v>1.96</v>
      </c>
      <c r="P4">
        <f>L4-O4*(M4/(N4^0.5))</f>
        <v>0</v>
      </c>
      <c r="Q4">
        <f>L4+O4*(M4/(N4^0.5))</f>
        <v>0</v>
      </c>
      <c r="R4">
        <f>O4*(M4/(N4^0.5))</f>
        <v>0</v>
      </c>
      <c r="S4" t="e">
        <f>R4/L4*100</f>
        <v>#DIV/0!</v>
      </c>
    </row>
    <row r="5" spans="1:19" x14ac:dyDescent="0.25">
      <c r="A5">
        <v>10</v>
      </c>
      <c r="B5">
        <f>'008'!AH5</f>
        <v>5.9469989826649507E-2</v>
      </c>
      <c r="C5">
        <f>'010'!AH5</f>
        <v>7.0935412066542511E-2</v>
      </c>
      <c r="E5">
        <f>'014'!AH5</f>
        <v>7.8019134460831543E-2</v>
      </c>
      <c r="G5">
        <f>'020'!AH5</f>
        <v>8.4332896514484904E-2</v>
      </c>
      <c r="I5">
        <f>'027'!AH5</f>
        <v>8.9340415983639704E-2</v>
      </c>
      <c r="J5">
        <f>'043'!AH5</f>
        <v>6.7592862660813463E-2</v>
      </c>
      <c r="K5">
        <f>'046'!AH5</f>
        <v>7.0626470753278367E-2</v>
      </c>
      <c r="L5">
        <f t="shared" si="0"/>
        <v>7.4331026038034279E-2</v>
      </c>
      <c r="M5">
        <f t="shared" si="1"/>
        <v>9.4900587863651648E-3</v>
      </c>
      <c r="N5">
        <v>9</v>
      </c>
      <c r="O5">
        <v>1.96</v>
      </c>
      <c r="P5">
        <f>L5-O5*(M5/(N5^0.5))</f>
        <v>6.8130854297609039E-2</v>
      </c>
      <c r="Q5">
        <f t="shared" ref="Q5:Q22" si="2">L5+O5*(M5/(N5^0.5))</f>
        <v>8.0531197778459518E-2</v>
      </c>
      <c r="R5">
        <f t="shared" ref="R5:R22" si="3">O5*(M5/(N5^0.5))</f>
        <v>6.2001717404252402E-3</v>
      </c>
      <c r="S5">
        <f t="shared" ref="S5:S22" si="4">R5/L5*100</f>
        <v>8.3412971284059605</v>
      </c>
    </row>
    <row r="6" spans="1:19" x14ac:dyDescent="0.25">
      <c r="A6">
        <v>30</v>
      </c>
      <c r="B6">
        <f>'008'!AH6</f>
        <v>0.18084402084746531</v>
      </c>
      <c r="C6">
        <f>'010'!AH6</f>
        <v>0.2158861506840053</v>
      </c>
      <c r="E6">
        <f>'014'!AH6</f>
        <v>0.23673808819608905</v>
      </c>
      <c r="G6">
        <f>'020'!AH6</f>
        <v>0.25665598753644675</v>
      </c>
      <c r="I6">
        <f>'027'!AH6</f>
        <v>0.27153953717474677</v>
      </c>
      <c r="J6">
        <f>'043'!AH6</f>
        <v>0.20735586618084142</v>
      </c>
      <c r="K6">
        <f>'046'!AH6</f>
        <v>0.21470247872405177</v>
      </c>
      <c r="L6">
        <f t="shared" si="0"/>
        <v>0.22624601847766374</v>
      </c>
      <c r="M6">
        <f t="shared" si="1"/>
        <v>2.8648390616603635E-2</v>
      </c>
      <c r="N6">
        <v>9</v>
      </c>
      <c r="O6">
        <v>1.96</v>
      </c>
      <c r="P6">
        <f t="shared" ref="P6:P21" si="5">L6-O6*(M6/(N6^0.5))</f>
        <v>0.20752906994148268</v>
      </c>
      <c r="Q6">
        <f t="shared" si="2"/>
        <v>0.24496296701384479</v>
      </c>
      <c r="R6">
        <f t="shared" si="3"/>
        <v>1.8716948536181041E-2</v>
      </c>
      <c r="S6">
        <f t="shared" si="4"/>
        <v>8.2728300202237079</v>
      </c>
    </row>
    <row r="7" spans="1:19" x14ac:dyDescent="0.25">
      <c r="A7">
        <v>50</v>
      </c>
      <c r="B7">
        <f>'008'!AH7</f>
        <v>0.30550326443671977</v>
      </c>
      <c r="C7">
        <f>'010'!AH7</f>
        <v>0.36497894986498808</v>
      </c>
      <c r="E7">
        <f>'014'!AH7</f>
        <v>0.39905599840362999</v>
      </c>
      <c r="G7">
        <f>'020'!AH7</f>
        <v>0.43056705169583198</v>
      </c>
      <c r="I7">
        <f>'027'!AH7</f>
        <v>0.45846385449725663</v>
      </c>
      <c r="J7">
        <f>'043'!AH7</f>
        <v>0.35338015313563914</v>
      </c>
      <c r="K7">
        <f>'046'!AH7</f>
        <v>0.36257749351406771</v>
      </c>
      <c r="L7">
        <f t="shared" si="0"/>
        <v>0.38207525222116195</v>
      </c>
      <c r="M7">
        <f t="shared" si="1"/>
        <v>4.7560702698975832E-2</v>
      </c>
      <c r="N7">
        <v>9</v>
      </c>
      <c r="O7">
        <v>1.96</v>
      </c>
      <c r="P7">
        <f t="shared" si="5"/>
        <v>0.35100225979116439</v>
      </c>
      <c r="Q7">
        <f t="shared" si="2"/>
        <v>0.41314824465115951</v>
      </c>
      <c r="R7">
        <f t="shared" si="3"/>
        <v>3.1072992429997542E-2</v>
      </c>
      <c r="S7">
        <f t="shared" si="4"/>
        <v>8.1326891101575782</v>
      </c>
    </row>
    <row r="8" spans="1:19" x14ac:dyDescent="0.25">
      <c r="A8">
        <v>70</v>
      </c>
      <c r="B8">
        <f>'008'!AH8</f>
        <v>0.43349372161726857</v>
      </c>
      <c r="C8">
        <f>'010'!AH8</f>
        <v>0.51825176232210568</v>
      </c>
      <c r="E8">
        <f>'014'!AH8</f>
        <v>0.56499999606494833</v>
      </c>
      <c r="G8">
        <f>'020'!AH8</f>
        <v>0.60202435879122151</v>
      </c>
      <c r="I8">
        <f>'027'!AH8</f>
        <v>0.65014967443764704</v>
      </c>
      <c r="J8">
        <f>'043'!AH8</f>
        <v>0.50585292552208894</v>
      </c>
      <c r="K8">
        <f>'046'!AH8</f>
        <v>0.51429033796938406</v>
      </c>
      <c r="L8">
        <f t="shared" si="0"/>
        <v>0.54129468238923761</v>
      </c>
      <c r="M8">
        <f t="shared" si="1"/>
        <v>6.5723251856520865E-2</v>
      </c>
      <c r="N8">
        <v>9</v>
      </c>
      <c r="O8">
        <v>1.96</v>
      </c>
      <c r="P8">
        <f t="shared" si="5"/>
        <v>0.49835549117631067</v>
      </c>
      <c r="Q8">
        <f t="shared" si="2"/>
        <v>0.58423387360216461</v>
      </c>
      <c r="R8">
        <f t="shared" si="3"/>
        <v>4.2939191212926962E-2</v>
      </c>
      <c r="S8">
        <f t="shared" si="4"/>
        <v>7.9326829931889069</v>
      </c>
    </row>
    <row r="9" spans="1:19" x14ac:dyDescent="0.25">
      <c r="A9">
        <v>100</v>
      </c>
      <c r="B9">
        <f>'008'!AH9</f>
        <v>0.63182056770826267</v>
      </c>
      <c r="C9">
        <f>'010'!AH9</f>
        <v>0.75606740734443045</v>
      </c>
      <c r="E9">
        <f>'014'!AH9</f>
        <v>0.8207667205047533</v>
      </c>
      <c r="G9">
        <f>'020'!AH9</f>
        <v>0.8464005134426793</v>
      </c>
      <c r="I9">
        <f>'027'!AH9</f>
        <v>0.94667161626476737</v>
      </c>
      <c r="J9">
        <f>'043'!AH9</f>
        <v>0.74705213641848522</v>
      </c>
      <c r="K9">
        <f>'046'!AH9</f>
        <v>0.74913111995689208</v>
      </c>
      <c r="L9">
        <f t="shared" si="0"/>
        <v>0.78541572594861009</v>
      </c>
      <c r="M9">
        <f t="shared" si="1"/>
        <v>9.1193227628279194E-2</v>
      </c>
      <c r="N9">
        <v>7</v>
      </c>
      <c r="O9">
        <v>1.96</v>
      </c>
      <c r="P9">
        <f t="shared" si="5"/>
        <v>0.71785883751244528</v>
      </c>
      <c r="Q9">
        <f t="shared" si="2"/>
        <v>0.8529726143847749</v>
      </c>
      <c r="R9">
        <f t="shared" si="3"/>
        <v>6.7556888436164766E-2</v>
      </c>
      <c r="S9">
        <f t="shared" si="4"/>
        <v>8.6014178484357249</v>
      </c>
    </row>
    <row r="10" spans="1:19" x14ac:dyDescent="0.25">
      <c r="A10">
        <v>200</v>
      </c>
      <c r="B10">
        <f>'008'!AH10</f>
        <v>1.3494055211360256</v>
      </c>
      <c r="C10">
        <f>'010'!AH10</f>
        <v>1.6180248499005712</v>
      </c>
      <c r="E10">
        <f>'014'!AH10</f>
        <v>1.7333636802774741</v>
      </c>
      <c r="I10">
        <f>'027'!AH10</f>
        <v>2.013681960408999</v>
      </c>
      <c r="J10">
        <f>'043'!AH10</f>
        <v>1.6661364952938875</v>
      </c>
      <c r="K10">
        <f>'046'!AH10</f>
        <v>1.5959836024861553</v>
      </c>
      <c r="L10">
        <f t="shared" si="0"/>
        <v>1.6627660182505188</v>
      </c>
      <c r="M10">
        <f t="shared" si="1"/>
        <v>0.1969745553841194</v>
      </c>
      <c r="N10">
        <v>7</v>
      </c>
      <c r="O10">
        <v>1.96</v>
      </c>
      <c r="P10">
        <f t="shared" si="5"/>
        <v>1.5168452255674272</v>
      </c>
      <c r="Q10">
        <f t="shared" si="2"/>
        <v>1.8086868109336105</v>
      </c>
      <c r="R10">
        <f t="shared" si="3"/>
        <v>0.14592079268309163</v>
      </c>
      <c r="S10">
        <f t="shared" si="4"/>
        <v>8.7757863151799533</v>
      </c>
    </row>
    <row r="11" spans="1:19" x14ac:dyDescent="0.25">
      <c r="A11">
        <v>300</v>
      </c>
      <c r="B11">
        <f>'008'!AH11</f>
        <v>2.1565634759207799</v>
      </c>
      <c r="C11">
        <f>'010'!AH11</f>
        <v>2.5859170352099579</v>
      </c>
      <c r="E11">
        <f>'014'!AH11</f>
        <v>2.738744402143499</v>
      </c>
      <c r="I11">
        <f>'027'!AH11</f>
        <v>3.2009883326933548</v>
      </c>
      <c r="J11">
        <f>'043'!AH11</f>
        <v>2.7752436969329821</v>
      </c>
      <c r="K11">
        <f>'046'!AH11</f>
        <v>2.5422828131365467</v>
      </c>
      <c r="L11">
        <f t="shared" si="0"/>
        <v>2.6666232926728535</v>
      </c>
      <c r="M11">
        <f t="shared" si="1"/>
        <v>0.31216473059352662</v>
      </c>
      <c r="N11">
        <v>7</v>
      </c>
      <c r="O11">
        <v>1.96</v>
      </c>
      <c r="P11">
        <f t="shared" si="5"/>
        <v>2.4353684240067883</v>
      </c>
      <c r="Q11">
        <f t="shared" si="2"/>
        <v>2.8978781613389186</v>
      </c>
      <c r="R11">
        <f t="shared" si="3"/>
        <v>0.23125486866606534</v>
      </c>
      <c r="S11">
        <f t="shared" si="4"/>
        <v>8.6721986304361032</v>
      </c>
    </row>
    <row r="12" spans="1:19" x14ac:dyDescent="0.25">
      <c r="A12">
        <v>400</v>
      </c>
      <c r="B12">
        <f>'008'!AH12</f>
        <v>3.054671654315571</v>
      </c>
      <c r="C12">
        <f>'010'!AH12</f>
        <v>3.6544345537308076</v>
      </c>
      <c r="E12">
        <f>'014'!AH12</f>
        <v>3.8351441888568729</v>
      </c>
      <c r="I12">
        <f>'027'!AH12</f>
        <v>4.5034285096364517</v>
      </c>
      <c r="J12">
        <f>'043'!AH12</f>
        <v>4.082893618184448</v>
      </c>
      <c r="K12">
        <f>'046'!AH12</f>
        <v>3.5861210334832019</v>
      </c>
      <c r="L12">
        <f t="shared" si="0"/>
        <v>3.7861155930345589</v>
      </c>
      <c r="M12">
        <f t="shared" si="1"/>
        <v>0.44672265355495522</v>
      </c>
      <c r="N12">
        <v>7</v>
      </c>
      <c r="O12">
        <v>1.96</v>
      </c>
      <c r="P12">
        <f t="shared" si="5"/>
        <v>3.4551788200634816</v>
      </c>
      <c r="Q12">
        <f t="shared" si="2"/>
        <v>4.1170523660056357</v>
      </c>
      <c r="R12">
        <f t="shared" si="3"/>
        <v>0.33093677297107715</v>
      </c>
      <c r="S12">
        <f t="shared" si="4"/>
        <v>8.7407995038480184</v>
      </c>
    </row>
    <row r="13" spans="1:19" x14ac:dyDescent="0.25">
      <c r="A13">
        <v>500</v>
      </c>
      <c r="B13">
        <f>'008'!AH13</f>
        <v>4.0419863115574088</v>
      </c>
      <c r="C13">
        <f>'010'!AH13</f>
        <v>4.8121159375290148</v>
      </c>
      <c r="E13">
        <f>'014'!AH13</f>
        <v>5.0176325063129594</v>
      </c>
      <c r="I13">
        <f>'027'!AH13</f>
        <v>5.9099848375980812</v>
      </c>
      <c r="J13">
        <f>'043'!AH13</f>
        <v>5.5830127786100485</v>
      </c>
      <c r="K13">
        <f>'046'!AH13</f>
        <v>4.7212551020506606</v>
      </c>
      <c r="L13">
        <f t="shared" si="0"/>
        <v>5.0143312456096956</v>
      </c>
      <c r="M13">
        <f t="shared" si="1"/>
        <v>0.60523332534683438</v>
      </c>
      <c r="N13">
        <v>7</v>
      </c>
      <c r="O13">
        <v>1.96</v>
      </c>
      <c r="P13">
        <f t="shared" si="5"/>
        <v>4.5659681236795127</v>
      </c>
      <c r="Q13">
        <f t="shared" si="2"/>
        <v>5.4626943675398785</v>
      </c>
      <c r="R13">
        <f t="shared" si="3"/>
        <v>0.44836312193018324</v>
      </c>
      <c r="S13">
        <f>R13/L13*100</f>
        <v>8.9416334894657812</v>
      </c>
    </row>
    <row r="14" spans="1:19" x14ac:dyDescent="0.25">
      <c r="A14">
        <v>600</v>
      </c>
      <c r="B14">
        <f>'008'!AH14</f>
        <v>5.1130664836643032</v>
      </c>
      <c r="C14">
        <f>'010'!AH14</f>
        <v>6.0411847303347752</v>
      </c>
      <c r="E14">
        <f>'014'!AH14</f>
        <v>6.2778306460378817</v>
      </c>
      <c r="I14">
        <f>'027'!AH14</f>
        <v>7.4035430529796651</v>
      </c>
      <c r="J14">
        <f>'043'!AH14</f>
        <v>7.2508525603029268</v>
      </c>
      <c r="K14">
        <f>'046'!AH14</f>
        <v>5.9366938809823671</v>
      </c>
      <c r="L14">
        <f t="shared" si="0"/>
        <v>6.3371952257169859</v>
      </c>
      <c r="M14">
        <f t="shared" si="1"/>
        <v>0.78760251022763172</v>
      </c>
      <c r="N14">
        <v>7</v>
      </c>
      <c r="O14">
        <v>1.96</v>
      </c>
      <c r="P14">
        <f t="shared" si="5"/>
        <v>5.7537311209878803</v>
      </c>
      <c r="Q14">
        <f t="shared" si="2"/>
        <v>6.9206593304460915</v>
      </c>
      <c r="R14">
        <f t="shared" si="3"/>
        <v>0.58346410472910537</v>
      </c>
      <c r="S14">
        <f t="shared" si="4"/>
        <v>9.2069769661087353</v>
      </c>
    </row>
    <row r="15" spans="1:19" x14ac:dyDescent="0.25">
      <c r="A15">
        <v>700</v>
      </c>
      <c r="B15">
        <f>'008'!AH15</f>
        <v>6.2584280374449319</v>
      </c>
      <c r="C15">
        <f>'010'!AH15</f>
        <v>7.3182261948622358</v>
      </c>
      <c r="E15">
        <f>'014'!AH15</f>
        <v>7.6038694159886235</v>
      </c>
      <c r="I15">
        <f>'027'!AH15</f>
        <v>8.9613127244108188</v>
      </c>
      <c r="J15">
        <f>'043'!AH15</f>
        <v>9.0417972655904446</v>
      </c>
      <c r="K15">
        <f>'046'!AH15</f>
        <v>7.2167203114803993</v>
      </c>
      <c r="L15">
        <f t="shared" si="0"/>
        <v>7.7333923249629093</v>
      </c>
      <c r="M15">
        <f t="shared" si="1"/>
        <v>0.98753233825026843</v>
      </c>
      <c r="N15">
        <v>7</v>
      </c>
      <c r="O15">
        <v>1.96</v>
      </c>
      <c r="P15">
        <f t="shared" si="5"/>
        <v>7.0018181309424978</v>
      </c>
      <c r="Q15">
        <f t="shared" si="2"/>
        <v>8.4649665189833208</v>
      </c>
      <c r="R15">
        <f t="shared" si="3"/>
        <v>0.73157419402041191</v>
      </c>
      <c r="S15">
        <f t="shared" si="4"/>
        <v>9.4599389670033407</v>
      </c>
    </row>
    <row r="16" spans="1:19" x14ac:dyDescent="0.25">
      <c r="A16">
        <v>800</v>
      </c>
      <c r="B16">
        <f>'008'!AH16</f>
        <v>7.4645399455241552</v>
      </c>
      <c r="C16">
        <f>'010'!AH16</f>
        <v>8.6157467792594709</v>
      </c>
      <c r="E16">
        <f>'014'!AH16</f>
        <v>8.9806423058785327</v>
      </c>
      <c r="I16">
        <f>'027'!AH16</f>
        <v>10.55597549438901</v>
      </c>
      <c r="J16">
        <f>'043'!AH16</f>
        <v>10.894540515510863</v>
      </c>
      <c r="K16">
        <f>'046'!AH16</f>
        <v>8.5414443477468698</v>
      </c>
      <c r="L16">
        <f t="shared" si="0"/>
        <v>9.1754815647181491</v>
      </c>
      <c r="M16">
        <f t="shared" si="1"/>
        <v>1.1931412985470542</v>
      </c>
      <c r="N16">
        <v>7</v>
      </c>
      <c r="O16">
        <v>1.96</v>
      </c>
      <c r="P16">
        <f t="shared" si="5"/>
        <v>8.2915901213416205</v>
      </c>
      <c r="Q16">
        <f t="shared" si="2"/>
        <v>10.059373008094678</v>
      </c>
      <c r="R16">
        <f t="shared" si="3"/>
        <v>0.88389144337652936</v>
      </c>
      <c r="S16">
        <f t="shared" si="4"/>
        <v>9.6331885922510772</v>
      </c>
    </row>
    <row r="17" spans="1:19" x14ac:dyDescent="0.25">
      <c r="A17">
        <v>900</v>
      </c>
      <c r="B17">
        <f>'008'!AH17</f>
        <v>8.7142399312651406</v>
      </c>
      <c r="C17">
        <f>'010'!AH17</f>
        <v>9.9044409290807263</v>
      </c>
      <c r="E17">
        <f>'014'!AH17</f>
        <v>10.390373412000672</v>
      </c>
      <c r="I17">
        <f>'027'!AH17</f>
        <v>12.157481651683803</v>
      </c>
      <c r="J17">
        <f>'043'!AH17</f>
        <v>12.738729115985695</v>
      </c>
      <c r="K17">
        <f>'046'!AH17</f>
        <v>9.8878943617341477</v>
      </c>
      <c r="L17">
        <f t="shared" si="0"/>
        <v>10.63219323362503</v>
      </c>
      <c r="M17">
        <f t="shared" si="1"/>
        <v>1.3895217465953655</v>
      </c>
      <c r="N17">
        <v>7</v>
      </c>
      <c r="O17">
        <v>1.96</v>
      </c>
      <c r="P17">
        <f t="shared" si="5"/>
        <v>9.6028211184389445</v>
      </c>
      <c r="Q17">
        <f t="shared" si="2"/>
        <v>11.661565348811115</v>
      </c>
      <c r="R17">
        <f t="shared" si="3"/>
        <v>1.0293721151860853</v>
      </c>
      <c r="S17">
        <f t="shared" si="4"/>
        <v>9.6816535644840087</v>
      </c>
    </row>
    <row r="18" spans="1:19" x14ac:dyDescent="0.25">
      <c r="A18">
        <v>1000</v>
      </c>
      <c r="B18">
        <f>'008'!AH18</f>
        <v>9.9875824782681946</v>
      </c>
      <c r="C18">
        <f>'010'!AH18</f>
        <v>11.15578924574173</v>
      </c>
      <c r="E18">
        <f>'014'!AH18</f>
        <v>11.813471298558525</v>
      </c>
      <c r="I18">
        <f>'027'!AH18</f>
        <v>13.735264437456438</v>
      </c>
      <c r="J18">
        <f>'043'!AH18</f>
        <v>14.505288741231881</v>
      </c>
      <c r="K18">
        <f>'046'!AH18</f>
        <v>11.231543754473556</v>
      </c>
      <c r="L18">
        <f t="shared" si="0"/>
        <v>12.071489992621721</v>
      </c>
      <c r="M18">
        <f t="shared" si="1"/>
        <v>1.5623051061227009</v>
      </c>
      <c r="N18">
        <v>6</v>
      </c>
      <c r="O18">
        <v>1.96</v>
      </c>
      <c r="P18">
        <f t="shared" si="5"/>
        <v>10.82138555065691</v>
      </c>
      <c r="Q18">
        <f t="shared" si="2"/>
        <v>13.321594434586533</v>
      </c>
      <c r="R18">
        <f t="shared" si="3"/>
        <v>1.2501044419648113</v>
      </c>
      <c r="S18">
        <f t="shared" si="4"/>
        <v>10.355842093468944</v>
      </c>
    </row>
    <row r="19" spans="1:19" x14ac:dyDescent="0.25">
      <c r="A19">
        <v>1500</v>
      </c>
      <c r="B19">
        <f>'008'!AH19</f>
        <v>15.979801321251154</v>
      </c>
      <c r="C19">
        <f>'010'!AH19</f>
        <v>16.162330927905984</v>
      </c>
      <c r="E19">
        <f>'014'!AH19</f>
        <v>18.453046817500312</v>
      </c>
      <c r="I19">
        <f>'027'!AH19</f>
        <v>20.419251925844133</v>
      </c>
      <c r="J19">
        <f>'043'!AH19</f>
        <v>20.790607159763692</v>
      </c>
      <c r="K19">
        <f>'046'!AH19</f>
        <v>17.150916660799414</v>
      </c>
      <c r="L19">
        <f t="shared" si="0"/>
        <v>18.159325802177449</v>
      </c>
      <c r="M19">
        <f t="shared" si="1"/>
        <v>1.9092923728130475</v>
      </c>
      <c r="N19">
        <v>5</v>
      </c>
      <c r="O19">
        <v>1.96</v>
      </c>
      <c r="P19">
        <f t="shared" si="5"/>
        <v>16.485757248640965</v>
      </c>
      <c r="Q19">
        <f t="shared" si="2"/>
        <v>19.832894355713933</v>
      </c>
      <c r="R19">
        <f t="shared" si="3"/>
        <v>1.6735685535364835</v>
      </c>
      <c r="S19">
        <f t="shared" si="4"/>
        <v>9.2160280165016317</v>
      </c>
    </row>
    <row r="20" spans="1:19" x14ac:dyDescent="0.25">
      <c r="A20">
        <v>2000</v>
      </c>
      <c r="B20">
        <f>'008'!AH20</f>
        <v>20.107431047474712</v>
      </c>
      <c r="C20">
        <f>'010'!AH20</f>
        <v>18.746448817800754</v>
      </c>
      <c r="I20">
        <f>'027'!AH20</f>
        <v>24.303226121775552</v>
      </c>
      <c r="J20">
        <f>'043'!AH20</f>
        <v>23.128782896549229</v>
      </c>
      <c r="K20">
        <f>'046'!AH20</f>
        <v>20.812955869644622</v>
      </c>
      <c r="L20">
        <f t="shared" si="0"/>
        <v>21.419768950648976</v>
      </c>
      <c r="M20">
        <f t="shared" si="1"/>
        <v>2.0234696610070677</v>
      </c>
      <c r="N20">
        <v>5</v>
      </c>
      <c r="O20">
        <v>1.96</v>
      </c>
      <c r="P20">
        <f t="shared" si="5"/>
        <v>19.646119591380234</v>
      </c>
      <c r="Q20">
        <f t="shared" si="2"/>
        <v>23.193418309917718</v>
      </c>
      <c r="R20">
        <f t="shared" si="3"/>
        <v>1.7736493592687412</v>
      </c>
      <c r="S20">
        <f t="shared" si="4"/>
        <v>8.2804317980983786</v>
      </c>
    </row>
    <row r="21" spans="1:19" x14ac:dyDescent="0.25">
      <c r="A21">
        <v>3000</v>
      </c>
      <c r="B21">
        <f>'008'!AH21</f>
        <v>23.22797949477658</v>
      </c>
      <c r="C21">
        <f>'010'!AH21</f>
        <v>20.176576072946581</v>
      </c>
      <c r="I21">
        <f>'027'!AH21</f>
        <v>26.795569200070307</v>
      </c>
      <c r="J21">
        <f>'043'!AH21</f>
        <v>23.948353344368591</v>
      </c>
      <c r="K21">
        <f>'046'!AH21</f>
        <v>23.306997712572439</v>
      </c>
      <c r="L21">
        <f t="shared" si="0"/>
        <v>23.491095164946898</v>
      </c>
      <c r="M21">
        <f t="shared" si="1"/>
        <v>2.1079749633497729</v>
      </c>
      <c r="N21">
        <v>4</v>
      </c>
      <c r="O21">
        <v>1.96</v>
      </c>
      <c r="P21">
        <f t="shared" si="5"/>
        <v>21.42527970086412</v>
      </c>
      <c r="Q21">
        <f t="shared" si="2"/>
        <v>25.556910629029677</v>
      </c>
      <c r="R21">
        <f t="shared" si="3"/>
        <v>2.0658154640827773</v>
      </c>
      <c r="S21">
        <f t="shared" si="4"/>
        <v>8.7940364192358285</v>
      </c>
    </row>
    <row r="22" spans="1:19" x14ac:dyDescent="0.25">
      <c r="A22">
        <v>4000</v>
      </c>
      <c r="B22">
        <f>'008'!AH22</f>
        <v>23.792387348523988</v>
      </c>
      <c r="C22">
        <f>'010'!AH22</f>
        <v>20.357167043644381</v>
      </c>
      <c r="I22">
        <f>'027'!AH22</f>
        <v>27.178854794325598</v>
      </c>
      <c r="J22">
        <f>'043'!AH22</f>
        <v>24.000299356089627</v>
      </c>
      <c r="L22">
        <f t="shared" si="0"/>
        <v>23.8321771356459</v>
      </c>
      <c r="M22">
        <f t="shared" si="1"/>
        <v>2.4138037823518568</v>
      </c>
      <c r="N22">
        <v>1</v>
      </c>
      <c r="O22">
        <v>1.96</v>
      </c>
      <c r="P22">
        <f>L22-O22*(M22/(N22^0.5))</f>
        <v>19.101121722236261</v>
      </c>
      <c r="Q22">
        <f t="shared" si="2"/>
        <v>28.563232549055538</v>
      </c>
      <c r="R22">
        <f t="shared" si="3"/>
        <v>4.7310554134096394</v>
      </c>
      <c r="S22">
        <f t="shared" si="4"/>
        <v>19.851545188179127</v>
      </c>
    </row>
    <row r="23" spans="1:19" x14ac:dyDescent="0.25">
      <c r="A23">
        <v>5000</v>
      </c>
    </row>
    <row r="24" spans="1:19" x14ac:dyDescent="0.25">
      <c r="R24" s="1"/>
    </row>
    <row r="25" spans="1:19" ht="15.75" thickBot="1" x14ac:dyDescent="0.3">
      <c r="A25" s="10" t="s">
        <v>31</v>
      </c>
    </row>
    <row r="26" spans="1:19" x14ac:dyDescent="0.25">
      <c r="A26" s="25">
        <v>0</v>
      </c>
      <c r="B26" s="26">
        <f>IF(OR(B$4&gt;$F28,B$4&lt;$E28),1,0)</f>
        <v>0</v>
      </c>
      <c r="C26" s="26">
        <f>IF(OR(C$4&gt;$F28,C$4&lt;$E28),1,0)</f>
        <v>0</v>
      </c>
      <c r="D26" s="26">
        <f t="shared" ref="D26:K26" si="6">IF(OR(D$4&gt;$F28,D$4&lt;$E28),1,0)</f>
        <v>0</v>
      </c>
      <c r="E26" s="26">
        <f t="shared" si="6"/>
        <v>0</v>
      </c>
      <c r="F26" s="26">
        <f t="shared" si="6"/>
        <v>0</v>
      </c>
      <c r="G26" s="26">
        <f t="shared" si="6"/>
        <v>0</v>
      </c>
      <c r="H26" s="26">
        <f t="shared" si="6"/>
        <v>0</v>
      </c>
      <c r="I26" s="26">
        <f t="shared" si="6"/>
        <v>0</v>
      </c>
      <c r="J26" s="26">
        <f t="shared" si="6"/>
        <v>0</v>
      </c>
      <c r="K26" s="26">
        <f t="shared" si="6"/>
        <v>0</v>
      </c>
    </row>
    <row r="27" spans="1:19" x14ac:dyDescent="0.25">
      <c r="A27" s="27"/>
      <c r="B27" t="s">
        <v>147</v>
      </c>
      <c r="C27" t="s">
        <v>148</v>
      </c>
      <c r="D27" t="s">
        <v>149</v>
      </c>
      <c r="E27" t="s">
        <v>150</v>
      </c>
      <c r="F27" t="s">
        <v>151</v>
      </c>
    </row>
    <row r="28" spans="1:19" ht="15.75" thickBot="1" x14ac:dyDescent="0.3">
      <c r="A28" s="28"/>
      <c r="B28" s="29">
        <f>QUARTILE($B$4:$K$4,1)</f>
        <v>0</v>
      </c>
      <c r="C28" s="29">
        <f>QUARTILE($B$4:$K$4,3)</f>
        <v>0</v>
      </c>
      <c r="D28" s="29">
        <f>$C28-$B28</f>
        <v>0</v>
      </c>
      <c r="E28" s="29">
        <f>$B28-1.5*$D28</f>
        <v>0</v>
      </c>
      <c r="F28" s="29">
        <f>$C28+1.5*$D28</f>
        <v>0</v>
      </c>
      <c r="I28" s="29"/>
      <c r="J28" s="29"/>
      <c r="K28" s="29"/>
    </row>
    <row r="29" spans="1:19" x14ac:dyDescent="0.25">
      <c r="A29" s="25">
        <v>10</v>
      </c>
      <c r="B29" s="26">
        <f>IF(OR(B$5&gt;$F31,B$5&lt;$E31),1,0)</f>
        <v>0</v>
      </c>
      <c r="C29" s="26">
        <f>IF(OR(C$5&gt;$F31,C$5&lt;$E31),1,0)</f>
        <v>0</v>
      </c>
      <c r="D29" s="39">
        <f>IF(OR(D$5&gt;$F28,D$5&lt;$E28),1,0)</f>
        <v>0</v>
      </c>
      <c r="E29" s="26">
        <f t="shared" ref="E29:K29" si="7">IF(OR(E$5&gt;$F31,E$5&lt;$E31),1,0)</f>
        <v>0</v>
      </c>
      <c r="F29" s="26">
        <f t="shared" si="7"/>
        <v>1</v>
      </c>
      <c r="G29" s="26">
        <f t="shared" si="7"/>
        <v>0</v>
      </c>
      <c r="H29" s="26">
        <f t="shared" si="7"/>
        <v>1</v>
      </c>
      <c r="I29" s="26">
        <f t="shared" si="7"/>
        <v>0</v>
      </c>
      <c r="J29" s="26">
        <f t="shared" si="7"/>
        <v>0</v>
      </c>
      <c r="K29" s="26">
        <f t="shared" si="7"/>
        <v>0</v>
      </c>
    </row>
    <row r="30" spans="1:19" x14ac:dyDescent="0.25">
      <c r="A30" s="27"/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19" ht="15.75" thickBot="1" x14ac:dyDescent="0.3">
      <c r="A31" s="28"/>
      <c r="B31" s="29">
        <f>QUARTILE($B$5:$K$5,1)</f>
        <v>6.9109666707045908E-2</v>
      </c>
      <c r="C31" s="29">
        <f>QUARTILE($B$5:$K$5,3)</f>
        <v>8.1176015487658224E-2</v>
      </c>
      <c r="D31" s="29">
        <f>$C31-$B31</f>
        <v>1.2066348780612315E-2</v>
      </c>
      <c r="E31" s="29">
        <f>$B31-1.5*$D31</f>
        <v>5.1010143536127435E-2</v>
      </c>
      <c r="F31" s="29">
        <f>$C31+1.5*$D31</f>
        <v>9.927553865857669E-2</v>
      </c>
      <c r="I31" s="29"/>
      <c r="J31" s="29"/>
      <c r="K31" s="29"/>
    </row>
    <row r="32" spans="1:19" x14ac:dyDescent="0.25">
      <c r="A32" s="25">
        <v>30</v>
      </c>
      <c r="B32" s="26">
        <f>IF(OR(B$6&gt;$F34,B$6&lt;$E34),1,0)</f>
        <v>0</v>
      </c>
      <c r="C32" s="26">
        <f>IF(OR(C$6&gt;$F34,C$6&lt;$E34),1,0)</f>
        <v>0</v>
      </c>
      <c r="D32" s="39">
        <f>IF(OR(D$6&gt;$F28,D$6&lt;$E28),1,0)</f>
        <v>0</v>
      </c>
      <c r="E32" s="26">
        <f t="shared" ref="E32:K32" si="8">IF(OR(E$6&gt;$F34,E$6&lt;$E34),1,0)</f>
        <v>0</v>
      </c>
      <c r="F32" s="26">
        <f t="shared" si="8"/>
        <v>1</v>
      </c>
      <c r="G32" s="26">
        <f t="shared" si="8"/>
        <v>0</v>
      </c>
      <c r="H32" s="26">
        <f t="shared" si="8"/>
        <v>1</v>
      </c>
      <c r="I32" s="26">
        <f t="shared" si="8"/>
        <v>0</v>
      </c>
      <c r="J32" s="26">
        <f t="shared" si="8"/>
        <v>0</v>
      </c>
      <c r="K32" s="26">
        <f t="shared" si="8"/>
        <v>0</v>
      </c>
    </row>
    <row r="33" spans="1:11" x14ac:dyDescent="0.25">
      <c r="A33" s="27"/>
      <c r="B33" t="s">
        <v>147</v>
      </c>
      <c r="C33" t="s">
        <v>148</v>
      </c>
      <c r="D33" t="s">
        <v>149</v>
      </c>
      <c r="E33" t="s">
        <v>150</v>
      </c>
      <c r="F33" t="s">
        <v>151</v>
      </c>
    </row>
    <row r="34" spans="1:11" ht="15.75" thickBot="1" x14ac:dyDescent="0.3">
      <c r="A34" s="28"/>
      <c r="B34" s="29">
        <f>QUARTILE($B$6:$K$6,1)</f>
        <v>0.2110291724524466</v>
      </c>
      <c r="C34" s="29">
        <f>QUARTILE($B$6:$SZK$6,3)</f>
        <v>0.26409776235559679</v>
      </c>
      <c r="D34" s="29">
        <f>$C34-$B34</f>
        <v>5.3068589903150193E-2</v>
      </c>
      <c r="E34" s="29">
        <f>$B34-1.5*$D34</f>
        <v>0.13142628759772129</v>
      </c>
      <c r="F34" s="29">
        <f>$C34+1.5*$D34</f>
        <v>0.34370064721032206</v>
      </c>
      <c r="I34" s="29"/>
      <c r="J34" s="29"/>
      <c r="K34" s="29"/>
    </row>
    <row r="35" spans="1:11" x14ac:dyDescent="0.25">
      <c r="A35" s="25">
        <v>50</v>
      </c>
      <c r="B35" s="26">
        <f>IF(OR(B$7&gt;$F37,B$7&lt;$E37),1,0)</f>
        <v>0</v>
      </c>
      <c r="C35" s="26">
        <f>IF(OR(C$7&gt;$F37,C$7&lt;$E37),1,0)</f>
        <v>0</v>
      </c>
      <c r="D35" s="39">
        <f>IF(OR(D$7&gt;$F28,D$7&lt;$E28),1,0)</f>
        <v>0</v>
      </c>
      <c r="E35" s="26">
        <f t="shared" ref="E35:K35" si="9">IF(OR(E$7&gt;$F37,E$7&lt;$E37),1,0)</f>
        <v>0</v>
      </c>
      <c r="F35" s="26">
        <f t="shared" si="9"/>
        <v>1</v>
      </c>
      <c r="G35" s="26">
        <f t="shared" si="9"/>
        <v>0</v>
      </c>
      <c r="H35" s="26">
        <f t="shared" si="9"/>
        <v>1</v>
      </c>
      <c r="I35" s="26">
        <f t="shared" si="9"/>
        <v>0</v>
      </c>
      <c r="J35" s="26">
        <f t="shared" si="9"/>
        <v>0</v>
      </c>
      <c r="K35" s="26">
        <f t="shared" si="9"/>
        <v>0</v>
      </c>
    </row>
    <row r="36" spans="1:11" x14ac:dyDescent="0.25">
      <c r="A36" s="27"/>
      <c r="B36" t="s">
        <v>147</v>
      </c>
      <c r="C36" t="s">
        <v>148</v>
      </c>
      <c r="D36" t="s">
        <v>149</v>
      </c>
      <c r="E36" t="s">
        <v>150</v>
      </c>
      <c r="F36" t="s">
        <v>151</v>
      </c>
    </row>
    <row r="37" spans="1:11" ht="15.75" thickBot="1" x14ac:dyDescent="0.3">
      <c r="A37" s="28"/>
      <c r="B37" s="29">
        <f>QUARTILE($B$7:$K$7,1)</f>
        <v>0.35797882332485342</v>
      </c>
      <c r="C37" s="29">
        <f>QUARTILE($B$7:$K$7,3)</f>
        <v>0.41481152504973096</v>
      </c>
      <c r="D37" s="29">
        <f>$C37-$B37</f>
        <v>5.6832701724877532E-2</v>
      </c>
      <c r="E37" s="29">
        <f>$B37-1.5*$D37</f>
        <v>0.27272977073753712</v>
      </c>
      <c r="F37" s="29">
        <f>$C37+1.5*$D37</f>
        <v>0.50006057763704725</v>
      </c>
      <c r="I37" s="29"/>
      <c r="J37" s="29"/>
      <c r="K37" s="29"/>
    </row>
    <row r="38" spans="1:11" x14ac:dyDescent="0.25">
      <c r="A38" s="25">
        <v>70</v>
      </c>
      <c r="B38" s="26">
        <f>IF(OR(B$8&gt;$F40,B$8&lt;$E40),1,0)</f>
        <v>0</v>
      </c>
      <c r="C38" s="26">
        <f>IF(OR(C$8&gt;$F40,C$8&lt;$E40),1,0)</f>
        <v>0</v>
      </c>
      <c r="D38" s="39">
        <f>IF(OR(D$8&gt;$F28,D$8&lt;$E28),1,0)</f>
        <v>0</v>
      </c>
      <c r="E38" s="26">
        <f t="shared" ref="E38:K38" si="10">IF(OR(E$8&gt;$F40,E$8&lt;$E40),1,0)</f>
        <v>0</v>
      </c>
      <c r="F38" s="26">
        <f t="shared" si="10"/>
        <v>1</v>
      </c>
      <c r="G38" s="30">
        <f t="shared" si="10"/>
        <v>0</v>
      </c>
      <c r="H38" s="26">
        <f t="shared" si="10"/>
        <v>1</v>
      </c>
      <c r="I38" s="26">
        <f t="shared" si="10"/>
        <v>0</v>
      </c>
      <c r="J38" s="26">
        <f t="shared" si="10"/>
        <v>0</v>
      </c>
      <c r="K38" s="26">
        <f t="shared" si="10"/>
        <v>0</v>
      </c>
    </row>
    <row r="39" spans="1:11" x14ac:dyDescent="0.25">
      <c r="A39" s="27"/>
      <c r="B39" t="s">
        <v>147</v>
      </c>
      <c r="C39" t="s">
        <v>148</v>
      </c>
      <c r="D39" t="s">
        <v>149</v>
      </c>
      <c r="E39" t="s">
        <v>150</v>
      </c>
      <c r="F39" t="s">
        <v>151</v>
      </c>
    </row>
    <row r="40" spans="1:11" ht="15.75" thickBot="1" x14ac:dyDescent="0.3">
      <c r="A40" s="28"/>
      <c r="B40" s="29">
        <f>QUARTILE($B$8:$K$8,1)</f>
        <v>0.51007163174573655</v>
      </c>
      <c r="C40" s="29">
        <f>QUARTILE($B$8:$K$8,3)</f>
        <v>0.58351217742808492</v>
      </c>
      <c r="D40" s="29">
        <f>$C40-$B40</f>
        <v>7.3440545682348368E-2</v>
      </c>
      <c r="E40" s="29">
        <f>$B40-1.5*$D40</f>
        <v>0.399910813222214</v>
      </c>
      <c r="F40" s="29">
        <f>$C40+1.5*$D40</f>
        <v>0.69367299595160747</v>
      </c>
      <c r="I40" s="29"/>
      <c r="J40" s="29"/>
      <c r="K40" s="29"/>
    </row>
    <row r="41" spans="1:11" x14ac:dyDescent="0.25">
      <c r="A41" s="25">
        <v>100</v>
      </c>
      <c r="B41" s="32">
        <f>IF(OR(B$9&gt;$F43,B$9&lt;$E43),1,0)</f>
        <v>0</v>
      </c>
      <c r="C41" s="32">
        <f>IF(OR(C$9&gt;$F43,C$9&lt;$E43),1,0)</f>
        <v>0</v>
      </c>
      <c r="D41" s="39">
        <f>IF(OR(D$9&gt;$F28,D$9&lt;$E28),1,0)</f>
        <v>0</v>
      </c>
      <c r="E41" s="30">
        <f t="shared" ref="E41:K41" si="11">IF(OR(E$9&gt;$F43,E$9&lt;$E43),1,0)</f>
        <v>0</v>
      </c>
      <c r="F41" s="30">
        <f t="shared" si="11"/>
        <v>1</v>
      </c>
      <c r="G41" s="30">
        <f t="shared" si="11"/>
        <v>0</v>
      </c>
      <c r="H41" s="30">
        <f t="shared" si="11"/>
        <v>1</v>
      </c>
      <c r="I41" s="32">
        <f t="shared" si="11"/>
        <v>0</v>
      </c>
      <c r="J41" s="30">
        <f t="shared" si="11"/>
        <v>0</v>
      </c>
      <c r="K41" s="30">
        <f t="shared" si="11"/>
        <v>0</v>
      </c>
    </row>
    <row r="42" spans="1:11" x14ac:dyDescent="0.25">
      <c r="A42" s="27"/>
      <c r="B42" t="s">
        <v>147</v>
      </c>
      <c r="C42" t="s">
        <v>148</v>
      </c>
      <c r="D42" t="s">
        <v>149</v>
      </c>
      <c r="E42" t="s">
        <v>150</v>
      </c>
      <c r="F42" t="s">
        <v>151</v>
      </c>
    </row>
    <row r="43" spans="1:11" ht="15.75" thickBot="1" x14ac:dyDescent="0.3">
      <c r="A43" s="28"/>
      <c r="B43" s="29">
        <f>QUARTILE($B$9:$K$9,1)</f>
        <v>0.7480916281876886</v>
      </c>
      <c r="C43" s="29">
        <f>QUARTILE($B$9:$K$9,3)</f>
        <v>0.8335836169737163</v>
      </c>
      <c r="D43" s="29">
        <f>$C43-$B43</f>
        <v>8.5491988786027706E-2</v>
      </c>
      <c r="E43" s="29">
        <f>$B43-1.5*$D43</f>
        <v>0.61985364500864704</v>
      </c>
      <c r="F43" s="29">
        <f>$C43+1.5*$D43</f>
        <v>0.96182160015275786</v>
      </c>
      <c r="I43" s="29"/>
      <c r="J43" s="29"/>
      <c r="K43" s="29"/>
    </row>
    <row r="44" spans="1:11" x14ac:dyDescent="0.25">
      <c r="A44" s="25">
        <v>200</v>
      </c>
      <c r="B44" s="32">
        <f>IF(OR(B$10&gt;$F46,B$10&lt;$E46),1,0)</f>
        <v>1</v>
      </c>
      <c r="C44" s="32">
        <f>IF(OR(C$10&gt;$F46,C$10&lt;$E46),1,0)</f>
        <v>0</v>
      </c>
      <c r="D44" s="39">
        <f>IF(OR(D$10&gt;$F28,D$10&lt;$E28),1,0)</f>
        <v>0</v>
      </c>
      <c r="E44" s="30">
        <f t="shared" ref="E44:K44" si="12">IF(OR(E$10&gt;$F46,E$10&lt;$E46),1,0)</f>
        <v>0</v>
      </c>
      <c r="F44" s="30">
        <f t="shared" si="12"/>
        <v>1</v>
      </c>
      <c r="G44" s="31">
        <f t="shared" si="12"/>
        <v>1</v>
      </c>
      <c r="H44" s="31">
        <f t="shared" si="12"/>
        <v>1</v>
      </c>
      <c r="I44" s="32">
        <f t="shared" si="12"/>
        <v>1</v>
      </c>
      <c r="J44" s="30">
        <f t="shared" si="12"/>
        <v>0</v>
      </c>
      <c r="K44" s="30">
        <f t="shared" si="12"/>
        <v>0</v>
      </c>
    </row>
    <row r="45" spans="1:11" x14ac:dyDescent="0.25">
      <c r="A45" s="27"/>
      <c r="B45" t="s">
        <v>147</v>
      </c>
      <c r="C45" t="s">
        <v>148</v>
      </c>
      <c r="D45" t="s">
        <v>149</v>
      </c>
      <c r="E45" t="s">
        <v>150</v>
      </c>
      <c r="F45" t="s">
        <v>151</v>
      </c>
    </row>
    <row r="46" spans="1:11" ht="15.75" thickBot="1" x14ac:dyDescent="0.3">
      <c r="A46" s="28"/>
      <c r="B46" s="29">
        <f>QUARTILE($B$10:$K$10,1)</f>
        <v>1.6014939143397593</v>
      </c>
      <c r="C46" s="29">
        <f>QUARTILE($B$10:$K$10,3)</f>
        <v>1.7165568840315775</v>
      </c>
      <c r="D46" s="29">
        <f>$C46-$B46</f>
        <v>0.11506296969181817</v>
      </c>
      <c r="E46" s="29">
        <f>$B46-1.5*$D46</f>
        <v>1.4288994598020319</v>
      </c>
      <c r="F46" s="29">
        <f>$C46+1.5*$D46</f>
        <v>1.8891513385693046</v>
      </c>
      <c r="I46" s="29"/>
      <c r="J46" s="29"/>
      <c r="K46" s="29"/>
    </row>
    <row r="47" spans="1:11" x14ac:dyDescent="0.25">
      <c r="A47" s="25">
        <v>300</v>
      </c>
      <c r="B47" s="32">
        <f>IF(OR(B$11&gt;$F49,B$11&lt;$E49),1,0)</f>
        <v>1</v>
      </c>
      <c r="C47" s="32">
        <f>IF(OR(C$11&gt;$F49,C$11&lt;$E49),1,0)</f>
        <v>0</v>
      </c>
      <c r="D47" s="39">
        <f>IF(OR(D$11&gt;$F28,D$11&lt;$E28),1,0)</f>
        <v>0</v>
      </c>
      <c r="E47" s="30">
        <f t="shared" ref="E47:K47" si="13">IF(OR(E$11&gt;$F49,E$11&lt;$E49),1,0)</f>
        <v>0</v>
      </c>
      <c r="F47" s="30">
        <f t="shared" si="13"/>
        <v>1</v>
      </c>
      <c r="G47" s="31">
        <f t="shared" si="13"/>
        <v>1</v>
      </c>
      <c r="H47" s="31">
        <f t="shared" si="13"/>
        <v>1</v>
      </c>
      <c r="I47" s="32">
        <f t="shared" si="13"/>
        <v>1</v>
      </c>
      <c r="J47" s="30">
        <f t="shared" si="13"/>
        <v>0</v>
      </c>
      <c r="K47" s="30">
        <f t="shared" si="13"/>
        <v>0</v>
      </c>
    </row>
    <row r="48" spans="1:11" x14ac:dyDescent="0.25">
      <c r="A48" s="27"/>
      <c r="B48" t="s">
        <v>147</v>
      </c>
      <c r="C48" t="s">
        <v>148</v>
      </c>
      <c r="D48" t="s">
        <v>149</v>
      </c>
      <c r="E48" t="s">
        <v>150</v>
      </c>
      <c r="F48" t="s">
        <v>151</v>
      </c>
    </row>
    <row r="49" spans="1:11" ht="15.75" thickBot="1" x14ac:dyDescent="0.3">
      <c r="A49" s="28"/>
      <c r="B49" s="29">
        <f>QUARTILE($B$11:$K$11,1)</f>
        <v>2.5531913686548995</v>
      </c>
      <c r="C49" s="29">
        <f>QUARTILE($B$11:$K$11,3)</f>
        <v>2.7661188732356115</v>
      </c>
      <c r="D49" s="29">
        <f>$C49-$B49</f>
        <v>0.21292750458071197</v>
      </c>
      <c r="E49" s="29">
        <f>$B49-1.5*$D49</f>
        <v>2.2338001117838315</v>
      </c>
      <c r="F49" s="29">
        <f>$C49+1.5*$D49</f>
        <v>3.0855101301066794</v>
      </c>
      <c r="I49" s="29"/>
      <c r="J49" s="29"/>
      <c r="K49" s="29"/>
    </row>
    <row r="50" spans="1:11" x14ac:dyDescent="0.25">
      <c r="A50" s="25">
        <v>400</v>
      </c>
      <c r="B50" s="32">
        <f>IF(OR(B$12&gt;$F52,B$12&lt;$E52),1,0)</f>
        <v>0</v>
      </c>
      <c r="C50" s="32">
        <f>IF(OR(C$12&gt;$F52,C$12&lt;$E52),1,0)</f>
        <v>0</v>
      </c>
      <c r="D50" s="39">
        <f>IF(OR(D$12&gt;$F28,D$12&lt;$E28),1,0)</f>
        <v>0</v>
      </c>
      <c r="E50" s="30">
        <f t="shared" ref="E50:K50" si="14">IF(OR(E$12&gt;$F52,E$12&lt;$E52),1,0)</f>
        <v>0</v>
      </c>
      <c r="F50" s="30">
        <f t="shared" si="14"/>
        <v>1</v>
      </c>
      <c r="G50" s="31">
        <f t="shared" si="14"/>
        <v>1</v>
      </c>
      <c r="H50" s="31">
        <f t="shared" si="14"/>
        <v>1</v>
      </c>
      <c r="I50" s="32">
        <f t="shared" si="14"/>
        <v>0</v>
      </c>
      <c r="J50" s="30">
        <f t="shared" si="14"/>
        <v>0</v>
      </c>
      <c r="K50" s="30">
        <f t="shared" si="14"/>
        <v>0</v>
      </c>
    </row>
    <row r="51" spans="1:11" x14ac:dyDescent="0.25">
      <c r="A51" s="27"/>
      <c r="B51" t="s">
        <v>147</v>
      </c>
      <c r="C51" t="s">
        <v>148</v>
      </c>
      <c r="D51" t="s">
        <v>149</v>
      </c>
      <c r="E51" t="s">
        <v>150</v>
      </c>
      <c r="F51" t="s">
        <v>151</v>
      </c>
    </row>
    <row r="52" spans="1:11" ht="15.75" thickBot="1" x14ac:dyDescent="0.3">
      <c r="A52" s="28"/>
      <c r="B52" s="29">
        <f>QUARTILE($B$12:$K$12,1)</f>
        <v>3.6031994135451031</v>
      </c>
      <c r="C52" s="29">
        <f>QUARTILE($B$12:$K$12,3)</f>
        <v>4.0209562608525538</v>
      </c>
      <c r="D52" s="29">
        <f>$C52-$B52</f>
        <v>0.41775684730745066</v>
      </c>
      <c r="E52" s="29">
        <f>$B52-1.5*$D52</f>
        <v>2.9765641425839271</v>
      </c>
      <c r="F52" s="29">
        <f>$C52+1.5*$D52</f>
        <v>4.6475915318137293</v>
      </c>
      <c r="I52" s="29"/>
      <c r="J52" s="29"/>
      <c r="K52" s="29"/>
    </row>
    <row r="53" spans="1:11" x14ac:dyDescent="0.25">
      <c r="A53" s="25">
        <v>500</v>
      </c>
      <c r="B53" s="32">
        <f>IF(OR(B$13&gt;$F55,B$13&lt;$E55),1,0)</f>
        <v>0</v>
      </c>
      <c r="C53" s="32">
        <f>IF(OR(C$13&gt;$F55,C$13&lt;$E55),1,0)</f>
        <v>0</v>
      </c>
      <c r="D53" s="39">
        <f>IF(OR(D$13&gt;$F28,D$13&lt;$E28),1,0)</f>
        <v>0</v>
      </c>
      <c r="E53" s="30">
        <f t="shared" ref="E53:K53" si="15">IF(OR(E$13&gt;$F55,E$13&lt;$E55),1,0)</f>
        <v>0</v>
      </c>
      <c r="F53" s="30">
        <f t="shared" si="15"/>
        <v>1</v>
      </c>
      <c r="G53" s="31">
        <f t="shared" si="15"/>
        <v>1</v>
      </c>
      <c r="H53" s="31">
        <f t="shared" si="15"/>
        <v>1</v>
      </c>
      <c r="I53" s="32">
        <f t="shared" si="15"/>
        <v>0</v>
      </c>
      <c r="J53" s="30">
        <f t="shared" si="15"/>
        <v>0</v>
      </c>
      <c r="K53" s="30">
        <f t="shared" si="15"/>
        <v>0</v>
      </c>
    </row>
    <row r="54" spans="1:11" x14ac:dyDescent="0.25">
      <c r="A54" s="27"/>
      <c r="B54" t="s">
        <v>147</v>
      </c>
      <c r="C54" t="s">
        <v>148</v>
      </c>
      <c r="D54" t="s">
        <v>149</v>
      </c>
      <c r="E54" t="s">
        <v>150</v>
      </c>
      <c r="F54" t="s">
        <v>151</v>
      </c>
    </row>
    <row r="55" spans="1:11" ht="15.75" thickBot="1" x14ac:dyDescent="0.3">
      <c r="A55" s="28"/>
      <c r="B55" s="29">
        <f>QUARTILE($B$13:$K$13,1)</f>
        <v>4.7439703109202487</v>
      </c>
      <c r="C55" s="29">
        <f>QUARTILE($B$13:$K$13,3)</f>
        <v>5.4416677105357767</v>
      </c>
      <c r="D55" s="29">
        <f>$C55-$B55</f>
        <v>0.69769739961552801</v>
      </c>
      <c r="E55" s="29">
        <f>$B55-1.5*$D55</f>
        <v>3.6974242114969567</v>
      </c>
      <c r="F55" s="29">
        <f>$C55+1.5*$D55</f>
        <v>6.4882138099590687</v>
      </c>
      <c r="I55" s="29"/>
      <c r="J55" s="29"/>
      <c r="K55" s="29"/>
    </row>
    <row r="56" spans="1:11" x14ac:dyDescent="0.25">
      <c r="A56" s="25">
        <v>600</v>
      </c>
      <c r="B56" s="32">
        <f>IF(OR(B$14&gt;$F58,B$14&lt;$E58),1,0)</f>
        <v>0</v>
      </c>
      <c r="C56" s="32">
        <f>IF(OR(C$14&gt;$F58,C$14&lt;$E58),1,0)</f>
        <v>0</v>
      </c>
      <c r="D56" s="39">
        <f>IF(OR(D$14&gt;$F28,D$14&lt;$E28),1,0)</f>
        <v>0</v>
      </c>
      <c r="E56" s="30">
        <f t="shared" ref="E56:K56" si="16">IF(OR(E$14&gt;$F58,E$14&lt;$E58),1,0)</f>
        <v>0</v>
      </c>
      <c r="F56" s="30">
        <f t="shared" si="16"/>
        <v>1</v>
      </c>
      <c r="G56" s="31">
        <f t="shared" si="16"/>
        <v>1</v>
      </c>
      <c r="H56" s="31">
        <f t="shared" si="16"/>
        <v>1</v>
      </c>
      <c r="I56" s="32">
        <f t="shared" si="16"/>
        <v>0</v>
      </c>
      <c r="J56" s="30">
        <f t="shared" si="16"/>
        <v>0</v>
      </c>
      <c r="K56" s="30">
        <f t="shared" si="16"/>
        <v>0</v>
      </c>
    </row>
    <row r="57" spans="1:11" x14ac:dyDescent="0.25">
      <c r="A57" s="27"/>
      <c r="B57" t="s">
        <v>147</v>
      </c>
      <c r="C57" t="s">
        <v>148</v>
      </c>
      <c r="D57" t="s">
        <v>149</v>
      </c>
      <c r="E57" t="s">
        <v>150</v>
      </c>
      <c r="F57" t="s">
        <v>151</v>
      </c>
    </row>
    <row r="58" spans="1:11" ht="15.75" thickBot="1" x14ac:dyDescent="0.3">
      <c r="A58" s="28"/>
      <c r="B58" s="29">
        <f>QUARTILE($B$14:$K$14,1)</f>
        <v>5.9628165933204693</v>
      </c>
      <c r="C58" s="29">
        <f>QUARTILE($B$14:$K$14,3)</f>
        <v>7.007597081736666</v>
      </c>
      <c r="D58" s="29">
        <f>$C58-$B58</f>
        <v>1.0447804884161966</v>
      </c>
      <c r="E58" s="29">
        <f>$B58-1.5*$D58</f>
        <v>4.3956458606961739</v>
      </c>
      <c r="F58" s="29">
        <f>$C58+1.5*$D58</f>
        <v>8.5747678143609605</v>
      </c>
      <c r="I58" s="29"/>
      <c r="J58" s="29"/>
      <c r="K58" s="29"/>
    </row>
    <row r="59" spans="1:11" x14ac:dyDescent="0.25">
      <c r="A59" s="25">
        <v>700</v>
      </c>
      <c r="B59" s="32">
        <f>IF(OR(B$15&gt;$F61,B$15&lt;$E61),1,0)</f>
        <v>0</v>
      </c>
      <c r="C59" s="32">
        <f>IF(OR(C$15&gt;$F61,C$15&lt;$E61),1,0)</f>
        <v>0</v>
      </c>
      <c r="D59" s="39">
        <f>IF(OR(D$15&gt;$F28,D$15&lt;$E28),1,0)</f>
        <v>0</v>
      </c>
      <c r="E59" s="30">
        <f t="shared" ref="E59:K59" si="17">IF(OR(E$15&gt;$F61,E$15&lt;$E61),1,0)</f>
        <v>0</v>
      </c>
      <c r="F59" s="30">
        <f t="shared" si="17"/>
        <v>1</v>
      </c>
      <c r="G59" s="31">
        <f t="shared" si="17"/>
        <v>1</v>
      </c>
      <c r="H59" s="31">
        <f t="shared" si="17"/>
        <v>1</v>
      </c>
      <c r="I59" s="32">
        <f t="shared" si="17"/>
        <v>0</v>
      </c>
      <c r="J59" s="30">
        <f t="shared" si="17"/>
        <v>0</v>
      </c>
      <c r="K59" s="30">
        <f t="shared" si="17"/>
        <v>0</v>
      </c>
    </row>
    <row r="60" spans="1:11" x14ac:dyDescent="0.25">
      <c r="A60" s="27"/>
      <c r="B60" t="s">
        <v>147</v>
      </c>
      <c r="C60" t="s">
        <v>148</v>
      </c>
      <c r="D60" t="s">
        <v>149</v>
      </c>
      <c r="E60" t="s">
        <v>150</v>
      </c>
      <c r="F60" t="s">
        <v>151</v>
      </c>
    </row>
    <row r="61" spans="1:11" ht="15.75" thickBot="1" x14ac:dyDescent="0.3">
      <c r="A61" s="28"/>
      <c r="B61" s="29">
        <f>QUARTILE($B$15:$K$15,1)</f>
        <v>7.2420967823258584</v>
      </c>
      <c r="C61" s="29">
        <f>QUARTILE($B$15:$K$15,3)</f>
        <v>8.6219518973052693</v>
      </c>
      <c r="D61" s="29">
        <f>$C61-$B61</f>
        <v>1.3798551149794109</v>
      </c>
      <c r="E61" s="29">
        <f>$B61-1.5*$D61</f>
        <v>5.1723141098567424</v>
      </c>
      <c r="F61" s="29">
        <f>$C61+1.5*$D61</f>
        <v>10.691734569774386</v>
      </c>
      <c r="I61" s="29"/>
      <c r="J61" s="29"/>
      <c r="K61" s="29"/>
    </row>
    <row r="62" spans="1:11" x14ac:dyDescent="0.25">
      <c r="A62" s="25">
        <v>800</v>
      </c>
      <c r="B62" s="32">
        <f>IF(OR(B$16&gt;$F64,B$16&lt;$E64),1,0)</f>
        <v>0</v>
      </c>
      <c r="C62" s="32">
        <f>IF(OR(C$16&gt;$F64,C$16&lt;$E64),1,0)</f>
        <v>0</v>
      </c>
      <c r="D62" s="39">
        <f>IF(OR(D$16&gt;$F28,D$16&lt;$E28),1,0)</f>
        <v>0</v>
      </c>
      <c r="E62" s="30">
        <f t="shared" ref="E62:K62" si="18">IF(OR(E$16&gt;$F64,E$16&lt;$E64),1,0)</f>
        <v>0</v>
      </c>
      <c r="F62" s="30">
        <f t="shared" si="18"/>
        <v>1</v>
      </c>
      <c r="G62" s="31">
        <f t="shared" si="18"/>
        <v>1</v>
      </c>
      <c r="H62" s="31">
        <f t="shared" si="18"/>
        <v>1</v>
      </c>
      <c r="I62" s="32">
        <f t="shared" si="18"/>
        <v>0</v>
      </c>
      <c r="J62" s="30">
        <f t="shared" si="18"/>
        <v>0</v>
      </c>
      <c r="K62" s="30">
        <f t="shared" si="18"/>
        <v>0</v>
      </c>
    </row>
    <row r="63" spans="1:11" x14ac:dyDescent="0.25">
      <c r="A63" s="27"/>
      <c r="B63" t="s">
        <v>147</v>
      </c>
      <c r="C63" t="s">
        <v>148</v>
      </c>
      <c r="D63" t="s">
        <v>149</v>
      </c>
      <c r="E63" t="s">
        <v>150</v>
      </c>
      <c r="F63" t="s">
        <v>151</v>
      </c>
    </row>
    <row r="64" spans="1:11" ht="15.75" thickBot="1" x14ac:dyDescent="0.3">
      <c r="A64" s="28"/>
      <c r="B64" s="29">
        <f>QUARTILE($B$16:$K$16,1)</f>
        <v>8.5600199556250196</v>
      </c>
      <c r="C64" s="29">
        <f>QUARTILE($B$16:$K$16,3)</f>
        <v>10.162142197261391</v>
      </c>
      <c r="D64" s="29">
        <f>$C64-$B64</f>
        <v>1.602122241636371</v>
      </c>
      <c r="E64" s="29">
        <f>$B64-1.5*$D64</f>
        <v>6.1568365931704632</v>
      </c>
      <c r="F64" s="29">
        <f>$C64+1.5*$D64</f>
        <v>12.565325559715948</v>
      </c>
      <c r="I64" s="29"/>
      <c r="J64" s="29"/>
      <c r="K64" s="29"/>
    </row>
    <row r="65" spans="1:11" x14ac:dyDescent="0.25">
      <c r="A65" s="25">
        <v>900</v>
      </c>
      <c r="B65" s="32">
        <f>IF(OR(B$17&gt;$F67,B$17&lt;$E67),1,0)</f>
        <v>0</v>
      </c>
      <c r="C65" s="32">
        <f>IF(OR(C$17&gt;$F67,C$17&lt;$E67),1,0)</f>
        <v>0</v>
      </c>
      <c r="D65" s="39">
        <f>IF(OR(D$17&gt;$F28,D$17&lt;$E28),1,0)</f>
        <v>0</v>
      </c>
      <c r="E65" s="30">
        <f t="shared" ref="E65:K65" si="19">IF(OR(E$17&gt;$F67,E$17&lt;$E67),1,0)</f>
        <v>0</v>
      </c>
      <c r="F65" s="32">
        <f t="shared" si="19"/>
        <v>1</v>
      </c>
      <c r="G65" s="31">
        <f t="shared" si="19"/>
        <v>1</v>
      </c>
      <c r="H65" s="31">
        <f t="shared" si="19"/>
        <v>1</v>
      </c>
      <c r="I65" s="32">
        <f t="shared" si="19"/>
        <v>0</v>
      </c>
      <c r="J65" s="30">
        <f t="shared" si="19"/>
        <v>0</v>
      </c>
      <c r="K65" s="30">
        <f t="shared" si="19"/>
        <v>0</v>
      </c>
    </row>
    <row r="66" spans="1:11" x14ac:dyDescent="0.25">
      <c r="A66" s="27"/>
      <c r="B66" t="s">
        <v>147</v>
      </c>
      <c r="C66" t="s">
        <v>148</v>
      </c>
      <c r="D66" t="s">
        <v>149</v>
      </c>
      <c r="E66" t="s">
        <v>150</v>
      </c>
      <c r="F66" t="s">
        <v>151</v>
      </c>
    </row>
    <row r="67" spans="1:11" ht="15.75" thickBot="1" x14ac:dyDescent="0.3">
      <c r="A67" s="28"/>
      <c r="B67" s="29">
        <f>QUARTILE($B$17:$K$17,1)</f>
        <v>9.8920310035707928</v>
      </c>
      <c r="C67" s="29">
        <f>QUARTILE($B$17:$K$17,3)</f>
        <v>11.71570459176302</v>
      </c>
      <c r="D67" s="29">
        <f>$C67-$B67</f>
        <v>1.8236735881922268</v>
      </c>
      <c r="E67" s="29">
        <f>$B67-1.5*$D67</f>
        <v>7.1565206212824526</v>
      </c>
      <c r="F67" s="29">
        <f>$C67+1.5*$D67</f>
        <v>14.451214974051361</v>
      </c>
      <c r="I67" s="29"/>
      <c r="J67" s="29"/>
      <c r="K67" s="29"/>
    </row>
    <row r="68" spans="1:11" x14ac:dyDescent="0.25">
      <c r="A68" s="25">
        <v>1000</v>
      </c>
      <c r="B68" s="32">
        <f>IF(OR(B$18&gt;$F70,B$18&lt;$E70),1,0)</f>
        <v>0</v>
      </c>
      <c r="C68" s="32">
        <f>IF(OR(C$18&gt;$F70,C$18&lt;$E70),1,0)</f>
        <v>0</v>
      </c>
      <c r="D68" s="39">
        <f>IF(OR(D$18&gt;$F28,D$18&lt;$E28),1,0)</f>
        <v>0</v>
      </c>
      <c r="E68" s="30">
        <f t="shared" ref="E68:K68" si="20">IF(OR(E$18&gt;$F70,E$18&lt;$E70),1,0)</f>
        <v>0</v>
      </c>
      <c r="F68" s="32">
        <f t="shared" si="20"/>
        <v>1</v>
      </c>
      <c r="G68" s="31">
        <f t="shared" si="20"/>
        <v>1</v>
      </c>
      <c r="H68" s="31">
        <f t="shared" si="20"/>
        <v>1</v>
      </c>
      <c r="I68" s="32">
        <f t="shared" si="20"/>
        <v>0</v>
      </c>
      <c r="J68" s="30">
        <f t="shared" si="20"/>
        <v>0</v>
      </c>
      <c r="K68" s="30">
        <f t="shared" si="20"/>
        <v>0</v>
      </c>
    </row>
    <row r="69" spans="1:11" x14ac:dyDescent="0.25">
      <c r="A69" s="27"/>
      <c r="B69" t="s">
        <v>147</v>
      </c>
      <c r="C69" t="s">
        <v>148</v>
      </c>
      <c r="D69" t="s">
        <v>149</v>
      </c>
      <c r="E69" t="s">
        <v>150</v>
      </c>
      <c r="F69" t="s">
        <v>151</v>
      </c>
    </row>
    <row r="70" spans="1:11" ht="15.75" thickBot="1" x14ac:dyDescent="0.3">
      <c r="A70" s="28"/>
      <c r="B70" s="29">
        <f>QUARTILE($B$18:$K$18,1)</f>
        <v>11.174727872924686</v>
      </c>
      <c r="C70" s="29">
        <f>QUARTILE($B$18:$K$18,3)</f>
        <v>13.25481615273196</v>
      </c>
      <c r="D70" s="29">
        <f>$C70-$B70</f>
        <v>2.0800882798072742</v>
      </c>
      <c r="E70" s="29">
        <f>$B70-1.5*$D70</f>
        <v>8.0545954532137749</v>
      </c>
      <c r="F70" s="29">
        <f>$C70+1.5*$D70</f>
        <v>16.374948572442872</v>
      </c>
      <c r="I70" s="29"/>
      <c r="J70" s="29"/>
      <c r="K70" s="29"/>
    </row>
    <row r="71" spans="1:11" x14ac:dyDescent="0.25">
      <c r="A71" s="25">
        <v>1500</v>
      </c>
      <c r="B71" s="32">
        <f>IF(OR(B$19&gt;$F73,B$19&lt;$E73),1,0)</f>
        <v>0</v>
      </c>
      <c r="C71" s="32">
        <f>IF(OR(C$19&gt;$F73,C$19&lt;$E73),1,0)</f>
        <v>0</v>
      </c>
      <c r="D71" s="39">
        <f>IF(OR(D$19&gt;$F28,D$19&lt;$E28),1,0)</f>
        <v>0</v>
      </c>
      <c r="E71" s="30">
        <f t="shared" ref="E71:K71" si="21">IF(OR(E$19&gt;$F73,E$19&lt;$E73),1,0)</f>
        <v>0</v>
      </c>
      <c r="F71" s="37">
        <f t="shared" si="21"/>
        <v>1</v>
      </c>
      <c r="G71" s="31">
        <f t="shared" si="21"/>
        <v>1</v>
      </c>
      <c r="H71" s="31">
        <f t="shared" si="21"/>
        <v>1</v>
      </c>
      <c r="I71" s="32">
        <f t="shared" si="21"/>
        <v>0</v>
      </c>
      <c r="J71" s="30">
        <f t="shared" si="21"/>
        <v>0</v>
      </c>
      <c r="K71" s="30">
        <f t="shared" si="21"/>
        <v>0</v>
      </c>
    </row>
    <row r="72" spans="1:11" x14ac:dyDescent="0.25">
      <c r="A72" s="27"/>
      <c r="B72" t="s">
        <v>147</v>
      </c>
      <c r="C72" t="s">
        <v>148</v>
      </c>
      <c r="D72" t="s">
        <v>149</v>
      </c>
      <c r="E72" t="s">
        <v>150</v>
      </c>
      <c r="F72" t="s">
        <v>151</v>
      </c>
    </row>
    <row r="73" spans="1:11" ht="15.75" thickBot="1" x14ac:dyDescent="0.3">
      <c r="A73" s="28"/>
      <c r="B73" s="29">
        <f>QUARTILE($B$19:$K$19,1)</f>
        <v>16.409477361129341</v>
      </c>
      <c r="C73" s="29">
        <f>QUARTILE($B$19:$K$19,3)</f>
        <v>19.927700648758176</v>
      </c>
      <c r="D73" s="29">
        <f>$C73-$B73</f>
        <v>3.5182232876288353</v>
      </c>
      <c r="E73" s="29">
        <f>$B73-1.5*$D73</f>
        <v>11.132142429686088</v>
      </c>
      <c r="F73" s="29">
        <f>$C73+1.5*$D73</f>
        <v>25.205035580201429</v>
      </c>
      <c r="H73" s="29"/>
      <c r="I73" s="29"/>
      <c r="J73" s="29"/>
      <c r="K73" s="29"/>
    </row>
    <row r="74" spans="1:11" x14ac:dyDescent="0.25">
      <c r="A74" s="25">
        <v>2000</v>
      </c>
      <c r="B74" s="32">
        <f>IF(OR(B$20&gt;$F76,B$20&lt;$E76),1,0)</f>
        <v>0</v>
      </c>
      <c r="C74" s="32">
        <f>IF(OR(C$20&gt;$F76,C$20&lt;$E76),1,0)</f>
        <v>0</v>
      </c>
      <c r="D74" s="39">
        <f>IF(OR(D$20&gt;$F28,D$20&lt;$E28),1,0)</f>
        <v>0</v>
      </c>
      <c r="E74" s="31">
        <f t="shared" ref="E74:K74" si="22">IF(OR(E$20&gt;$F76,E$20&lt;$E76),1,0)</f>
        <v>1</v>
      </c>
      <c r="F74" s="31">
        <f t="shared" si="22"/>
        <v>1</v>
      </c>
      <c r="G74" s="31">
        <f t="shared" si="22"/>
        <v>1</v>
      </c>
      <c r="H74" s="31">
        <f t="shared" si="22"/>
        <v>1</v>
      </c>
      <c r="I74" s="32">
        <f t="shared" si="22"/>
        <v>0</v>
      </c>
      <c r="J74" s="30">
        <f t="shared" si="22"/>
        <v>0</v>
      </c>
      <c r="K74" s="30">
        <f t="shared" si="22"/>
        <v>0</v>
      </c>
    </row>
    <row r="75" spans="1:11" x14ac:dyDescent="0.25">
      <c r="A75" s="27"/>
      <c r="B75" t="s">
        <v>147</v>
      </c>
      <c r="C75" t="s">
        <v>148</v>
      </c>
      <c r="D75" t="s">
        <v>149</v>
      </c>
      <c r="E75" t="s">
        <v>150</v>
      </c>
      <c r="F75" t="s">
        <v>151</v>
      </c>
    </row>
    <row r="76" spans="1:11" ht="15.75" thickBot="1" x14ac:dyDescent="0.3">
      <c r="A76" s="28"/>
      <c r="B76" s="29">
        <f>QUARTILE($B$20:$K$20,1)</f>
        <v>20.107431047474712</v>
      </c>
      <c r="C76" s="29">
        <f>QUARTILE($B$20:$K$20,3)</f>
        <v>23.128782896549229</v>
      </c>
      <c r="D76" s="29">
        <f>$C76-$B76</f>
        <v>3.0213518490745166</v>
      </c>
      <c r="E76" s="29">
        <f>$B76-1.5*$D76</f>
        <v>15.575403273862937</v>
      </c>
      <c r="F76" s="29">
        <f>$C76+1.5*$D76</f>
        <v>27.660810670161005</v>
      </c>
      <c r="H76" s="29"/>
      <c r="I76" s="29"/>
      <c r="J76" s="29"/>
      <c r="K76" s="29"/>
    </row>
    <row r="77" spans="1:11" x14ac:dyDescent="0.25">
      <c r="A77" s="25">
        <v>3000</v>
      </c>
      <c r="B77" s="32">
        <f>IF(OR(B$21&gt;$F79,B$21&lt;$E79),1,0)</f>
        <v>0</v>
      </c>
      <c r="C77" s="32">
        <f>IF(OR(C$21&gt;$F79,C$21&lt;$E79),1,0)</f>
        <v>1</v>
      </c>
      <c r="D77" s="39">
        <f>IF(OR(D$21&gt;$F28,D$21&lt;$E28),1,0)</f>
        <v>0</v>
      </c>
      <c r="E77" s="31">
        <f t="shared" ref="E77:K77" si="23">IF(OR(E$21&gt;$F79,E$21&lt;$E79),1,0)</f>
        <v>1</v>
      </c>
      <c r="F77" s="31">
        <f t="shared" si="23"/>
        <v>1</v>
      </c>
      <c r="G77" s="31">
        <f t="shared" si="23"/>
        <v>1</v>
      </c>
      <c r="H77" s="31">
        <f t="shared" si="23"/>
        <v>1</v>
      </c>
      <c r="I77" s="32">
        <f>IF(OR(I$21&gt;$F79,I$21&lt;$E79),1,0)</f>
        <v>1</v>
      </c>
      <c r="J77" s="30">
        <f t="shared" si="23"/>
        <v>0</v>
      </c>
      <c r="K77" s="30">
        <f t="shared" si="23"/>
        <v>0</v>
      </c>
    </row>
    <row r="78" spans="1:11" x14ac:dyDescent="0.25">
      <c r="A78" s="27"/>
      <c r="B78" t="s">
        <v>147</v>
      </c>
      <c r="C78" t="s">
        <v>148</v>
      </c>
      <c r="D78" t="s">
        <v>149</v>
      </c>
      <c r="E78" t="s">
        <v>150</v>
      </c>
      <c r="F78" t="s">
        <v>151</v>
      </c>
    </row>
    <row r="79" spans="1:11" ht="15.75" thickBot="1" x14ac:dyDescent="0.3">
      <c r="A79" s="28"/>
      <c r="B79" s="29">
        <f>QUARTILE($B$21:$K$21,1)</f>
        <v>23.22797949477658</v>
      </c>
      <c r="C79" s="29">
        <f>QUARTILE($B$21:$K$21,3)</f>
        <v>23.948353344368591</v>
      </c>
      <c r="D79" s="29">
        <f>$C79-$B79</f>
        <v>0.72037384959201134</v>
      </c>
      <c r="E79" s="29">
        <f>$B79-1.5*$D79</f>
        <v>22.147418720388565</v>
      </c>
      <c r="F79" s="29">
        <f>$C79+1.5*$D79</f>
        <v>25.02891411875661</v>
      </c>
      <c r="H79" s="29"/>
      <c r="I79" s="29"/>
      <c r="J79" s="29"/>
      <c r="K79" s="29"/>
    </row>
    <row r="80" spans="1:11" x14ac:dyDescent="0.25">
      <c r="A80" s="25">
        <v>4000</v>
      </c>
      <c r="B80" s="30">
        <f>IF(OR(B$22&gt;$F82,B$22&lt;$E82),1,0)</f>
        <v>0</v>
      </c>
      <c r="C80" s="30">
        <f>IF(OR(C$22&gt;$F82,C$22&lt;$E82),1,0)</f>
        <v>0</v>
      </c>
      <c r="D80" s="45">
        <f>IF(OR(D$22&gt;$F28,D$22&lt;$E28),1,0)</f>
        <v>0</v>
      </c>
      <c r="E80" s="31">
        <f t="shared" ref="E80:K80" si="24">IF(OR(E$22&gt;$F82,E$22&lt;$E82),1,0)</f>
        <v>1</v>
      </c>
      <c r="F80" s="31">
        <f t="shared" si="24"/>
        <v>1</v>
      </c>
      <c r="G80" s="31">
        <f t="shared" si="24"/>
        <v>1</v>
      </c>
      <c r="H80" s="31">
        <f t="shared" si="24"/>
        <v>1</v>
      </c>
      <c r="I80" s="30">
        <f t="shared" si="24"/>
        <v>0</v>
      </c>
      <c r="J80" s="30">
        <f t="shared" si="24"/>
        <v>0</v>
      </c>
      <c r="K80" s="31">
        <f t="shared" si="24"/>
        <v>1</v>
      </c>
    </row>
    <row r="81" spans="1:11" x14ac:dyDescent="0.25">
      <c r="A81" s="27"/>
      <c r="B81" t="s">
        <v>147</v>
      </c>
      <c r="C81" t="s">
        <v>148</v>
      </c>
      <c r="D81" t="s">
        <v>149</v>
      </c>
      <c r="E81" t="s">
        <v>150</v>
      </c>
      <c r="F81" t="s">
        <v>151</v>
      </c>
    </row>
    <row r="82" spans="1:11" ht="15.75" thickBot="1" x14ac:dyDescent="0.3">
      <c r="A82" s="28"/>
      <c r="B82" s="29">
        <f>QUARTILE($B$22:$K$22,1)</f>
        <v>22.933582272304086</v>
      </c>
      <c r="C82" s="29">
        <f>QUARTILE($B$22:$K$22,3)</f>
        <v>24.794938215648621</v>
      </c>
      <c r="D82" s="29">
        <f>$C82-$B82</f>
        <v>1.8613559433445346</v>
      </c>
      <c r="E82" s="29">
        <f>$B82-1.5*$D82</f>
        <v>20.141548357287284</v>
      </c>
      <c r="F82" s="29">
        <f>$C82+1.5*$D82</f>
        <v>27.586972130665423</v>
      </c>
      <c r="G82" s="29"/>
      <c r="H82" s="29"/>
      <c r="I82" s="29"/>
      <c r="J82" s="29"/>
      <c r="K82" s="29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3BCC-E61B-48EA-8874-2F1398C0C4E6}">
  <sheetPr>
    <tabColor theme="2"/>
  </sheetPr>
  <dimension ref="A1:AB24"/>
  <sheetViews>
    <sheetView topLeftCell="H1" workbookViewId="0">
      <selection activeCell="T33" sqref="T33"/>
    </sheetView>
  </sheetViews>
  <sheetFormatPr defaultRowHeight="15" x14ac:dyDescent="0.25"/>
  <cols>
    <col min="1" max="1" width="15.5703125" customWidth="1"/>
    <col min="4" max="4" width="11.42578125" customWidth="1"/>
    <col min="5" max="5" width="12.5703125" customWidth="1"/>
    <col min="6" max="6" width="18.28515625" customWidth="1"/>
    <col min="8" max="8" width="15.42578125" customWidth="1"/>
    <col min="9" max="9" width="12.28515625" customWidth="1"/>
    <col min="10" max="10" width="19" customWidth="1"/>
    <col min="11" max="11" width="8.140625" customWidth="1"/>
    <col min="15" max="15" width="15.5703125" customWidth="1"/>
    <col min="28" max="28" width="13.42578125" customWidth="1"/>
  </cols>
  <sheetData>
    <row r="1" spans="1:28" x14ac:dyDescent="0.25">
      <c r="L1" s="1"/>
      <c r="N1" s="1"/>
      <c r="O1" s="1"/>
      <c r="P1" s="1"/>
    </row>
    <row r="3" spans="1:28" x14ac:dyDescent="0.25">
      <c r="A3" t="s">
        <v>40</v>
      </c>
      <c r="B3" t="s">
        <v>41</v>
      </c>
      <c r="C3" t="s">
        <v>31</v>
      </c>
      <c r="D3" t="s">
        <v>42</v>
      </c>
      <c r="E3" t="s">
        <v>43</v>
      </c>
      <c r="F3" s="1"/>
      <c r="H3" s="1"/>
      <c r="I3" s="1"/>
      <c r="J3" s="1"/>
      <c r="K3" s="1"/>
      <c r="L3" s="1"/>
      <c r="M3" s="1"/>
      <c r="N3" s="9"/>
      <c r="O3" s="10"/>
      <c r="Z3" t="s">
        <v>31</v>
      </c>
      <c r="AA3" t="s">
        <v>41</v>
      </c>
      <c r="AB3" t="s">
        <v>43</v>
      </c>
    </row>
    <row r="4" spans="1:28" x14ac:dyDescent="0.25">
      <c r="A4">
        <v>7.9787199999999999E-3</v>
      </c>
      <c r="B4">
        <f>A4*1.01325</f>
        <v>8.0844380399999992E-3</v>
      </c>
      <c r="C4">
        <f>B4*100</f>
        <v>0.80844380399999993</v>
      </c>
      <c r="D4">
        <v>0.30882399999999999</v>
      </c>
      <c r="E4">
        <f>D4/'Isotherm List'!$C$4</f>
        <v>1.3778189263592278E-2</v>
      </c>
      <c r="Z4">
        <v>0</v>
      </c>
      <c r="AA4">
        <v>0</v>
      </c>
      <c r="AB4">
        <v>0</v>
      </c>
    </row>
    <row r="5" spans="1:28" x14ac:dyDescent="0.25">
      <c r="A5">
        <v>5.8510600000000003E-2</v>
      </c>
      <c r="B5">
        <f t="shared" ref="B5:B23" si="0">A5*1.01325</f>
        <v>5.9285865450000003E-2</v>
      </c>
      <c r="C5">
        <f t="shared" ref="C5:C23" si="1">B5*100</f>
        <v>5.9285865449999999</v>
      </c>
      <c r="D5">
        <v>1.85294</v>
      </c>
      <c r="E5">
        <f>D5/'Isotherm List'!$C$4</f>
        <v>8.2668957121469433E-2</v>
      </c>
      <c r="Z5">
        <f>C4</f>
        <v>0.80844380399999993</v>
      </c>
      <c r="AA5">
        <f>B4</f>
        <v>8.0844380399999992E-3</v>
      </c>
      <c r="AB5">
        <v>1.3778189263592278E-2</v>
      </c>
    </row>
    <row r="6" spans="1:28" x14ac:dyDescent="0.25">
      <c r="A6">
        <v>0.119681</v>
      </c>
      <c r="B6">
        <f t="shared" si="0"/>
        <v>0.12126677324999999</v>
      </c>
      <c r="C6">
        <f t="shared" si="1"/>
        <v>12.126677324999999</v>
      </c>
      <c r="D6">
        <v>3.6029399999999998</v>
      </c>
      <c r="E6">
        <f>D6/'Isotherm List'!$C$4</f>
        <v>0.16074524397510284</v>
      </c>
      <c r="Z6">
        <f t="shared" ref="Z6:Z24" si="2">C5</f>
        <v>5.9285865449999999</v>
      </c>
      <c r="AA6">
        <f t="shared" ref="AA6:AA24" si="3">B5</f>
        <v>5.9285865450000003E-2</v>
      </c>
      <c r="AB6">
        <v>8.2668957121469433E-2</v>
      </c>
    </row>
    <row r="7" spans="1:28" x14ac:dyDescent="0.25">
      <c r="A7">
        <v>0.172872</v>
      </c>
      <c r="B7">
        <f t="shared" si="0"/>
        <v>0.175162554</v>
      </c>
      <c r="C7">
        <f t="shared" si="1"/>
        <v>17.516255399999999</v>
      </c>
      <c r="D7">
        <v>4.8382399999999999</v>
      </c>
      <c r="E7">
        <f>D7/'Isotherm List'!$C$4</f>
        <v>0.21585817948955618</v>
      </c>
      <c r="Z7">
        <f t="shared" si="2"/>
        <v>12.126677324999999</v>
      </c>
      <c r="AA7">
        <f t="shared" si="3"/>
        <v>0.12126677324999999</v>
      </c>
      <c r="AB7">
        <v>0.16074524397510284</v>
      </c>
    </row>
    <row r="8" spans="1:28" x14ac:dyDescent="0.25">
      <c r="A8">
        <v>0.22872300000000001</v>
      </c>
      <c r="B8">
        <f t="shared" si="0"/>
        <v>0.23175357974999999</v>
      </c>
      <c r="C8">
        <f t="shared" si="1"/>
        <v>23.175357975000001</v>
      </c>
      <c r="D8">
        <v>6.0735299999999999</v>
      </c>
      <c r="E8">
        <f>D8/'Isotherm List'!$C$4</f>
        <v>0.27097066885379895</v>
      </c>
      <c r="Z8">
        <f t="shared" si="2"/>
        <v>17.516255399999999</v>
      </c>
      <c r="AA8">
        <f t="shared" si="3"/>
        <v>0.175162554</v>
      </c>
      <c r="AB8">
        <v>0.21585817948955618</v>
      </c>
    </row>
    <row r="9" spans="1:28" x14ac:dyDescent="0.25">
      <c r="A9">
        <v>0.28191500000000003</v>
      </c>
      <c r="B9">
        <f t="shared" si="0"/>
        <v>0.28565037375000002</v>
      </c>
      <c r="C9">
        <f t="shared" si="1"/>
        <v>28.565037375000003</v>
      </c>
      <c r="D9">
        <v>7.2058799999999996</v>
      </c>
      <c r="E9">
        <f>D9/'Isotherm List'!$C$4</f>
        <v>0.32149048795020568</v>
      </c>
      <c r="Z9">
        <f t="shared" si="2"/>
        <v>23.175357975000001</v>
      </c>
      <c r="AA9">
        <f t="shared" si="3"/>
        <v>0.23175357974999999</v>
      </c>
      <c r="AB9">
        <v>0.27097066885379895</v>
      </c>
    </row>
    <row r="10" spans="1:28" x14ac:dyDescent="0.25">
      <c r="A10">
        <v>0.33244699999999999</v>
      </c>
      <c r="B10">
        <f t="shared" si="0"/>
        <v>0.33685192274999998</v>
      </c>
      <c r="C10">
        <f t="shared" si="1"/>
        <v>33.685192274999999</v>
      </c>
      <c r="D10">
        <v>8.1323500000000006</v>
      </c>
      <c r="E10">
        <f>D10/'Isotherm List'!$C$4</f>
        <v>0.36282496651094043</v>
      </c>
      <c r="Z10">
        <f t="shared" si="2"/>
        <v>28.565037375000003</v>
      </c>
      <c r="AA10">
        <f t="shared" si="3"/>
        <v>0.28565037375000002</v>
      </c>
      <c r="AB10">
        <v>0.32149048795020568</v>
      </c>
    </row>
    <row r="11" spans="1:28" x14ac:dyDescent="0.25">
      <c r="A11">
        <v>0.38829799999999998</v>
      </c>
      <c r="B11">
        <f t="shared" si="0"/>
        <v>0.39344294849999994</v>
      </c>
      <c r="C11">
        <f t="shared" si="1"/>
        <v>39.344294849999997</v>
      </c>
      <c r="D11">
        <v>9.0588200000000008</v>
      </c>
      <c r="E11">
        <f>D11/'Isotherm List'!$C$4</f>
        <v>0.40415944507167517</v>
      </c>
      <c r="Z11">
        <f t="shared" si="2"/>
        <v>33.685192274999999</v>
      </c>
      <c r="AA11">
        <f t="shared" si="3"/>
        <v>0.33685192274999998</v>
      </c>
      <c r="AB11">
        <v>0.36282496651094043</v>
      </c>
    </row>
    <row r="12" spans="1:28" x14ac:dyDescent="0.25">
      <c r="A12">
        <v>0.44148900000000002</v>
      </c>
      <c r="B12">
        <f t="shared" si="0"/>
        <v>0.44733872925000001</v>
      </c>
      <c r="C12">
        <f t="shared" si="1"/>
        <v>44.733872925</v>
      </c>
      <c r="D12">
        <v>10.1912</v>
      </c>
      <c r="E12">
        <f>D12/'Isotherm List'!$C$4</f>
        <v>0.45468060261871368</v>
      </c>
      <c r="Z12">
        <f t="shared" si="2"/>
        <v>39.344294849999997</v>
      </c>
      <c r="AA12">
        <f t="shared" si="3"/>
        <v>0.39344294849999994</v>
      </c>
      <c r="AB12">
        <v>0.40415944507167517</v>
      </c>
    </row>
    <row r="13" spans="1:28" x14ac:dyDescent="0.25">
      <c r="A13">
        <v>0.49734</v>
      </c>
      <c r="B13">
        <f t="shared" si="0"/>
        <v>0.50392975500000003</v>
      </c>
      <c r="C13">
        <f t="shared" si="1"/>
        <v>50.392975500000006</v>
      </c>
      <c r="D13">
        <v>10.911799999999999</v>
      </c>
      <c r="E13">
        <f>D13/'Isotherm List'!$C$4</f>
        <v>0.48683018679398687</v>
      </c>
      <c r="Z13">
        <f t="shared" si="2"/>
        <v>44.733872925</v>
      </c>
      <c r="AA13">
        <f t="shared" si="3"/>
        <v>0.44733872925000001</v>
      </c>
      <c r="AB13">
        <v>0.45468060261871368</v>
      </c>
    </row>
    <row r="14" spans="1:28" x14ac:dyDescent="0.25">
      <c r="A14">
        <v>0.54521299999999995</v>
      </c>
      <c r="B14">
        <f t="shared" si="0"/>
        <v>0.55243707224999994</v>
      </c>
      <c r="C14">
        <f t="shared" si="1"/>
        <v>55.243707224999994</v>
      </c>
      <c r="D14">
        <v>11.838200000000001</v>
      </c>
      <c r="E14">
        <f>D14/'Isotherm List'!$C$4</f>
        <v>0.52816154230324752</v>
      </c>
      <c r="Z14">
        <f t="shared" si="2"/>
        <v>50.392975500000006</v>
      </c>
      <c r="AA14">
        <f t="shared" si="3"/>
        <v>0.50392975500000003</v>
      </c>
      <c r="AB14">
        <v>0.48683018679398687</v>
      </c>
    </row>
    <row r="15" spans="1:28" x14ac:dyDescent="0.25">
      <c r="A15">
        <v>0.59840400000000005</v>
      </c>
      <c r="B15">
        <f t="shared" si="0"/>
        <v>0.60633285300000006</v>
      </c>
      <c r="C15">
        <f t="shared" si="1"/>
        <v>60.633285300000004</v>
      </c>
      <c r="D15">
        <v>12.5588</v>
      </c>
      <c r="E15">
        <f>D15/'Isotherm List'!$C$4</f>
        <v>0.56031112647852077</v>
      </c>
      <c r="Z15">
        <f t="shared" si="2"/>
        <v>55.243707224999994</v>
      </c>
      <c r="AA15">
        <f t="shared" si="3"/>
        <v>0.55243707224999994</v>
      </c>
      <c r="AB15">
        <v>0.52816154230324752</v>
      </c>
    </row>
    <row r="16" spans="1:28" x14ac:dyDescent="0.25">
      <c r="A16">
        <v>0.65425500000000003</v>
      </c>
      <c r="B16">
        <f t="shared" si="0"/>
        <v>0.66292387875000003</v>
      </c>
      <c r="C16">
        <f t="shared" si="1"/>
        <v>66.292387875000003</v>
      </c>
      <c r="D16">
        <v>13.382400000000001</v>
      </c>
      <c r="E16">
        <f>D16/'Isotherm List'!$C$4</f>
        <v>0.59705605782289362</v>
      </c>
      <c r="Z16">
        <f t="shared" si="2"/>
        <v>60.633285300000004</v>
      </c>
      <c r="AA16">
        <f t="shared" si="3"/>
        <v>0.60633285300000006</v>
      </c>
      <c r="AB16">
        <v>0.56031112647852077</v>
      </c>
    </row>
    <row r="17" spans="1:28" x14ac:dyDescent="0.25">
      <c r="A17">
        <v>0.70478700000000005</v>
      </c>
      <c r="B17">
        <f t="shared" si="0"/>
        <v>0.7141254277500001</v>
      </c>
      <c r="C17">
        <f t="shared" si="1"/>
        <v>71.412542775000006</v>
      </c>
      <c r="D17">
        <v>14.1029</v>
      </c>
      <c r="E17">
        <f>D17/'Isotherm List'!$C$4</f>
        <v>0.629201180496061</v>
      </c>
      <c r="Z17">
        <f t="shared" si="2"/>
        <v>66.292387875000003</v>
      </c>
      <c r="AA17">
        <f t="shared" si="3"/>
        <v>0.66292387875000003</v>
      </c>
      <c r="AB17">
        <v>0.59705605782289362</v>
      </c>
    </row>
    <row r="18" spans="1:28" x14ac:dyDescent="0.25">
      <c r="A18">
        <v>0.75531899999999996</v>
      </c>
      <c r="B18">
        <f t="shared" si="0"/>
        <v>0.76532697674999994</v>
      </c>
      <c r="C18">
        <f t="shared" si="1"/>
        <v>76.532697674999994</v>
      </c>
      <c r="D18">
        <v>14.720599999999999</v>
      </c>
      <c r="E18">
        <f>D18/'Isotherm List'!$C$4</f>
        <v>0.65675987900434063</v>
      </c>
      <c r="Z18">
        <f t="shared" si="2"/>
        <v>71.412542775000006</v>
      </c>
      <c r="AA18">
        <f t="shared" si="3"/>
        <v>0.7141254277500001</v>
      </c>
      <c r="AB18">
        <v>0.629201180496061</v>
      </c>
    </row>
    <row r="19" spans="1:28" x14ac:dyDescent="0.25">
      <c r="A19">
        <v>0.80585099999999998</v>
      </c>
      <c r="B19">
        <f t="shared" si="0"/>
        <v>0.81652852575000001</v>
      </c>
      <c r="C19">
        <f t="shared" si="1"/>
        <v>81.652852574999997</v>
      </c>
      <c r="D19">
        <v>15.338200000000001</v>
      </c>
      <c r="E19">
        <f>D19/'Isotherm List'!$C$4</f>
        <v>0.68431411601051439</v>
      </c>
      <c r="Z19">
        <f t="shared" si="2"/>
        <v>76.532697674999994</v>
      </c>
      <c r="AA19">
        <f t="shared" si="3"/>
        <v>0.76532697674999994</v>
      </c>
      <c r="AB19">
        <v>0.65675987900434063</v>
      </c>
    </row>
    <row r="20" spans="1:28" x14ac:dyDescent="0.25">
      <c r="A20">
        <v>0.86436199999999996</v>
      </c>
      <c r="B20">
        <f t="shared" si="0"/>
        <v>0.87581479649999994</v>
      </c>
      <c r="C20">
        <f t="shared" si="1"/>
        <v>87.581479649999991</v>
      </c>
      <c r="D20">
        <v>16.264700000000001</v>
      </c>
      <c r="E20">
        <f>D20/'Isotherm List'!$C$4</f>
        <v>0.72564993302188086</v>
      </c>
      <c r="Z20">
        <f t="shared" si="2"/>
        <v>81.652852574999997</v>
      </c>
      <c r="AA20">
        <f t="shared" si="3"/>
        <v>0.81652852575000001</v>
      </c>
      <c r="AB20">
        <v>0.68431411601051439</v>
      </c>
    </row>
    <row r="21" spans="1:28" x14ac:dyDescent="0.25">
      <c r="A21">
        <v>0.91223399999999999</v>
      </c>
      <c r="B21">
        <f t="shared" si="0"/>
        <v>0.92432110049999994</v>
      </c>
      <c r="C21">
        <f t="shared" si="1"/>
        <v>92.432110049999991</v>
      </c>
      <c r="D21">
        <v>16.779399999999999</v>
      </c>
      <c r="E21">
        <f>D21/'Isotherm List'!$C$4</f>
        <v>0.74861328436106089</v>
      </c>
      <c r="Z21">
        <f t="shared" si="2"/>
        <v>87.581479649999991</v>
      </c>
      <c r="AA21">
        <f t="shared" si="3"/>
        <v>0.87581479649999994</v>
      </c>
      <c r="AB21">
        <v>0.72564993302188086</v>
      </c>
    </row>
    <row r="22" spans="1:28" x14ac:dyDescent="0.25">
      <c r="A22">
        <v>0.96542600000000001</v>
      </c>
      <c r="B22">
        <f t="shared" si="0"/>
        <v>0.97821789449999996</v>
      </c>
      <c r="C22">
        <f t="shared" si="1"/>
        <v>97.821789449999997</v>
      </c>
      <c r="D22">
        <v>17.191199999999998</v>
      </c>
      <c r="E22">
        <f>D22/'Isotherm List'!$C$4</f>
        <v>0.7669857500332472</v>
      </c>
      <c r="Z22">
        <f t="shared" si="2"/>
        <v>92.432110049999991</v>
      </c>
      <c r="AA22">
        <f t="shared" si="3"/>
        <v>0.92432110049999994</v>
      </c>
      <c r="AB22">
        <v>0.74861328436106089</v>
      </c>
    </row>
    <row r="23" spans="1:28" x14ac:dyDescent="0.25">
      <c r="A23">
        <v>1.0026600000000001</v>
      </c>
      <c r="B23">
        <f t="shared" si="0"/>
        <v>1.0159452450000002</v>
      </c>
      <c r="C23">
        <f t="shared" si="1"/>
        <v>101.59452450000002</v>
      </c>
      <c r="D23">
        <v>17.911799999999999</v>
      </c>
      <c r="E23">
        <f>D23/'Isotherm List'!$C$4</f>
        <v>0.79913533420852056</v>
      </c>
      <c r="Z23">
        <f t="shared" si="2"/>
        <v>97.821789449999997</v>
      </c>
      <c r="AA23">
        <f t="shared" si="3"/>
        <v>0.97821789449999996</v>
      </c>
      <c r="AB23">
        <v>0.7669857500332472</v>
      </c>
    </row>
    <row r="24" spans="1:28" x14ac:dyDescent="0.25">
      <c r="Z24">
        <f t="shared" si="2"/>
        <v>101.59452450000002</v>
      </c>
      <c r="AA24">
        <f t="shared" si="3"/>
        <v>1.0159452450000002</v>
      </c>
      <c r="AB24">
        <v>0.79913533420852056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11D5-7A54-4416-A47A-A21A475EBF09}">
  <sheetPr>
    <tabColor theme="2"/>
  </sheetPr>
  <dimension ref="A1:AI49"/>
  <sheetViews>
    <sheetView topLeftCell="E1" zoomScale="60" zoomScaleNormal="60" workbookViewId="0">
      <selection activeCell="Z5" sqref="Z5:Z14"/>
    </sheetView>
  </sheetViews>
  <sheetFormatPr defaultRowHeight="15" x14ac:dyDescent="0.25"/>
  <cols>
    <col min="4" max="4" width="13.28515625" customWidth="1"/>
    <col min="5" max="5" width="19.5703125" customWidth="1"/>
    <col min="6" max="6" width="22.28515625" customWidth="1"/>
    <col min="8" max="8" width="8.5703125" customWidth="1"/>
    <col min="9" max="9" width="11.140625" customWidth="1"/>
    <col min="10" max="10" width="19" customWidth="1"/>
    <col min="11" max="11" width="9.5703125" customWidth="1"/>
    <col min="15" max="15" width="24.7109375" customWidth="1"/>
    <col min="18" max="18" width="18.7109375" customWidth="1"/>
    <col min="19" max="19" width="13.5703125" customWidth="1"/>
    <col min="20" max="20" width="18.7109375" customWidth="1"/>
    <col min="21" max="21" width="17.5703125" customWidth="1"/>
    <col min="25" max="25" width="24" customWidth="1"/>
    <col min="27" max="27" width="17.42578125" customWidth="1"/>
    <col min="28" max="28" width="14" customWidth="1"/>
    <col min="29" max="29" width="18" customWidth="1"/>
    <col min="30" max="30" width="19.7109375" customWidth="1"/>
    <col min="34" max="34" width="29" customWidth="1"/>
  </cols>
  <sheetData>
    <row r="1" spans="1:35" x14ac:dyDescent="0.25">
      <c r="H1" s="41" t="s">
        <v>168</v>
      </c>
      <c r="L1" s="1" t="s">
        <v>25</v>
      </c>
      <c r="N1" s="1" t="s">
        <v>26</v>
      </c>
      <c r="O1" s="1" t="s">
        <v>27</v>
      </c>
      <c r="P1" s="1" t="s">
        <v>28</v>
      </c>
      <c r="R1" s="41" t="s">
        <v>179</v>
      </c>
      <c r="V1" s="1" t="s">
        <v>25</v>
      </c>
      <c r="X1" s="1" t="s">
        <v>170</v>
      </c>
      <c r="Y1" s="1" t="s">
        <v>171</v>
      </c>
      <c r="Z1" s="41" t="s">
        <v>180</v>
      </c>
      <c r="AE1" s="1" t="s">
        <v>25</v>
      </c>
      <c r="AG1" s="1" t="s">
        <v>170</v>
      </c>
      <c r="AH1" s="1" t="s">
        <v>171</v>
      </c>
      <c r="AI1" s="1" t="s">
        <v>178</v>
      </c>
    </row>
    <row r="2" spans="1:35" x14ac:dyDescent="0.25">
      <c r="L2">
        <f>SUM(L4:L13)</f>
        <v>30.824174516204359</v>
      </c>
      <c r="N2">
        <v>60.03494093974561</v>
      </c>
      <c r="O2">
        <v>6.6924376478073812E-4</v>
      </c>
      <c r="P2">
        <v>0.87445723956093335</v>
      </c>
      <c r="V2">
        <f>SUM(V4:V13)</f>
        <v>0.32296165124703513</v>
      </c>
      <c r="X2">
        <v>2.4883456189968851E-2</v>
      </c>
      <c r="Y2">
        <v>0.1583472602929468</v>
      </c>
      <c r="AE2">
        <f>SUM(AE5:AE14)</f>
        <v>0.31210041969568419</v>
      </c>
      <c r="AG2">
        <v>2.4714583856978282E-2</v>
      </c>
      <c r="AH2">
        <v>0.16068883513138063</v>
      </c>
      <c r="AI2">
        <v>23.899805204396074</v>
      </c>
    </row>
    <row r="3" spans="1:35" x14ac:dyDescent="0.25">
      <c r="A3" t="s">
        <v>41</v>
      </c>
      <c r="B3" t="s">
        <v>31</v>
      </c>
      <c r="C3" t="s">
        <v>177</v>
      </c>
      <c r="D3" t="s">
        <v>43</v>
      </c>
      <c r="E3" s="1" t="s">
        <v>80</v>
      </c>
      <c r="H3" s="1" t="s">
        <v>31</v>
      </c>
      <c r="I3" s="1" t="s">
        <v>43</v>
      </c>
      <c r="J3" s="1" t="s">
        <v>80</v>
      </c>
      <c r="K3" s="1" t="s">
        <v>29</v>
      </c>
      <c r="L3" s="1" t="s">
        <v>30</v>
      </c>
      <c r="M3" s="1"/>
      <c r="N3" s="9" t="s">
        <v>31</v>
      </c>
      <c r="O3" s="10" t="s">
        <v>32</v>
      </c>
      <c r="R3" s="1" t="s">
        <v>41</v>
      </c>
      <c r="S3" s="1" t="s">
        <v>43</v>
      </c>
      <c r="T3" s="1" t="s">
        <v>80</v>
      </c>
      <c r="U3" s="1" t="s">
        <v>172</v>
      </c>
      <c r="V3" s="1" t="s">
        <v>30</v>
      </c>
      <c r="W3" s="1"/>
      <c r="X3" s="9" t="s">
        <v>31</v>
      </c>
      <c r="Y3" s="10" t="s">
        <v>173</v>
      </c>
      <c r="Z3" s="1" t="s">
        <v>31</v>
      </c>
      <c r="AA3" s="1" t="s">
        <v>41</v>
      </c>
      <c r="AB3" s="1" t="s">
        <v>43</v>
      </c>
      <c r="AC3" s="1" t="s">
        <v>80</v>
      </c>
      <c r="AD3" s="1" t="s">
        <v>172</v>
      </c>
      <c r="AE3" s="1" t="s">
        <v>30</v>
      </c>
      <c r="AF3" s="1"/>
      <c r="AG3" s="9" t="s">
        <v>31</v>
      </c>
      <c r="AH3" s="10" t="s">
        <v>173</v>
      </c>
    </row>
    <row r="4" spans="1:35" x14ac:dyDescent="0.25">
      <c r="A4">
        <v>2.09476</v>
      </c>
      <c r="B4">
        <f>A4*100</f>
        <v>209.476</v>
      </c>
      <c r="C4">
        <v>5.0670599999999997</v>
      </c>
      <c r="D4">
        <f>C4/'Isotherm List'!$C$3*10</f>
        <v>1.1513690381512871</v>
      </c>
      <c r="E4">
        <f>D4*'Isotherm List'!$G$4/'Isotherm List'!$H$16</f>
        <v>1.3021873466631171</v>
      </c>
      <c r="H4">
        <f>B4</f>
        <v>209.476</v>
      </c>
      <c r="I4">
        <f>D4</f>
        <v>1.1513690381512871</v>
      </c>
      <c r="J4">
        <f>E4</f>
        <v>1.3021873466631171</v>
      </c>
      <c r="K4">
        <f>($N$2*H4)/(((1/$O$2)+H4^$P$2)^(1/$P$2))</f>
        <v>2.7227495098172709</v>
      </c>
      <c r="L4">
        <f>(K4-J4)^2</f>
        <v>2.0179968593852089</v>
      </c>
      <c r="N4">
        <v>10</v>
      </c>
      <c r="O4">
        <f>($N$2*N4)/(((1/$O$2)+N4^$P$2)^(1/$P$2))</f>
        <v>0.13988319797273133</v>
      </c>
      <c r="R4">
        <f>A4</f>
        <v>2.09476</v>
      </c>
      <c r="S4">
        <f>D4</f>
        <v>1.1513690381512871</v>
      </c>
      <c r="T4">
        <f>E4</f>
        <v>1.3021873466631171</v>
      </c>
      <c r="U4">
        <f>($T$13*(1-EXP(-($X$2+$Y$2)*R4))/(1+$Y$2/$X$2*EXP(-($X$2+$Y$2)*R4)))</f>
        <v>1.4330250788345165</v>
      </c>
      <c r="V4">
        <f>(U4-T4)^2</f>
        <v>1.7118512159754837E-2</v>
      </c>
      <c r="X4">
        <v>10</v>
      </c>
      <c r="Y4">
        <f>($T$13*(1-EXP(-($X$2+$Y$2)*(X4/100)))/(1+$Y$2/$X$2*EXP(-($X$2+$Y$2)*(X4/100))))</f>
        <v>6.008421036340629E-2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</row>
    <row r="5" spans="1:35" x14ac:dyDescent="0.25">
      <c r="A5">
        <v>3.9900199999999999</v>
      </c>
      <c r="B5">
        <f t="shared" ref="B5:B13" si="0">A5*100</f>
        <v>399.00200000000001</v>
      </c>
      <c r="C5">
        <v>12.2341</v>
      </c>
      <c r="D5">
        <f>C5/'Isotherm List'!$C$3*10</f>
        <v>2.7799086550478309</v>
      </c>
      <c r="E5">
        <f>D5*'Isotherm List'!$G$4/'Isotherm List'!$H$16</f>
        <v>3.1440500443671953</v>
      </c>
      <c r="H5">
        <f>B5</f>
        <v>399.00200000000001</v>
      </c>
      <c r="I5">
        <f t="shared" ref="I5:I13" si="1">D5</f>
        <v>2.7799086550478309</v>
      </c>
      <c r="J5">
        <f t="shared" ref="J5:J13" si="2">E5</f>
        <v>3.1440500443671953</v>
      </c>
      <c r="K5">
        <f t="shared" ref="K5:K13" si="3">($N$2*H5)/(((1/$O$2)+H5^$P$2)^(1/$P$2))</f>
        <v>4.9015144374455408</v>
      </c>
      <c r="L5">
        <f t="shared" ref="L5:L13" si="4">(K5-J5)^2</f>
        <v>3.0886810929382373</v>
      </c>
      <c r="N5">
        <v>30</v>
      </c>
      <c r="O5">
        <f t="shared" ref="O5:O21" si="5">($N$2*N5)/(((1/$O$2)+N5^$P$2)^(1/$P$2))</f>
        <v>0.41582084884673098</v>
      </c>
      <c r="R5">
        <f t="shared" ref="R5:R13" si="6">A5</f>
        <v>3.9900199999999999</v>
      </c>
      <c r="S5">
        <f t="shared" ref="S5:S13" si="7">D5</f>
        <v>2.7799086550478309</v>
      </c>
      <c r="T5">
        <f t="shared" ref="T5:T13" si="8">E5</f>
        <v>3.1440500443671953</v>
      </c>
      <c r="U5">
        <f t="shared" ref="U5:U13" si="9">($T$13*(1-EXP(-($X$2+$Y$2)*R5))/(1+$Y$2/$X$2*EXP(-($X$2+$Y$2)*R5)))</f>
        <v>3.0614182991495946</v>
      </c>
      <c r="V5">
        <f t="shared" ref="V5:V13" si="10">(U5-T5)^2</f>
        <v>6.828005317706466E-3</v>
      </c>
      <c r="X5">
        <v>30</v>
      </c>
      <c r="Y5">
        <f t="shared" ref="Y5:Y21" si="11">($T$13*(1-EXP(-($X$2+$Y$2)*(X5/100)))/(1+$Y$2/$X$2*EXP(-($X$2+$Y$2)*(X5/100))))</f>
        <v>0.18266571001103088</v>
      </c>
      <c r="Z5">
        <f>B4</f>
        <v>209.476</v>
      </c>
      <c r="AA5">
        <f t="shared" ref="AA5:AA14" si="12">A4</f>
        <v>2.09476</v>
      </c>
      <c r="AB5">
        <f t="shared" ref="AB5:AB14" si="13">D4</f>
        <v>1.1513690381512871</v>
      </c>
      <c r="AC5">
        <f t="shared" ref="AC5:AC14" si="14">E4</f>
        <v>1.3021873466631171</v>
      </c>
      <c r="AD5">
        <f>($AI$2*(1-EXP(-($AG$2+$AH$2)*AA5))/(1+$AH$2/$AG$2*EXP(-($AG$2+$AH$2)*AA5)))</f>
        <v>1.4220080846381129</v>
      </c>
      <c r="AE5">
        <f>(AD5-AC5)^2</f>
        <v>1.4357009248872605E-2</v>
      </c>
      <c r="AG5">
        <v>10</v>
      </c>
      <c r="AH5">
        <f>($AI$2*(1-EXP(-($AG$2+$AH$2)*(AG5/100)))/(1+$AH$2/$AG$2*EXP(-($AG$2+$AH$2)*(AG5/100))))</f>
        <v>5.9469989826649507E-2</v>
      </c>
    </row>
    <row r="6" spans="1:35" x14ac:dyDescent="0.25">
      <c r="A6">
        <v>5.8852900000000004</v>
      </c>
      <c r="B6">
        <f t="shared" si="0"/>
        <v>588.529</v>
      </c>
      <c r="C6">
        <v>19.8216</v>
      </c>
      <c r="D6">
        <f>C6/'Isotherm List'!$C$3*10</f>
        <v>4.5039878206730446</v>
      </c>
      <c r="E6">
        <f>D6*'Isotherm List'!$G$4/'Isotherm List'!$H$16</f>
        <v>5.093967055968875</v>
      </c>
      <c r="H6">
        <f>B6</f>
        <v>588.529</v>
      </c>
      <c r="I6">
        <f t="shared" si="1"/>
        <v>4.5039878206730446</v>
      </c>
      <c r="J6">
        <f t="shared" si="2"/>
        <v>5.093967055968875</v>
      </c>
      <c r="K6">
        <f t="shared" si="3"/>
        <v>6.8728733688048314</v>
      </c>
      <c r="L6">
        <f t="shared" si="4"/>
        <v>3.1645076698476173</v>
      </c>
      <c r="N6">
        <v>50</v>
      </c>
      <c r="O6">
        <f t="shared" si="5"/>
        <v>0.68730855795279944</v>
      </c>
      <c r="R6">
        <f t="shared" si="6"/>
        <v>5.8852900000000004</v>
      </c>
      <c r="S6">
        <f t="shared" si="7"/>
        <v>4.5039878206730446</v>
      </c>
      <c r="T6">
        <f t="shared" si="8"/>
        <v>5.093967055968875</v>
      </c>
      <c r="U6">
        <f t="shared" si="9"/>
        <v>5.0013132747491529</v>
      </c>
      <c r="V6">
        <f t="shared" si="10"/>
        <v>8.5847231743121314E-3</v>
      </c>
      <c r="X6">
        <v>50</v>
      </c>
      <c r="Y6">
        <f t="shared" si="11"/>
        <v>0.30850241542493456</v>
      </c>
      <c r="Z6">
        <f t="shared" ref="Z6:Z14" si="15">B5</f>
        <v>399.00200000000001</v>
      </c>
      <c r="AA6">
        <f t="shared" si="12"/>
        <v>3.9900199999999999</v>
      </c>
      <c r="AB6">
        <f t="shared" si="13"/>
        <v>2.7799086550478309</v>
      </c>
      <c r="AC6">
        <f t="shared" si="14"/>
        <v>3.1440500443671953</v>
      </c>
      <c r="AD6">
        <f>($AI$2*(1-EXP(-($AG$2+$AH$2)*AA6))/(1+$AH$2/$AG$2*EXP(-($AG$2+$AH$2)*AA6)))</f>
        <v>3.0452620396094869</v>
      </c>
      <c r="AE6">
        <f t="shared" ref="AE6:AE14" si="16">(AD6-AC6)^2</f>
        <v>9.7590698840090036E-3</v>
      </c>
      <c r="AG6">
        <v>30</v>
      </c>
      <c r="AH6">
        <f t="shared" ref="AH6:AH22" si="17">($AI$2*(1-EXP(-($AG$2+$AH$2)*(AG6/100)))/(1+$AH$2/$AG$2*EXP(-($AG$2+$AH$2)*(AG6/100))))</f>
        <v>0.18084402084746531</v>
      </c>
    </row>
    <row r="7" spans="1:35" x14ac:dyDescent="0.25">
      <c r="A7">
        <v>7.7805499999999999</v>
      </c>
      <c r="B7">
        <f t="shared" si="0"/>
        <v>778.05499999999995</v>
      </c>
      <c r="C7">
        <v>27.829499999999999</v>
      </c>
      <c r="D7">
        <f>C7/'Isotherm List'!$C$3*10</f>
        <v>6.3235929014519758</v>
      </c>
      <c r="E7">
        <f>D7*'Isotherm List'!$G$4/'Isotherm List'!$H$16</f>
        <v>7.1519229620255569</v>
      </c>
      <c r="H7">
        <f t="shared" ref="H7:H13" si="18">B7</f>
        <v>778.05499999999995</v>
      </c>
      <c r="I7">
        <f t="shared" si="1"/>
        <v>6.3235929014519758</v>
      </c>
      <c r="J7">
        <f t="shared" si="2"/>
        <v>7.1519229620255569</v>
      </c>
      <c r="K7">
        <f t="shared" si="3"/>
        <v>8.6728336676067634</v>
      </c>
      <c r="L7">
        <f t="shared" si="4"/>
        <v>2.3131693743515234</v>
      </c>
      <c r="N7">
        <v>70</v>
      </c>
      <c r="O7">
        <f t="shared" si="5"/>
        <v>0.9547337354072396</v>
      </c>
      <c r="R7">
        <f t="shared" si="6"/>
        <v>7.7805499999999999</v>
      </c>
      <c r="S7">
        <f t="shared" si="7"/>
        <v>6.3235929014519758</v>
      </c>
      <c r="T7">
        <f t="shared" si="8"/>
        <v>7.1519229620255569</v>
      </c>
      <c r="U7">
        <f t="shared" si="9"/>
        <v>7.2032236243034182</v>
      </c>
      <c r="V7">
        <f t="shared" si="10"/>
        <v>2.6317579501471855E-3</v>
      </c>
      <c r="X7">
        <v>70</v>
      </c>
      <c r="Y7">
        <f t="shared" si="11"/>
        <v>0.43763784936204697</v>
      </c>
      <c r="Z7">
        <f t="shared" si="15"/>
        <v>588.529</v>
      </c>
      <c r="AA7">
        <f t="shared" si="12"/>
        <v>5.8852900000000004</v>
      </c>
      <c r="AB7">
        <f t="shared" si="13"/>
        <v>4.5039878206730446</v>
      </c>
      <c r="AC7">
        <f t="shared" si="14"/>
        <v>5.093967055968875</v>
      </c>
      <c r="AD7">
        <f t="shared" ref="AD7:AD14" si="19">($AI$2*(1-EXP(-($AG$2+$AH$2)*AA7))/(1+$AH$2/$AG$2*EXP(-($AG$2+$AH$2)*AA7)))</f>
        <v>4.9862155559702339</v>
      </c>
      <c r="AE7">
        <f t="shared" si="16"/>
        <v>1.161038575195715E-2</v>
      </c>
      <c r="AG7">
        <v>50</v>
      </c>
      <c r="AH7">
        <f t="shared" si="17"/>
        <v>0.30550326443671977</v>
      </c>
    </row>
    <row r="8" spans="1:35" x14ac:dyDescent="0.25">
      <c r="A8">
        <v>10.0748</v>
      </c>
      <c r="B8">
        <f t="shared" si="0"/>
        <v>1007.48</v>
      </c>
      <c r="C8">
        <v>38.364100000000001</v>
      </c>
      <c r="D8">
        <f>C8/'Isotherm List'!$C$3*10</f>
        <v>8.7173305460246766</v>
      </c>
      <c r="E8">
        <f>D8*'Isotherm List'!$G$4/'Isotherm List'!$H$16</f>
        <v>9.859217294864969</v>
      </c>
      <c r="H8">
        <f t="shared" si="18"/>
        <v>1007.48</v>
      </c>
      <c r="I8">
        <f t="shared" si="1"/>
        <v>8.7173305460246766</v>
      </c>
      <c r="J8">
        <f t="shared" si="2"/>
        <v>9.859217294864969</v>
      </c>
      <c r="K8">
        <f t="shared" si="3"/>
        <v>10.659106791794702</v>
      </c>
      <c r="L8">
        <f t="shared" si="4"/>
        <v>0.63982320729850173</v>
      </c>
      <c r="N8">
        <v>100</v>
      </c>
      <c r="O8">
        <f t="shared" si="5"/>
        <v>1.3487948378798504</v>
      </c>
      <c r="R8">
        <f t="shared" si="6"/>
        <v>10.0748</v>
      </c>
      <c r="S8">
        <f t="shared" si="7"/>
        <v>8.7173305460246766</v>
      </c>
      <c r="T8">
        <f t="shared" si="8"/>
        <v>9.859217294864969</v>
      </c>
      <c r="U8">
        <f t="shared" si="9"/>
        <v>10.076532637079303</v>
      </c>
      <c r="V8">
        <f t="shared" si="10"/>
        <v>4.7225957961733248E-2</v>
      </c>
      <c r="X8">
        <v>100</v>
      </c>
      <c r="Y8">
        <f t="shared" si="11"/>
        <v>0.6376157752113536</v>
      </c>
      <c r="Z8">
        <f t="shared" si="15"/>
        <v>778.05499999999995</v>
      </c>
      <c r="AA8">
        <f t="shared" si="12"/>
        <v>7.7805499999999999</v>
      </c>
      <c r="AB8">
        <f t="shared" si="13"/>
        <v>6.3235929014519758</v>
      </c>
      <c r="AC8">
        <f t="shared" si="14"/>
        <v>7.1519229620255569</v>
      </c>
      <c r="AD8">
        <f t="shared" si="19"/>
        <v>7.1954777847982934</v>
      </c>
      <c r="AE8">
        <f t="shared" si="16"/>
        <v>1.8970225867644842E-3</v>
      </c>
      <c r="AG8">
        <v>70</v>
      </c>
      <c r="AH8">
        <f t="shared" si="17"/>
        <v>0.43349372161726857</v>
      </c>
    </row>
    <row r="9" spans="1:35" x14ac:dyDescent="0.25">
      <c r="A9">
        <v>14.8628</v>
      </c>
      <c r="B9">
        <f t="shared" si="0"/>
        <v>1486.28</v>
      </c>
      <c r="C9">
        <v>62.378399999999999</v>
      </c>
      <c r="D9">
        <f>C9/'Isotherm List'!$C$3*10</f>
        <v>14.174009861619215</v>
      </c>
      <c r="E9">
        <f>D9*'Isotherm List'!$G$4/'Isotherm List'!$H$16</f>
        <v>16.030669300361669</v>
      </c>
      <c r="H9">
        <f t="shared" si="18"/>
        <v>1486.28</v>
      </c>
      <c r="I9">
        <f t="shared" si="1"/>
        <v>14.174009861619215</v>
      </c>
      <c r="J9">
        <f t="shared" si="2"/>
        <v>16.030669300361669</v>
      </c>
      <c r="K9">
        <f t="shared" si="3"/>
        <v>14.259126301688848</v>
      </c>
      <c r="L9">
        <f t="shared" si="4"/>
        <v>3.1383645961466908</v>
      </c>
      <c r="N9">
        <v>200</v>
      </c>
      <c r="O9">
        <f t="shared" si="5"/>
        <v>2.6074906977749222</v>
      </c>
      <c r="R9">
        <f t="shared" si="6"/>
        <v>14.8628</v>
      </c>
      <c r="S9">
        <f t="shared" si="7"/>
        <v>14.174009861619215</v>
      </c>
      <c r="T9">
        <f t="shared" si="8"/>
        <v>16.030669300361669</v>
      </c>
      <c r="U9">
        <f t="shared" si="9"/>
        <v>15.806779481714976</v>
      </c>
      <c r="V9">
        <f t="shared" si="10"/>
        <v>5.0126650893649226E-2</v>
      </c>
      <c r="X9">
        <v>200</v>
      </c>
      <c r="Y9">
        <f t="shared" si="11"/>
        <v>1.3600267820810503</v>
      </c>
      <c r="Z9">
        <f t="shared" si="15"/>
        <v>1007.48</v>
      </c>
      <c r="AA9">
        <f t="shared" si="12"/>
        <v>10.0748</v>
      </c>
      <c r="AB9">
        <f t="shared" si="13"/>
        <v>8.7173305460246766</v>
      </c>
      <c r="AC9">
        <f t="shared" si="14"/>
        <v>9.859217294864969</v>
      </c>
      <c r="AD9">
        <f t="shared" si="19"/>
        <v>10.083185276943928</v>
      </c>
      <c r="AE9">
        <f t="shared" si="16"/>
        <v>5.0161656996520733E-2</v>
      </c>
      <c r="AG9">
        <v>100</v>
      </c>
      <c r="AH9">
        <f t="shared" si="17"/>
        <v>0.63182056770826267</v>
      </c>
    </row>
    <row r="10" spans="1:35" x14ac:dyDescent="0.25">
      <c r="A10">
        <v>19.6509</v>
      </c>
      <c r="B10">
        <f t="shared" si="0"/>
        <v>1965.09</v>
      </c>
      <c r="C10">
        <v>77.984300000000005</v>
      </c>
      <c r="D10">
        <f>C10/'Isotherm List'!$C$3*10</f>
        <v>17.72007998363971</v>
      </c>
      <c r="E10">
        <f>D10*'Isotherm List'!$G$4/'Isotherm List'!$H$16</f>
        <v>20.041240620474301</v>
      </c>
      <c r="H10">
        <f t="shared" si="18"/>
        <v>1965.09</v>
      </c>
      <c r="I10">
        <f t="shared" si="1"/>
        <v>17.72007998363971</v>
      </c>
      <c r="J10">
        <f t="shared" si="2"/>
        <v>20.041240620474301</v>
      </c>
      <c r="K10">
        <f t="shared" si="3"/>
        <v>17.288405109818843</v>
      </c>
      <c r="L10">
        <f t="shared" si="4"/>
        <v>7.5781033487256986</v>
      </c>
      <c r="N10">
        <v>300</v>
      </c>
      <c r="O10">
        <f t="shared" si="5"/>
        <v>3.7921711930559394</v>
      </c>
      <c r="R10">
        <f t="shared" si="6"/>
        <v>19.6509</v>
      </c>
      <c r="S10">
        <f t="shared" si="7"/>
        <v>17.72007998363971</v>
      </c>
      <c r="T10">
        <f t="shared" si="8"/>
        <v>20.041240620474301</v>
      </c>
      <c r="U10">
        <f t="shared" si="9"/>
        <v>19.876950132644609</v>
      </c>
      <c r="V10">
        <f t="shared" si="10"/>
        <v>2.6991364391318329E-2</v>
      </c>
      <c r="X10">
        <v>300</v>
      </c>
      <c r="Y10">
        <f t="shared" si="11"/>
        <v>2.1707336615689532</v>
      </c>
      <c r="Z10">
        <f t="shared" si="15"/>
        <v>1486.28</v>
      </c>
      <c r="AA10">
        <f t="shared" si="12"/>
        <v>14.8628</v>
      </c>
      <c r="AB10">
        <f t="shared" si="13"/>
        <v>14.174009861619215</v>
      </c>
      <c r="AC10">
        <f t="shared" si="14"/>
        <v>16.030669300361669</v>
      </c>
      <c r="AD10">
        <f t="shared" si="19"/>
        <v>15.835426098197187</v>
      </c>
      <c r="AE10">
        <f t="shared" si="16"/>
        <v>3.8119907991440827E-2</v>
      </c>
      <c r="AG10">
        <v>200</v>
      </c>
      <c r="AH10">
        <f t="shared" si="17"/>
        <v>1.3494055211360256</v>
      </c>
    </row>
    <row r="11" spans="1:35" x14ac:dyDescent="0.25">
      <c r="A11">
        <v>24.9377</v>
      </c>
      <c r="B11">
        <f t="shared" si="0"/>
        <v>2493.77</v>
      </c>
      <c r="C11">
        <v>85.186999999999998</v>
      </c>
      <c r="D11">
        <f>C11/'Isotherm List'!$C$3*10</f>
        <v>19.35672248858188</v>
      </c>
      <c r="E11">
        <f>D11*'Isotherm List'!$G$4/'Isotherm List'!$H$16</f>
        <v>21.892267606894521</v>
      </c>
      <c r="H11">
        <f t="shared" si="18"/>
        <v>2493.77</v>
      </c>
      <c r="I11">
        <f t="shared" si="1"/>
        <v>19.35672248858188</v>
      </c>
      <c r="J11">
        <f t="shared" si="2"/>
        <v>21.892267606894521</v>
      </c>
      <c r="K11">
        <f t="shared" si="3"/>
        <v>20.134083539394389</v>
      </c>
      <c r="L11">
        <f t="shared" si="4"/>
        <v>3.0912112152113074</v>
      </c>
      <c r="N11">
        <v>400</v>
      </c>
      <c r="O11">
        <f t="shared" si="5"/>
        <v>4.9124005321461359</v>
      </c>
      <c r="R11">
        <f t="shared" si="6"/>
        <v>24.9377</v>
      </c>
      <c r="S11">
        <f t="shared" si="7"/>
        <v>19.35672248858188</v>
      </c>
      <c r="T11">
        <f t="shared" si="8"/>
        <v>21.892267606894521</v>
      </c>
      <c r="U11">
        <f t="shared" si="9"/>
        <v>22.268445621472353</v>
      </c>
      <c r="V11">
        <f t="shared" si="10"/>
        <v>0.1415098986517194</v>
      </c>
      <c r="X11">
        <v>400</v>
      </c>
      <c r="Y11">
        <f t="shared" si="11"/>
        <v>3.0708394474556751</v>
      </c>
      <c r="Z11">
        <f t="shared" si="15"/>
        <v>1965.09</v>
      </c>
      <c r="AA11">
        <f t="shared" si="12"/>
        <v>19.6509</v>
      </c>
      <c r="AB11">
        <f t="shared" si="13"/>
        <v>17.72007998363971</v>
      </c>
      <c r="AC11">
        <f t="shared" si="14"/>
        <v>20.041240620474301</v>
      </c>
      <c r="AD11">
        <f t="shared" si="19"/>
        <v>19.890720562950804</v>
      </c>
      <c r="AE11">
        <f t="shared" si="16"/>
        <v>2.2656287716876933E-2</v>
      </c>
      <c r="AG11">
        <v>300</v>
      </c>
      <c r="AH11">
        <f t="shared" si="17"/>
        <v>2.1565634759207799</v>
      </c>
    </row>
    <row r="12" spans="1:35" x14ac:dyDescent="0.25">
      <c r="A12">
        <v>30.124700000000001</v>
      </c>
      <c r="B12">
        <f t="shared" si="0"/>
        <v>3012.4700000000003</v>
      </c>
      <c r="C12">
        <v>90.286600000000007</v>
      </c>
      <c r="D12">
        <f>C12/'Isotherm List'!$C$3*10</f>
        <v>20.515485468881366</v>
      </c>
      <c r="E12">
        <f>D12*'Isotherm List'!$G$4/'Isotherm List'!$H$16</f>
        <v>23.202817431258797</v>
      </c>
      <c r="H12">
        <f t="shared" si="18"/>
        <v>3012.4700000000003</v>
      </c>
      <c r="I12">
        <f t="shared" si="1"/>
        <v>20.515485468881366</v>
      </c>
      <c r="J12">
        <f t="shared" si="2"/>
        <v>23.202817431258797</v>
      </c>
      <c r="K12">
        <f t="shared" si="3"/>
        <v>22.532302982391915</v>
      </c>
      <c r="L12">
        <f t="shared" si="4"/>
        <v>0.44958962613925874</v>
      </c>
      <c r="N12">
        <v>500</v>
      </c>
      <c r="O12">
        <f t="shared" si="5"/>
        <v>5.9752599415703695</v>
      </c>
      <c r="R12">
        <f t="shared" si="6"/>
        <v>30.124700000000001</v>
      </c>
      <c r="S12">
        <f t="shared" si="7"/>
        <v>20.515485468881366</v>
      </c>
      <c r="T12">
        <f t="shared" si="8"/>
        <v>23.202817431258797</v>
      </c>
      <c r="U12">
        <f t="shared" si="9"/>
        <v>23.29570808002082</v>
      </c>
      <c r="V12">
        <f t="shared" si="10"/>
        <v>8.6286726274294265E-3</v>
      </c>
      <c r="X12">
        <v>500</v>
      </c>
      <c r="Y12">
        <f t="shared" si="11"/>
        <v>4.0583999825689547</v>
      </c>
      <c r="Z12">
        <f t="shared" si="15"/>
        <v>2493.77</v>
      </c>
      <c r="AA12">
        <f t="shared" si="12"/>
        <v>24.9377</v>
      </c>
      <c r="AB12">
        <f t="shared" si="13"/>
        <v>19.35672248858188</v>
      </c>
      <c r="AC12">
        <f t="shared" si="14"/>
        <v>21.892267606894521</v>
      </c>
      <c r="AD12">
        <f t="shared" si="19"/>
        <v>22.245144388651198</v>
      </c>
      <c r="AE12">
        <f t="shared" si="16"/>
        <v>0.1245220231029497</v>
      </c>
      <c r="AG12">
        <v>400</v>
      </c>
      <c r="AH12">
        <f t="shared" si="17"/>
        <v>3.054671654315571</v>
      </c>
    </row>
    <row r="13" spans="1:35" x14ac:dyDescent="0.25">
      <c r="A13">
        <v>40</v>
      </c>
      <c r="B13">
        <f t="shared" si="0"/>
        <v>4000</v>
      </c>
      <c r="C13">
        <v>93.333299999999994</v>
      </c>
      <c r="D13">
        <f>C13/'Isotherm List'!$C$3*10</f>
        <v>21.207775682246812</v>
      </c>
      <c r="E13">
        <f>D13*'Isotherm List'!$G$4/'Isotherm List'!$H$16</f>
        <v>23.985791027205661</v>
      </c>
      <c r="H13">
        <f t="shared" si="18"/>
        <v>4000</v>
      </c>
      <c r="I13">
        <f t="shared" si="1"/>
        <v>21.207775682246812</v>
      </c>
      <c r="J13">
        <f t="shared" si="2"/>
        <v>23.985791027205661</v>
      </c>
      <c r="K13">
        <f t="shared" si="3"/>
        <v>26.297225111526544</v>
      </c>
      <c r="L13">
        <f t="shared" si="4"/>
        <v>5.3427275261603189</v>
      </c>
      <c r="N13">
        <v>600</v>
      </c>
      <c r="O13">
        <f t="shared" si="5"/>
        <v>6.9863894755949909</v>
      </c>
      <c r="R13">
        <f t="shared" si="6"/>
        <v>40</v>
      </c>
      <c r="S13">
        <f t="shared" si="7"/>
        <v>21.207775682246812</v>
      </c>
      <c r="T13">
        <f t="shared" si="8"/>
        <v>23.985791027205661</v>
      </c>
      <c r="U13">
        <f t="shared" si="9"/>
        <v>23.870395584837841</v>
      </c>
      <c r="V13">
        <f t="shared" si="10"/>
        <v>1.3316108119264883E-2</v>
      </c>
      <c r="X13">
        <v>600</v>
      </c>
      <c r="Y13">
        <f t="shared" si="11"/>
        <v>5.1278889950572797</v>
      </c>
      <c r="Z13">
        <f t="shared" si="15"/>
        <v>3012.4700000000003</v>
      </c>
      <c r="AA13">
        <f t="shared" si="12"/>
        <v>30.124700000000001</v>
      </c>
      <c r="AB13">
        <f t="shared" si="13"/>
        <v>20.515485468881366</v>
      </c>
      <c r="AC13">
        <f t="shared" si="14"/>
        <v>23.202817431258797</v>
      </c>
      <c r="AD13">
        <f t="shared" si="19"/>
        <v>23.242968066231224</v>
      </c>
      <c r="AE13">
        <f t="shared" si="16"/>
        <v>1.6120734886890952E-3</v>
      </c>
      <c r="AG13">
        <v>500</v>
      </c>
      <c r="AH13">
        <f t="shared" si="17"/>
        <v>4.0419863115574088</v>
      </c>
    </row>
    <row r="14" spans="1:35" x14ac:dyDescent="0.25">
      <c r="N14">
        <v>700</v>
      </c>
      <c r="O14">
        <f t="shared" si="5"/>
        <v>7.9504590425760098</v>
      </c>
      <c r="X14">
        <v>700</v>
      </c>
      <c r="Y14">
        <f t="shared" si="11"/>
        <v>6.269886868314166</v>
      </c>
      <c r="Z14">
        <f t="shared" si="15"/>
        <v>4000</v>
      </c>
      <c r="AA14">
        <f t="shared" si="12"/>
        <v>40</v>
      </c>
      <c r="AB14">
        <f t="shared" si="13"/>
        <v>21.207775682246812</v>
      </c>
      <c r="AC14">
        <f t="shared" si="14"/>
        <v>23.985791027205661</v>
      </c>
      <c r="AD14">
        <f t="shared" si="19"/>
        <v>23.792387348523988</v>
      </c>
      <c r="AE14">
        <f t="shared" si="16"/>
        <v>3.7404982927603671E-2</v>
      </c>
      <c r="AG14">
        <v>600</v>
      </c>
      <c r="AH14">
        <f t="shared" si="17"/>
        <v>5.1130664836643032</v>
      </c>
    </row>
    <row r="15" spans="1:35" x14ac:dyDescent="0.25">
      <c r="N15">
        <v>800</v>
      </c>
      <c r="O15">
        <f t="shared" si="5"/>
        <v>8.8714309765215056</v>
      </c>
      <c r="X15">
        <v>800</v>
      </c>
      <c r="Y15">
        <f t="shared" si="11"/>
        <v>7.471095850447707</v>
      </c>
      <c r="AG15">
        <v>700</v>
      </c>
      <c r="AH15">
        <f t="shared" si="17"/>
        <v>6.2584280374449319</v>
      </c>
    </row>
    <row r="16" spans="1:35" x14ac:dyDescent="0.25">
      <c r="N16">
        <v>900</v>
      </c>
      <c r="O16">
        <f t="shared" si="5"/>
        <v>9.7527249383148522</v>
      </c>
      <c r="X16">
        <v>900</v>
      </c>
      <c r="Y16">
        <f>($T$13*(1-EXP(-($X$2+$Y$2)*(X16/100)))/(1+$Y$2/$X$2*EXP(-($X$2+$Y$2)*(X16/100))))</f>
        <v>8.7147509496389937</v>
      </c>
      <c r="AG16">
        <v>800</v>
      </c>
      <c r="AH16">
        <f t="shared" si="17"/>
        <v>7.4645399455241552</v>
      </c>
    </row>
    <row r="17" spans="14:34" x14ac:dyDescent="0.25">
      <c r="N17">
        <v>1000</v>
      </c>
      <c r="O17">
        <f t="shared" si="5"/>
        <v>10.597329813828843</v>
      </c>
      <c r="X17">
        <v>1000</v>
      </c>
      <c r="Y17">
        <f t="shared" si="11"/>
        <v>9.9814358638592591</v>
      </c>
      <c r="AG17">
        <v>900</v>
      </c>
      <c r="AH17">
        <f t="shared" si="17"/>
        <v>8.7142399312651406</v>
      </c>
    </row>
    <row r="18" spans="14:34" x14ac:dyDescent="0.25">
      <c r="N18">
        <v>1500</v>
      </c>
      <c r="O18">
        <f t="shared" si="5"/>
        <v>14.353075916928935</v>
      </c>
      <c r="X18">
        <v>1500</v>
      </c>
      <c r="Y18">
        <f t="shared" si="11"/>
        <v>15.951049912695494</v>
      </c>
      <c r="AG18">
        <v>1000</v>
      </c>
      <c r="AH18">
        <f t="shared" si="17"/>
        <v>9.9875824782681946</v>
      </c>
    </row>
    <row r="19" spans="14:34" x14ac:dyDescent="0.25">
      <c r="N19">
        <v>2000</v>
      </c>
      <c r="O19">
        <f t="shared" si="5"/>
        <v>17.490993718225845</v>
      </c>
      <c r="X19">
        <v>2000</v>
      </c>
      <c r="Y19">
        <f t="shared" si="11"/>
        <v>20.095863915793846</v>
      </c>
      <c r="AG19">
        <v>1500</v>
      </c>
      <c r="AH19">
        <f t="shared" si="17"/>
        <v>15.979801321251154</v>
      </c>
    </row>
    <row r="20" spans="14:34" x14ac:dyDescent="0.25">
      <c r="N20">
        <v>3000</v>
      </c>
      <c r="O20">
        <f t="shared" si="5"/>
        <v>22.478532496426112</v>
      </c>
      <c r="X20">
        <v>3000</v>
      </c>
      <c r="Y20">
        <f t="shared" si="11"/>
        <v>23.28016442901367</v>
      </c>
      <c r="AG20">
        <v>2000</v>
      </c>
      <c r="AH20">
        <f t="shared" si="17"/>
        <v>20.107431047474712</v>
      </c>
    </row>
    <row r="21" spans="14:34" x14ac:dyDescent="0.25">
      <c r="N21">
        <v>4000</v>
      </c>
      <c r="O21">
        <f t="shared" si="5"/>
        <v>26.297225111526544</v>
      </c>
      <c r="X21">
        <v>4000</v>
      </c>
      <c r="Y21">
        <f t="shared" si="11"/>
        <v>23.870395584837841</v>
      </c>
      <c r="AG21">
        <v>3000</v>
      </c>
      <c r="AH21">
        <f t="shared" si="17"/>
        <v>23.22797949477658</v>
      </c>
    </row>
    <row r="22" spans="14:34" x14ac:dyDescent="0.25">
      <c r="N22">
        <v>5000</v>
      </c>
      <c r="X22">
        <v>5000</v>
      </c>
      <c r="AG22">
        <v>4000</v>
      </c>
      <c r="AH22">
        <f t="shared" si="17"/>
        <v>23.792387348523988</v>
      </c>
    </row>
    <row r="23" spans="14:34" x14ac:dyDescent="0.25">
      <c r="AG23">
        <v>5000</v>
      </c>
    </row>
    <row r="24" spans="14:34" x14ac:dyDescent="0.25">
      <c r="P24" s="1"/>
    </row>
    <row r="47" spans="8:19" x14ac:dyDescent="0.25">
      <c r="H47" s="41"/>
      <c r="L47" s="1"/>
      <c r="N47" s="1"/>
      <c r="O47" s="1"/>
      <c r="P47" s="1"/>
      <c r="Q47" s="1"/>
      <c r="R47" s="1"/>
      <c r="S47" s="1"/>
    </row>
    <row r="49" spans="8:15" x14ac:dyDescent="0.25">
      <c r="H49" s="1"/>
      <c r="I49" s="1"/>
      <c r="J49" s="1"/>
      <c r="K49" s="1"/>
      <c r="L49" s="1"/>
      <c r="M49" s="1"/>
      <c r="N49" s="9"/>
      <c r="O49" s="10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A5BB-BD7F-48B3-8C2B-720638DE3A4D}">
  <dimension ref="A1:AI23"/>
  <sheetViews>
    <sheetView topLeftCell="J1" zoomScale="80" zoomScaleNormal="80" workbookViewId="0">
      <selection activeCell="AH35" sqref="AH35"/>
    </sheetView>
  </sheetViews>
  <sheetFormatPr defaultRowHeight="15" x14ac:dyDescent="0.25"/>
  <cols>
    <col min="4" max="4" width="12.42578125" customWidth="1"/>
    <col min="5" max="5" width="19.140625" customWidth="1"/>
    <col min="8" max="8" width="9.140625" customWidth="1"/>
    <col min="9" max="9" width="13.28515625" customWidth="1"/>
    <col min="10" max="10" width="19.28515625" customWidth="1"/>
    <col min="11" max="11" width="10.7109375" customWidth="1"/>
    <col min="15" max="15" width="24.28515625" customWidth="1"/>
    <col min="18" max="18" width="15.5703125" customWidth="1"/>
    <col min="25" max="25" width="24.5703125" customWidth="1"/>
    <col min="27" max="27" width="20.42578125" customWidth="1"/>
    <col min="28" max="28" width="13.85546875" customWidth="1"/>
    <col min="29" max="29" width="20" customWidth="1"/>
    <col min="30" max="30" width="18.42578125" customWidth="1"/>
    <col min="34" max="34" width="27" customWidth="1"/>
  </cols>
  <sheetData>
    <row r="1" spans="1:35" x14ac:dyDescent="0.25">
      <c r="L1" s="1" t="s">
        <v>25</v>
      </c>
      <c r="N1" s="1" t="s">
        <v>26</v>
      </c>
      <c r="O1" s="1" t="s">
        <v>27</v>
      </c>
      <c r="P1" s="1" t="s">
        <v>28</v>
      </c>
      <c r="R1" s="41" t="s">
        <v>169</v>
      </c>
      <c r="V1" s="1" t="s">
        <v>25</v>
      </c>
      <c r="X1" s="1" t="s">
        <v>170</v>
      </c>
      <c r="Y1" s="1" t="s">
        <v>171</v>
      </c>
      <c r="AA1" s="41" t="s">
        <v>180</v>
      </c>
      <c r="AE1" s="1" t="s">
        <v>25</v>
      </c>
      <c r="AG1" s="1" t="s">
        <v>170</v>
      </c>
      <c r="AH1" s="1" t="s">
        <v>171</v>
      </c>
      <c r="AI1" s="1" t="s">
        <v>178</v>
      </c>
    </row>
    <row r="2" spans="1:35" x14ac:dyDescent="0.25">
      <c r="L2">
        <f>SUM(L4:L13)</f>
        <v>11.220816789980919</v>
      </c>
      <c r="N2">
        <v>23.935152230978062</v>
      </c>
      <c r="O2">
        <v>1.796491150954703E-8</v>
      </c>
      <c r="P2">
        <v>2.3682072878334788</v>
      </c>
      <c r="V2">
        <f>SUM(V4:V13)</f>
        <v>0.32890823542157738</v>
      </c>
      <c r="X2">
        <v>3.4581497133518962E-2</v>
      </c>
      <c r="Y2">
        <v>0.17892456368331805</v>
      </c>
      <c r="AE2">
        <f>SUM(AE4:AE13)</f>
        <v>0.3261130350431114</v>
      </c>
      <c r="AG2">
        <v>3.4553353790677539E-2</v>
      </c>
      <c r="AH2">
        <v>0.17923742497663758</v>
      </c>
      <c r="AI2">
        <v>20.381510027403863</v>
      </c>
    </row>
    <row r="3" spans="1:35" x14ac:dyDescent="0.25">
      <c r="A3" t="s">
        <v>41</v>
      </c>
      <c r="B3" t="s">
        <v>31</v>
      </c>
      <c r="C3" t="s">
        <v>55</v>
      </c>
      <c r="D3" t="s">
        <v>43</v>
      </c>
      <c r="E3" s="1" t="s">
        <v>80</v>
      </c>
      <c r="H3" s="1" t="s">
        <v>31</v>
      </c>
      <c r="I3" s="1" t="s">
        <v>43</v>
      </c>
      <c r="J3" s="1" t="s">
        <v>80</v>
      </c>
      <c r="K3" s="1" t="s">
        <v>29</v>
      </c>
      <c r="L3" s="1" t="s">
        <v>30</v>
      </c>
      <c r="M3" s="1"/>
      <c r="N3" s="9" t="s">
        <v>31</v>
      </c>
      <c r="O3" s="10" t="s">
        <v>32</v>
      </c>
      <c r="R3" s="1" t="s">
        <v>41</v>
      </c>
      <c r="S3" s="1" t="s">
        <v>43</v>
      </c>
      <c r="T3" s="1" t="s">
        <v>80</v>
      </c>
      <c r="U3" s="1" t="s">
        <v>172</v>
      </c>
      <c r="V3" s="1" t="s">
        <v>30</v>
      </c>
      <c r="W3" s="1"/>
      <c r="X3" s="9" t="s">
        <v>31</v>
      </c>
      <c r="Y3" s="10" t="s">
        <v>173</v>
      </c>
      <c r="Z3" s="1" t="s">
        <v>31</v>
      </c>
      <c r="AA3" s="1" t="s">
        <v>41</v>
      </c>
      <c r="AB3" s="1" t="s">
        <v>43</v>
      </c>
      <c r="AC3" s="1" t="s">
        <v>80</v>
      </c>
      <c r="AD3" s="1" t="s">
        <v>172</v>
      </c>
      <c r="AE3" s="1" t="s">
        <v>30</v>
      </c>
      <c r="AF3" s="1"/>
      <c r="AG3" s="9" t="s">
        <v>31</v>
      </c>
      <c r="AH3" s="10" t="s">
        <v>173</v>
      </c>
    </row>
    <row r="4" spans="1:35" x14ac:dyDescent="0.25">
      <c r="A4">
        <v>7.3003600000000002E-2</v>
      </c>
      <c r="B4">
        <f>A4*100</f>
        <v>7.3003600000000004</v>
      </c>
      <c r="C4">
        <v>0</v>
      </c>
      <c r="D4">
        <f>C4/'Isotherm List'!$C$3</f>
        <v>0</v>
      </c>
      <c r="E4">
        <f>D4*'Isotherm List'!$G$4/'Isotherm List'!$H$17</f>
        <v>0</v>
      </c>
      <c r="H4">
        <f>B4</f>
        <v>7.3003600000000004</v>
      </c>
      <c r="I4">
        <f>D4</f>
        <v>0</v>
      </c>
      <c r="J4">
        <f>E4</f>
        <v>0</v>
      </c>
      <c r="K4">
        <f>($N$2*H4)/(((1/$O$2)+H4^$P$2)^(1/$P$2))</f>
        <v>9.3698158414072988E-2</v>
      </c>
      <c r="L4">
        <f>(K4-J4)^2</f>
        <v>8.7793448901887158E-3</v>
      </c>
      <c r="N4">
        <v>10</v>
      </c>
      <c r="O4">
        <f>($N$2*N4)/(((1/$O$2)+N4^$P$2)^(1/$P$2))</f>
        <v>0.12834719279435403</v>
      </c>
      <c r="R4">
        <f t="shared" ref="R4:R13" si="0">A4</f>
        <v>7.3003600000000002E-2</v>
      </c>
      <c r="S4">
        <f t="shared" ref="S4:S13" si="1">D4</f>
        <v>0</v>
      </c>
      <c r="T4">
        <f t="shared" ref="T4:T13" si="2">E4</f>
        <v>0</v>
      </c>
      <c r="U4">
        <f t="shared" ref="U4:U13" si="3">($T$13*(1-EXP(-($X$2+$Y$2)*R4))/(1+$Y$2/$X$2*EXP(-($X$2+$Y$2)*R4)))</f>
        <v>5.1746875644767487E-2</v>
      </c>
      <c r="V4">
        <f>(U4-T4)^2</f>
        <v>2.6777391389950305E-3</v>
      </c>
      <c r="X4">
        <v>10</v>
      </c>
      <c r="Y4">
        <f>($T$13*(1-EXP(-($X$2+$Y$2)*(X4/100)))/(1+$Y$2/$X$2*EXP(-($X$2+$Y$2)*(X4/100))))</f>
        <v>7.1020473132305223E-2</v>
      </c>
      <c r="Z4">
        <v>0</v>
      </c>
      <c r="AA4">
        <v>0</v>
      </c>
      <c r="AB4">
        <f>D4</f>
        <v>0</v>
      </c>
      <c r="AC4">
        <f>E4</f>
        <v>0</v>
      </c>
      <c r="AD4">
        <f>($AI$2*(1-EXP(-($AG$2+$AH$2)*AA4))/(1+$AH$2/$AG$2*EXP(-($AG$2+$AH$2)*AA4)))</f>
        <v>0</v>
      </c>
      <c r="AE4">
        <f>(AD4-AC4)^2</f>
        <v>0</v>
      </c>
      <c r="AG4">
        <v>0</v>
      </c>
      <c r="AH4">
        <v>0</v>
      </c>
    </row>
    <row r="5" spans="1:35" x14ac:dyDescent="0.25">
      <c r="A5">
        <v>1.99569</v>
      </c>
      <c r="B5">
        <f t="shared" ref="B5:B13" si="4">A5*100</f>
        <v>199.56899999999999</v>
      </c>
      <c r="C5">
        <v>84.897599999999997</v>
      </c>
      <c r="D5">
        <f>C5/'Isotherm List'!$C$3</f>
        <v>1.9290963212070258</v>
      </c>
      <c r="E5">
        <f>D5*'Isotherm List'!$G$4/'Isotherm List'!$H$17</f>
        <v>2.0693942354766275</v>
      </c>
      <c r="H5">
        <f t="shared" ref="H5:H13" si="5">B5</f>
        <v>199.56899999999999</v>
      </c>
      <c r="I5">
        <f t="shared" ref="I5:I12" si="6">D5</f>
        <v>1.9290963212070258</v>
      </c>
      <c r="J5">
        <f t="shared" ref="J5:J13" si="7">E5</f>
        <v>2.0693942354766275</v>
      </c>
      <c r="K5">
        <f t="shared" ref="K5:K13" si="8">($N$2*H5)/(((1/$O$2)+H5^$P$2)^(1/$P$2))</f>
        <v>2.5559962072019635</v>
      </c>
      <c r="L5">
        <f t="shared" ref="L5:L13" si="9">(K5-J5)^2</f>
        <v>0.23678147888698473</v>
      </c>
      <c r="N5">
        <v>30</v>
      </c>
      <c r="O5">
        <f t="shared" ref="O5:O20" si="10">($N$2*N5)/(((1/$O$2)+N5^$P$2)^(1/$P$2))</f>
        <v>0.38503306371716178</v>
      </c>
      <c r="R5">
        <f t="shared" si="0"/>
        <v>1.99569</v>
      </c>
      <c r="S5">
        <f t="shared" si="1"/>
        <v>1.9290963212070258</v>
      </c>
      <c r="T5">
        <f t="shared" si="2"/>
        <v>2.0693942354766275</v>
      </c>
      <c r="U5">
        <f t="shared" si="3"/>
        <v>1.6154870247927096</v>
      </c>
      <c r="V5">
        <f t="shared" ref="V5:V13" si="11">(U5-T5)^2</f>
        <v>0.20603175591085465</v>
      </c>
      <c r="X5">
        <v>30</v>
      </c>
      <c r="Y5">
        <f t="shared" ref="Y5:Y21" si="12">($T$13*(1-EXP(-($X$2+$Y$2)*(X5/100)))/(1+$Y$2/$X$2*EXP(-($X$2+$Y$2)*(X5/100))))</f>
        <v>0.21613762167546116</v>
      </c>
      <c r="Z5">
        <f>B5</f>
        <v>199.56899999999999</v>
      </c>
      <c r="AA5">
        <f t="shared" ref="AA5:AA13" si="13">A5</f>
        <v>1.99569</v>
      </c>
      <c r="AB5">
        <f t="shared" ref="AB5:AC13" si="14">D5</f>
        <v>1.9290963212070258</v>
      </c>
      <c r="AC5">
        <f t="shared" si="14"/>
        <v>2.0693942354766275</v>
      </c>
      <c r="AD5">
        <f>($AI$2*(1-EXP(-($AG$2+$AH$2)*AA5))/(1+$AH$2/$AG$2*EXP(-($AG$2+$AH$2)*AA5)))</f>
        <v>1.6140807704515632</v>
      </c>
      <c r="AE5">
        <f t="shared" ref="AE5:AE13" si="15">(AD5-AC5)^2</f>
        <v>0.20731035143313045</v>
      </c>
      <c r="AG5">
        <v>10</v>
      </c>
      <c r="AH5">
        <f>($AI$2*(1-EXP(-($AG$2+$AH$2)*(AG5/100)))/(1+$AH$2/$AG$2*EXP(-($AG$2+$AH$2)*(AG5/100))))</f>
        <v>7.0935412066542511E-2</v>
      </c>
    </row>
    <row r="6" spans="1:35" x14ac:dyDescent="0.25">
      <c r="A6">
        <v>5.0545200000000001</v>
      </c>
      <c r="B6">
        <f t="shared" si="4"/>
        <v>505.452</v>
      </c>
      <c r="C6">
        <v>196.32599999999999</v>
      </c>
      <c r="D6">
        <f>C6/'Isotherm List'!$C$3</f>
        <v>4.4610420595787224</v>
      </c>
      <c r="E6">
        <f>D6*'Isotherm List'!$G$4/'Isotherm List'!$H$17</f>
        <v>4.7854814820935374</v>
      </c>
      <c r="H6">
        <f t="shared" si="5"/>
        <v>505.452</v>
      </c>
      <c r="I6">
        <f t="shared" si="6"/>
        <v>4.4610420595787224</v>
      </c>
      <c r="J6">
        <f t="shared" si="7"/>
        <v>4.7854814820935374</v>
      </c>
      <c r="K6">
        <f t="shared" si="8"/>
        <v>6.3667875602723383</v>
      </c>
      <c r="L6">
        <f t="shared" si="9"/>
        <v>2.5005289128852199</v>
      </c>
      <c r="N6">
        <v>50</v>
      </c>
      <c r="O6">
        <f t="shared" si="10"/>
        <v>0.64168571774839411</v>
      </c>
      <c r="R6">
        <f t="shared" si="0"/>
        <v>5.0545200000000001</v>
      </c>
      <c r="S6">
        <f t="shared" si="1"/>
        <v>4.4610420595787224</v>
      </c>
      <c r="T6">
        <f t="shared" si="2"/>
        <v>4.7854814820935374</v>
      </c>
      <c r="U6">
        <f t="shared" si="3"/>
        <v>4.8793115907835167</v>
      </c>
      <c r="V6">
        <f t="shared" si="11"/>
        <v>8.8040892967733327E-3</v>
      </c>
      <c r="X6">
        <v>50</v>
      </c>
      <c r="Y6">
        <f t="shared" si="12"/>
        <v>0.36539151920170443</v>
      </c>
      <c r="Z6">
        <f t="shared" ref="Z6:Z13" si="16">B6</f>
        <v>505.452</v>
      </c>
      <c r="AA6">
        <f t="shared" si="13"/>
        <v>5.0545200000000001</v>
      </c>
      <c r="AB6">
        <f t="shared" si="14"/>
        <v>4.4610420595787224</v>
      </c>
      <c r="AC6">
        <f t="shared" si="14"/>
        <v>4.7854814820935374</v>
      </c>
      <c r="AD6">
        <f t="shared" ref="AD6:AD13" si="17">($AI$2*(1-EXP(-($AG$2+$AH$2)*AA6))/(1+$AH$2/$AG$2*EXP(-($AG$2+$AH$2)*AA6)))</f>
        <v>4.8774741925968792</v>
      </c>
      <c r="AE6">
        <f t="shared" si="15"/>
        <v>8.4626587857516509E-3</v>
      </c>
      <c r="AG6">
        <v>30</v>
      </c>
      <c r="AH6">
        <f t="shared" ref="AH6:AH22" si="18">($AI$2*(1-EXP(-($AG$2+$AH$2)*(AG6/100)))/(1+$AH$2/$AG$2*EXP(-($AG$2+$AH$2)*(AG6/100))))</f>
        <v>0.2158861506840053</v>
      </c>
    </row>
    <row r="7" spans="1:35" x14ac:dyDescent="0.25">
      <c r="A7">
        <v>7.9385500000000002</v>
      </c>
      <c r="B7">
        <f t="shared" si="4"/>
        <v>793.85500000000002</v>
      </c>
      <c r="C7">
        <v>342.71300000000002</v>
      </c>
      <c r="D7">
        <f>C7/'Isotherm List'!$C$3</f>
        <v>7.7873389533958965</v>
      </c>
      <c r="E7">
        <f>D7*'Isotherm List'!$G$4/'Isotherm List'!$H$17</f>
        <v>8.3536908772792344</v>
      </c>
      <c r="H7">
        <f t="shared" si="5"/>
        <v>793.85500000000002</v>
      </c>
      <c r="I7">
        <f t="shared" si="6"/>
        <v>7.7873389533958965</v>
      </c>
      <c r="J7">
        <f t="shared" si="7"/>
        <v>8.3536908772792344</v>
      </c>
      <c r="K7">
        <f t="shared" si="8"/>
        <v>9.668072239855416</v>
      </c>
      <c r="L7">
        <f t="shared" si="9"/>
        <v>1.7275983662876195</v>
      </c>
      <c r="N7">
        <v>70</v>
      </c>
      <c r="O7">
        <f t="shared" si="10"/>
        <v>0.8982723765283378</v>
      </c>
      <c r="R7">
        <f t="shared" si="0"/>
        <v>7.9385500000000002</v>
      </c>
      <c r="S7">
        <f t="shared" si="1"/>
        <v>7.7873389533958965</v>
      </c>
      <c r="T7">
        <f t="shared" si="2"/>
        <v>8.3536908772792344</v>
      </c>
      <c r="U7">
        <f t="shared" si="3"/>
        <v>8.5363122921519192</v>
      </c>
      <c r="V7">
        <f t="shared" si="11"/>
        <v>3.3350581170101257E-2</v>
      </c>
      <c r="X7">
        <v>70</v>
      </c>
      <c r="Y7">
        <f t="shared" si="12"/>
        <v>0.5188196841908953</v>
      </c>
      <c r="Z7">
        <f t="shared" si="16"/>
        <v>793.85500000000002</v>
      </c>
      <c r="AA7">
        <f t="shared" si="13"/>
        <v>7.9385500000000002</v>
      </c>
      <c r="AB7">
        <f t="shared" si="14"/>
        <v>7.7873389533958965</v>
      </c>
      <c r="AC7">
        <f t="shared" si="14"/>
        <v>8.3536908772792344</v>
      </c>
      <c r="AD7">
        <f t="shared" si="17"/>
        <v>8.5359681847001667</v>
      </c>
      <c r="AE7">
        <f t="shared" si="15"/>
        <v>3.3225016800625055E-2</v>
      </c>
      <c r="AG7">
        <v>50</v>
      </c>
      <c r="AH7">
        <f t="shared" si="18"/>
        <v>0.36497894986498808</v>
      </c>
    </row>
    <row r="8" spans="1:35" x14ac:dyDescent="0.25">
      <c r="A8">
        <v>10.1234</v>
      </c>
      <c r="B8">
        <f t="shared" si="4"/>
        <v>1012.34</v>
      </c>
      <c r="C8">
        <v>460.69600000000003</v>
      </c>
      <c r="D8">
        <f>C8/'Isotherm List'!$C$3</f>
        <v>10.468222409052695</v>
      </c>
      <c r="E8">
        <f>D8*'Isotherm List'!$G$4/'Isotherm List'!$H$17</f>
        <v>11.229547675165618</v>
      </c>
      <c r="H8">
        <f t="shared" si="5"/>
        <v>1012.34</v>
      </c>
      <c r="I8">
        <f t="shared" si="6"/>
        <v>10.468222409052695</v>
      </c>
      <c r="J8">
        <f t="shared" si="7"/>
        <v>11.229547675165618</v>
      </c>
      <c r="K8">
        <f t="shared" si="8"/>
        <v>11.883887704413883</v>
      </c>
      <c r="L8">
        <f t="shared" si="9"/>
        <v>0.42816087387662094</v>
      </c>
      <c r="N8">
        <v>100</v>
      </c>
      <c r="O8">
        <f t="shared" si="10"/>
        <v>1.2829439214511882</v>
      </c>
      <c r="R8">
        <f t="shared" si="0"/>
        <v>10.1234</v>
      </c>
      <c r="S8">
        <f t="shared" si="1"/>
        <v>10.468222409052695</v>
      </c>
      <c r="T8">
        <f t="shared" si="2"/>
        <v>11.229547675165618</v>
      </c>
      <c r="U8">
        <f t="shared" si="3"/>
        <v>11.305275350915961</v>
      </c>
      <c r="V8">
        <f t="shared" si="11"/>
        <v>5.7346808745491386E-3</v>
      </c>
      <c r="X8">
        <v>100</v>
      </c>
      <c r="Y8">
        <f t="shared" si="12"/>
        <v>0.75685664075056769</v>
      </c>
      <c r="Z8">
        <f t="shared" si="16"/>
        <v>1012.34</v>
      </c>
      <c r="AA8">
        <f t="shared" si="13"/>
        <v>10.1234</v>
      </c>
      <c r="AB8">
        <f t="shared" si="14"/>
        <v>10.468222409052695</v>
      </c>
      <c r="AC8">
        <f t="shared" si="14"/>
        <v>11.229547675165618</v>
      </c>
      <c r="AD8">
        <f t="shared" si="17"/>
        <v>11.306327735305537</v>
      </c>
      <c r="AE8">
        <f t="shared" si="15"/>
        <v>5.8951776350895961E-3</v>
      </c>
      <c r="AG8">
        <v>70</v>
      </c>
      <c r="AH8">
        <f t="shared" si="18"/>
        <v>0.51825176232210568</v>
      </c>
    </row>
    <row r="9" spans="1:35" x14ac:dyDescent="0.25">
      <c r="A9">
        <v>12.2209</v>
      </c>
      <c r="B9">
        <f t="shared" si="4"/>
        <v>1222.0900000000001</v>
      </c>
      <c r="C9">
        <v>569.94000000000005</v>
      </c>
      <c r="D9">
        <f>C9/'Isotherm List'!$C$3</f>
        <v>12.950532845554319</v>
      </c>
      <c r="E9">
        <f>D9*'Isotherm List'!$G$4/'Isotherm List'!$H$17</f>
        <v>13.892389779776449</v>
      </c>
      <c r="H9">
        <f t="shared" si="5"/>
        <v>1222.0900000000001</v>
      </c>
      <c r="I9">
        <f t="shared" si="6"/>
        <v>12.950532845554319</v>
      </c>
      <c r="J9">
        <f t="shared" si="7"/>
        <v>13.892389779776449</v>
      </c>
      <c r="K9">
        <f t="shared" si="8"/>
        <v>13.743137560576438</v>
      </c>
      <c r="L9">
        <f t="shared" si="9"/>
        <v>2.2276224936128321E-2</v>
      </c>
      <c r="N9">
        <v>200</v>
      </c>
      <c r="O9">
        <f t="shared" si="10"/>
        <v>2.5614885506260032</v>
      </c>
      <c r="R9">
        <f t="shared" si="0"/>
        <v>12.2209</v>
      </c>
      <c r="S9">
        <f t="shared" si="1"/>
        <v>12.950532845554319</v>
      </c>
      <c r="T9">
        <f t="shared" si="2"/>
        <v>13.892389779776449</v>
      </c>
      <c r="U9">
        <f t="shared" si="3"/>
        <v>13.6803090335323</v>
      </c>
      <c r="V9">
        <f t="shared" si="11"/>
        <v>4.4978242927475293E-2</v>
      </c>
      <c r="X9">
        <v>200</v>
      </c>
      <c r="Y9">
        <f t="shared" si="12"/>
        <v>1.6194333365805151</v>
      </c>
      <c r="Z9">
        <f t="shared" si="16"/>
        <v>1222.0900000000001</v>
      </c>
      <c r="AA9">
        <f t="shared" si="13"/>
        <v>12.2209</v>
      </c>
      <c r="AB9">
        <f t="shared" si="14"/>
        <v>12.950532845554319</v>
      </c>
      <c r="AC9">
        <f t="shared" si="14"/>
        <v>13.892389779776449</v>
      </c>
      <c r="AD9">
        <f t="shared" si="17"/>
        <v>13.682056156367739</v>
      </c>
      <c r="AE9">
        <f t="shared" si="15"/>
        <v>4.4240233136236984E-2</v>
      </c>
      <c r="AG9">
        <v>100</v>
      </c>
      <c r="AH9">
        <f t="shared" si="18"/>
        <v>0.75606740734443045</v>
      </c>
    </row>
    <row r="10" spans="1:35" x14ac:dyDescent="0.25">
      <c r="A10">
        <v>16.241099999999999</v>
      </c>
      <c r="B10">
        <f t="shared" si="4"/>
        <v>1624.11</v>
      </c>
      <c r="C10">
        <v>701.03200000000004</v>
      </c>
      <c r="D10">
        <f>C10/'Isotherm List'!$C$3</f>
        <v>15.929287191256334</v>
      </c>
      <c r="E10">
        <f>D10*'Isotherm List'!$G$4/'Isotherm List'!$H$17</f>
        <v>17.087780805165885</v>
      </c>
      <c r="H10">
        <f t="shared" si="5"/>
        <v>1624.11</v>
      </c>
      <c r="I10">
        <f t="shared" si="6"/>
        <v>15.929287191256334</v>
      </c>
      <c r="J10">
        <f t="shared" si="7"/>
        <v>17.087780805165885</v>
      </c>
      <c r="K10">
        <f t="shared" si="8"/>
        <v>16.575271648690411</v>
      </c>
      <c r="L10">
        <f t="shared" si="9"/>
        <v>0.26266563547120192</v>
      </c>
      <c r="N10">
        <v>300</v>
      </c>
      <c r="O10">
        <f t="shared" si="10"/>
        <v>3.8291512034610276</v>
      </c>
      <c r="R10">
        <f t="shared" si="0"/>
        <v>16.241099999999999</v>
      </c>
      <c r="S10">
        <f t="shared" si="1"/>
        <v>15.929287191256334</v>
      </c>
      <c r="T10">
        <f t="shared" si="2"/>
        <v>17.087780805165885</v>
      </c>
      <c r="U10">
        <f t="shared" si="3"/>
        <v>17.008647388610264</v>
      </c>
      <c r="V10">
        <f t="shared" si="11"/>
        <v>6.2620976157653973E-3</v>
      </c>
      <c r="X10">
        <v>300</v>
      </c>
      <c r="Y10">
        <f t="shared" si="12"/>
        <v>2.5877271093508472</v>
      </c>
      <c r="Z10">
        <f t="shared" si="16"/>
        <v>1624.11</v>
      </c>
      <c r="AA10">
        <f t="shared" si="13"/>
        <v>16.241099999999999</v>
      </c>
      <c r="AB10">
        <f t="shared" si="14"/>
        <v>15.929287191256334</v>
      </c>
      <c r="AC10">
        <f t="shared" si="14"/>
        <v>17.087780805165885</v>
      </c>
      <c r="AD10">
        <f t="shared" si="17"/>
        <v>17.009219174719529</v>
      </c>
      <c r="AE10">
        <f t="shared" si="15"/>
        <v>6.1719297783896883E-3</v>
      </c>
      <c r="AG10">
        <v>200</v>
      </c>
      <c r="AH10">
        <f t="shared" si="18"/>
        <v>1.6180248499005712</v>
      </c>
    </row>
    <row r="11" spans="1:35" x14ac:dyDescent="0.25">
      <c r="A11">
        <v>20.086400000000001</v>
      </c>
      <c r="B11">
        <f t="shared" si="4"/>
        <v>2008.64</v>
      </c>
      <c r="C11">
        <v>764.39300000000003</v>
      </c>
      <c r="D11">
        <f>C11/'Isotherm List'!$C$3</f>
        <v>17.369015428662319</v>
      </c>
      <c r="E11">
        <f>D11*'Isotherm List'!$G$4/'Isotherm List'!$H$17</f>
        <v>18.63221655074685</v>
      </c>
      <c r="H11">
        <f t="shared" si="5"/>
        <v>2008.64</v>
      </c>
      <c r="I11">
        <f t="shared" si="6"/>
        <v>17.369015428662319</v>
      </c>
      <c r="J11">
        <f t="shared" si="7"/>
        <v>18.63221655074685</v>
      </c>
      <c r="K11">
        <f t="shared" si="8"/>
        <v>18.507235056102584</v>
      </c>
      <c r="L11">
        <f t="shared" si="9"/>
        <v>1.5620374003514913E-2</v>
      </c>
      <c r="N11">
        <v>400</v>
      </c>
      <c r="O11">
        <f t="shared" si="10"/>
        <v>5.0783444190096487</v>
      </c>
      <c r="R11">
        <f t="shared" si="0"/>
        <v>20.086400000000001</v>
      </c>
      <c r="S11">
        <f t="shared" si="1"/>
        <v>17.369015428662319</v>
      </c>
      <c r="T11">
        <f t="shared" si="2"/>
        <v>18.63221655074685</v>
      </c>
      <c r="U11">
        <f t="shared" si="3"/>
        <v>18.776515482035553</v>
      </c>
      <c r="V11">
        <f t="shared" si="11"/>
        <v>2.0822181571061596E-2</v>
      </c>
      <c r="X11">
        <v>400</v>
      </c>
      <c r="Y11">
        <f t="shared" si="12"/>
        <v>3.6563953293682863</v>
      </c>
      <c r="Z11">
        <f t="shared" si="16"/>
        <v>2008.64</v>
      </c>
      <c r="AA11">
        <f t="shared" si="13"/>
        <v>20.086400000000001</v>
      </c>
      <c r="AB11">
        <f t="shared" si="14"/>
        <v>17.369015428662319</v>
      </c>
      <c r="AC11">
        <f t="shared" si="14"/>
        <v>18.63221655074685</v>
      </c>
      <c r="AD11">
        <f t="shared" si="17"/>
        <v>18.774395405311481</v>
      </c>
      <c r="AE11">
        <f t="shared" si="15"/>
        <v>2.0214826685310234E-2</v>
      </c>
      <c r="AG11">
        <v>300</v>
      </c>
      <c r="AH11">
        <f t="shared" si="18"/>
        <v>2.5859170352099579</v>
      </c>
    </row>
    <row r="12" spans="1:35" x14ac:dyDescent="0.25">
      <c r="A12">
        <v>29.874700000000001</v>
      </c>
      <c r="B12">
        <f t="shared" si="4"/>
        <v>2987.4700000000003</v>
      </c>
      <c r="C12">
        <v>827.755</v>
      </c>
      <c r="D12">
        <f>C12/'Isotherm List'!$C$3</f>
        <v>18.808766388693222</v>
      </c>
      <c r="E12">
        <f>D12*'Isotherm List'!$G$4/'Isotherm List'!$H$17</f>
        <v>20.176676671507273</v>
      </c>
      <c r="H12">
        <f t="shared" si="5"/>
        <v>2987.4700000000003</v>
      </c>
      <c r="I12">
        <f t="shared" si="6"/>
        <v>18.808766388693222</v>
      </c>
      <c r="J12">
        <f t="shared" si="7"/>
        <v>20.176676671507273</v>
      </c>
      <c r="K12">
        <f t="shared" si="8"/>
        <v>21.235897993940309</v>
      </c>
      <c r="L12">
        <f t="shared" si="9"/>
        <v>1.1219498098967893</v>
      </c>
      <c r="N12">
        <v>500</v>
      </c>
      <c r="O12">
        <f t="shared" si="10"/>
        <v>6.3010453221343434</v>
      </c>
      <c r="R12">
        <f t="shared" si="0"/>
        <v>29.874700000000001</v>
      </c>
      <c r="S12">
        <f t="shared" si="1"/>
        <v>18.808766388693222</v>
      </c>
      <c r="T12">
        <f t="shared" si="2"/>
        <v>20.176676671507273</v>
      </c>
      <c r="U12">
        <f t="shared" si="3"/>
        <v>20.177825010887425</v>
      </c>
      <c r="V12">
        <f t="shared" si="11"/>
        <v>1.3186833320061387E-6</v>
      </c>
      <c r="X12">
        <v>500</v>
      </c>
      <c r="Y12">
        <f t="shared" si="12"/>
        <v>4.8139665964443372</v>
      </c>
      <c r="Z12">
        <f t="shared" si="16"/>
        <v>2987.4700000000003</v>
      </c>
      <c r="AA12">
        <f t="shared" si="13"/>
        <v>29.874700000000001</v>
      </c>
      <c r="AB12">
        <f t="shared" si="14"/>
        <v>18.808766388693222</v>
      </c>
      <c r="AC12">
        <f t="shared" si="14"/>
        <v>20.176676671507273</v>
      </c>
      <c r="AD12">
        <f t="shared" si="17"/>
        <v>20.171060279890689</v>
      </c>
      <c r="AE12">
        <f t="shared" si="15"/>
        <v>3.1543854790838825E-5</v>
      </c>
      <c r="AG12">
        <v>400</v>
      </c>
      <c r="AH12">
        <f t="shared" si="18"/>
        <v>3.6544345537308076</v>
      </c>
    </row>
    <row r="13" spans="1:35" x14ac:dyDescent="0.25">
      <c r="A13">
        <v>42.11</v>
      </c>
      <c r="B13">
        <f t="shared" si="4"/>
        <v>4211</v>
      </c>
      <c r="C13">
        <v>836.49400000000003</v>
      </c>
      <c r="D13">
        <f>C13/'Isotherm List'!$C$3</f>
        <v>19.007339407848395</v>
      </c>
      <c r="E13">
        <f>D13*'Isotherm List'!$G$4/'Isotherm List'!$H$17</f>
        <v>20.389691364782824</v>
      </c>
      <c r="H13">
        <f t="shared" si="5"/>
        <v>4211</v>
      </c>
      <c r="I13">
        <f>D13</f>
        <v>19.007339407848395</v>
      </c>
      <c r="J13">
        <f t="shared" si="7"/>
        <v>20.389691364782824</v>
      </c>
      <c r="K13">
        <f t="shared" si="8"/>
        <v>22.602485021870319</v>
      </c>
      <c r="L13">
        <f t="shared" si="9"/>
        <v>4.8964557688466508</v>
      </c>
      <c r="N13">
        <v>600</v>
      </c>
      <c r="O13">
        <f t="shared" si="10"/>
        <v>7.4893274094893547</v>
      </c>
      <c r="R13">
        <f t="shared" si="0"/>
        <v>42.11</v>
      </c>
      <c r="S13">
        <f t="shared" si="1"/>
        <v>19.007339407848395</v>
      </c>
      <c r="T13">
        <f t="shared" si="2"/>
        <v>20.389691364782824</v>
      </c>
      <c r="U13">
        <f t="shared" si="3"/>
        <v>20.374021386076084</v>
      </c>
      <c r="V13">
        <f t="shared" si="11"/>
        <v>2.45548232669672E-4</v>
      </c>
      <c r="X13">
        <v>600</v>
      </c>
      <c r="Y13">
        <f t="shared" si="12"/>
        <v>6.0426841551853077</v>
      </c>
      <c r="Z13">
        <f t="shared" si="16"/>
        <v>4211</v>
      </c>
      <c r="AA13">
        <f t="shared" si="13"/>
        <v>42.11</v>
      </c>
      <c r="AB13">
        <f t="shared" si="14"/>
        <v>19.007339407848395</v>
      </c>
      <c r="AC13">
        <f t="shared" si="14"/>
        <v>20.389691364782824</v>
      </c>
      <c r="AD13">
        <f t="shared" si="17"/>
        <v>20.365999658770235</v>
      </c>
      <c r="AE13">
        <f t="shared" si="15"/>
        <v>5.6129693378691257E-4</v>
      </c>
      <c r="AG13">
        <v>500</v>
      </c>
      <c r="AH13">
        <f t="shared" si="18"/>
        <v>4.8121159375290148</v>
      </c>
    </row>
    <row r="14" spans="1:35" x14ac:dyDescent="0.25">
      <c r="N14">
        <v>700</v>
      </c>
      <c r="O14">
        <f t="shared" si="10"/>
        <v>8.6358167604380629</v>
      </c>
      <c r="X14">
        <v>700</v>
      </c>
      <c r="Y14">
        <f t="shared" si="12"/>
        <v>7.3191839572326955</v>
      </c>
      <c r="AG14">
        <v>600</v>
      </c>
      <c r="AH14">
        <f t="shared" si="18"/>
        <v>6.0411847303347752</v>
      </c>
    </row>
    <row r="15" spans="1:35" x14ac:dyDescent="0.25">
      <c r="N15">
        <v>800</v>
      </c>
      <c r="O15">
        <f t="shared" si="10"/>
        <v>9.7340639783727347</v>
      </c>
      <c r="X15">
        <v>800</v>
      </c>
      <c r="Y15">
        <f t="shared" si="12"/>
        <v>8.6160489864674723</v>
      </c>
      <c r="AG15">
        <v>700</v>
      </c>
      <c r="AH15">
        <f t="shared" si="18"/>
        <v>7.3182261948622358</v>
      </c>
    </row>
    <row r="16" spans="1:35" x14ac:dyDescent="0.25">
      <c r="N16">
        <v>900</v>
      </c>
      <c r="O16">
        <f t="shared" si="10"/>
        <v>10.778814244937422</v>
      </c>
      <c r="X16">
        <v>900</v>
      </c>
      <c r="Y16">
        <f t="shared" si="12"/>
        <v>9.9040648726275311</v>
      </c>
      <c r="AG16">
        <v>800</v>
      </c>
      <c r="AH16">
        <f t="shared" si="18"/>
        <v>8.6157467792594709</v>
      </c>
    </row>
    <row r="17" spans="14:34" x14ac:dyDescent="0.25">
      <c r="N17">
        <v>1000</v>
      </c>
      <c r="O17">
        <f t="shared" si="10"/>
        <v>11.766164925518005</v>
      </c>
      <c r="X17">
        <v>1000</v>
      </c>
      <c r="Y17">
        <f t="shared" si="12"/>
        <v>11.154803366231986</v>
      </c>
      <c r="AG17">
        <v>900</v>
      </c>
      <c r="AH17">
        <f t="shared" si="18"/>
        <v>9.9044409290807263</v>
      </c>
    </row>
    <row r="18" spans="14:34" x14ac:dyDescent="0.25">
      <c r="N18">
        <v>1500</v>
      </c>
      <c r="O18">
        <f t="shared" si="10"/>
        <v>15.798508387375653</v>
      </c>
      <c r="X18">
        <v>1500</v>
      </c>
      <c r="Y18">
        <f t="shared" si="12"/>
        <v>16.161099836726258</v>
      </c>
      <c r="AG18">
        <v>1000</v>
      </c>
      <c r="AH18">
        <f t="shared" si="18"/>
        <v>11.15578924574173</v>
      </c>
    </row>
    <row r="19" spans="14:34" x14ac:dyDescent="0.25">
      <c r="N19">
        <v>2000</v>
      </c>
      <c r="O19">
        <f t="shared" si="10"/>
        <v>18.470779218677393</v>
      </c>
      <c r="X19">
        <v>2000</v>
      </c>
      <c r="Y19">
        <f t="shared" si="12"/>
        <v>18.748507109005313</v>
      </c>
      <c r="AG19">
        <v>1500</v>
      </c>
      <c r="AH19">
        <f t="shared" si="18"/>
        <v>16.162330927905984</v>
      </c>
    </row>
    <row r="20" spans="14:34" x14ac:dyDescent="0.25">
      <c r="N20">
        <v>3000</v>
      </c>
      <c r="O20">
        <f t="shared" si="10"/>
        <v>21.257759565158782</v>
      </c>
      <c r="X20">
        <v>3000</v>
      </c>
      <c r="Y20">
        <f t="shared" si="12"/>
        <v>20.183370355483557</v>
      </c>
      <c r="AG20">
        <v>2000</v>
      </c>
      <c r="AH20">
        <f t="shared" si="18"/>
        <v>18.746448817800754</v>
      </c>
    </row>
    <row r="21" spans="14:34" x14ac:dyDescent="0.25">
      <c r="N21">
        <v>4000</v>
      </c>
      <c r="O21">
        <f>($N$2*N21)/(((1/$O$2)+N21^$P$2)^(1/$P$2))</f>
        <v>22.447533857218957</v>
      </c>
      <c r="X21">
        <v>4000</v>
      </c>
      <c r="Y21">
        <f t="shared" si="12"/>
        <v>20.36511271845934</v>
      </c>
      <c r="AG21">
        <v>3000</v>
      </c>
      <c r="AH21">
        <f t="shared" si="18"/>
        <v>20.176576072946581</v>
      </c>
    </row>
    <row r="22" spans="14:34" x14ac:dyDescent="0.25">
      <c r="N22">
        <v>5000</v>
      </c>
      <c r="X22">
        <v>5000</v>
      </c>
      <c r="AG22">
        <v>4000</v>
      </c>
      <c r="AH22">
        <f t="shared" si="18"/>
        <v>20.357167043644381</v>
      </c>
    </row>
    <row r="23" spans="14:34" x14ac:dyDescent="0.25">
      <c r="AG23">
        <v>5000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0EBF-9743-4492-B272-5ADAA5BAD8B2}">
  <dimension ref="A1:AI23"/>
  <sheetViews>
    <sheetView topLeftCell="J1" zoomScale="85" zoomScaleNormal="85" workbookViewId="0">
      <selection activeCell="Z26" sqref="Z26"/>
    </sheetView>
  </sheetViews>
  <sheetFormatPr defaultRowHeight="15" x14ac:dyDescent="0.25"/>
  <cols>
    <col min="4" max="4" width="12.7109375" customWidth="1"/>
    <col min="5" max="5" width="19.5703125" customWidth="1"/>
    <col min="8" max="8" width="12.140625" customWidth="1"/>
    <col min="9" max="9" width="13.42578125" customWidth="1"/>
    <col min="10" max="10" width="20.140625" customWidth="1"/>
    <col min="11" max="11" width="17.42578125" customWidth="1"/>
    <col min="15" max="15" width="19.42578125" customWidth="1"/>
    <col min="18" max="18" width="14.42578125" customWidth="1"/>
    <col min="25" max="25" width="22" customWidth="1"/>
    <col min="28" max="28" width="14.7109375" customWidth="1"/>
    <col min="29" max="29" width="18.85546875" customWidth="1"/>
    <col min="30" max="30" width="16" customWidth="1"/>
  </cols>
  <sheetData>
    <row r="1" spans="1:35" x14ac:dyDescent="0.25">
      <c r="L1" s="1" t="s">
        <v>25</v>
      </c>
      <c r="N1" s="1" t="s">
        <v>26</v>
      </c>
      <c r="O1" s="1" t="s">
        <v>27</v>
      </c>
      <c r="P1" s="1" t="s">
        <v>28</v>
      </c>
      <c r="R1" s="41" t="s">
        <v>169</v>
      </c>
      <c r="V1" s="1" t="s">
        <v>25</v>
      </c>
      <c r="X1" s="1" t="s">
        <v>170</v>
      </c>
      <c r="Y1" s="1" t="s">
        <v>171</v>
      </c>
      <c r="AA1" s="41" t="s">
        <v>180</v>
      </c>
      <c r="AE1" s="1" t="s">
        <v>25</v>
      </c>
      <c r="AG1" s="1" t="s">
        <v>170</v>
      </c>
      <c r="AH1" s="1" t="s">
        <v>171</v>
      </c>
      <c r="AI1" s="1" t="s">
        <v>178</v>
      </c>
    </row>
    <row r="2" spans="1:35" x14ac:dyDescent="0.25">
      <c r="L2">
        <f>SUM(L5:L13)</f>
        <v>7.7675155742701065</v>
      </c>
      <c r="N2">
        <v>24.066124237166012</v>
      </c>
      <c r="O2">
        <v>2.0292899648409591E-7</v>
      </c>
      <c r="P2">
        <v>2.0698800260460408</v>
      </c>
      <c r="V2">
        <f>SUM(V4:V13)</f>
        <v>0.3533305866928827</v>
      </c>
      <c r="X2">
        <v>3.3873153622093768E-2</v>
      </c>
      <c r="Y2">
        <v>0.18181357764707079</v>
      </c>
      <c r="AE2">
        <f>SUM(AE4:AE13)</f>
        <v>0.31542260682638712</v>
      </c>
      <c r="AG2">
        <v>3.3236824454196665E-2</v>
      </c>
      <c r="AH2">
        <v>0.18770254500319383</v>
      </c>
      <c r="AI2">
        <v>21.225602755826614</v>
      </c>
    </row>
    <row r="3" spans="1:35" x14ac:dyDescent="0.25">
      <c r="A3" t="s">
        <v>41</v>
      </c>
      <c r="B3" t="s">
        <v>31</v>
      </c>
      <c r="C3" t="s">
        <v>55</v>
      </c>
      <c r="D3" t="s">
        <v>43</v>
      </c>
      <c r="E3" s="1" t="s">
        <v>80</v>
      </c>
      <c r="H3" s="1" t="s">
        <v>31</v>
      </c>
      <c r="I3" s="1" t="s">
        <v>43</v>
      </c>
      <c r="J3" s="1" t="s">
        <v>80</v>
      </c>
      <c r="K3" s="1" t="s">
        <v>29</v>
      </c>
      <c r="L3" s="1" t="s">
        <v>30</v>
      </c>
      <c r="M3" s="1"/>
      <c r="N3" s="9" t="s">
        <v>31</v>
      </c>
      <c r="O3" s="10" t="s">
        <v>32</v>
      </c>
      <c r="R3" s="1" t="s">
        <v>41</v>
      </c>
      <c r="S3" s="1" t="s">
        <v>43</v>
      </c>
      <c r="T3" s="1" t="s">
        <v>80</v>
      </c>
      <c r="U3" s="1" t="s">
        <v>172</v>
      </c>
      <c r="V3" s="1" t="s">
        <v>30</v>
      </c>
      <c r="W3" s="1"/>
      <c r="X3" s="9" t="s">
        <v>31</v>
      </c>
      <c r="Y3" s="10" t="s">
        <v>173</v>
      </c>
      <c r="Z3" s="1" t="s">
        <v>31</v>
      </c>
      <c r="AA3" s="1" t="s">
        <v>41</v>
      </c>
      <c r="AB3" s="1" t="s">
        <v>43</v>
      </c>
      <c r="AC3" s="1" t="s">
        <v>80</v>
      </c>
      <c r="AD3" s="1" t="s">
        <v>172</v>
      </c>
      <c r="AE3" s="1" t="s">
        <v>30</v>
      </c>
      <c r="AF3" s="1"/>
      <c r="AG3" s="9" t="s">
        <v>31</v>
      </c>
      <c r="AH3" s="10" t="s">
        <v>173</v>
      </c>
    </row>
    <row r="4" spans="1:35" x14ac:dyDescent="0.25">
      <c r="A4">
        <v>0.42258299999999999</v>
      </c>
      <c r="B4">
        <f>A4*100</f>
        <v>42.258299999999998</v>
      </c>
      <c r="C4">
        <v>25.905999999999999</v>
      </c>
      <c r="D4">
        <f>C4/'Isotherm List'!$C$3</f>
        <v>0.5886523211161353</v>
      </c>
      <c r="E4">
        <f>D4*'Isotherm List'!$G$4/'Isotherm List'!$H$18</f>
        <v>0.68322269401676028</v>
      </c>
      <c r="H4">
        <v>0</v>
      </c>
      <c r="I4">
        <v>0</v>
      </c>
      <c r="J4">
        <v>0</v>
      </c>
      <c r="K4">
        <v>0</v>
      </c>
      <c r="L4">
        <v>0</v>
      </c>
      <c r="N4">
        <v>10</v>
      </c>
      <c r="O4">
        <f>($N$2*N4)/(((1/$O$2)+N4^$P$2)^(1/$P$2))</f>
        <v>0.14061985813191158</v>
      </c>
      <c r="R4">
        <f t="shared" ref="R4:R12" si="0">A4</f>
        <v>0.42258299999999999</v>
      </c>
      <c r="S4">
        <f t="shared" ref="S4:S12" si="1">D4</f>
        <v>0.5886523211161353</v>
      </c>
      <c r="T4">
        <f t="shared" ref="T4:T12" si="2">E4</f>
        <v>0.68322269401676028</v>
      </c>
      <c r="U4">
        <f t="shared" ref="U4:U12" si="3">($T$12*(1-EXP(-($X$2+$Y$2)*R4))/(1+$Y$2/$X$2*EXP(-($X$2+$Y$2)*R4)))</f>
        <v>0.31553276586566964</v>
      </c>
      <c r="V4">
        <f>(U4-T4)^2</f>
        <v>0.1351958832637542</v>
      </c>
      <c r="X4">
        <v>10</v>
      </c>
      <c r="Y4">
        <f>($T$12*(1-EXP(-($X$2+$Y$2)*(X4/100)))/(1+$Y$2/$X$2*EXP(-($X$2+$Y$2)*(X4/100))))</f>
        <v>7.2921903048363268E-2</v>
      </c>
      <c r="Z4">
        <v>0</v>
      </c>
      <c r="AA4">
        <v>0</v>
      </c>
      <c r="AB4">
        <v>0</v>
      </c>
      <c r="AC4">
        <v>0</v>
      </c>
      <c r="AD4">
        <f>($AI$2*(1-EXP(-($AG$2+$AH$2)*AA4))/(1+$AH$2/$AG$2*EXP(-($AG$2+$AH$2)*AA4)))</f>
        <v>0</v>
      </c>
      <c r="AE4">
        <f>(AD4-AC4)^2</f>
        <v>0</v>
      </c>
      <c r="AG4">
        <v>0</v>
      </c>
      <c r="AH4">
        <v>0</v>
      </c>
    </row>
    <row r="5" spans="1:35" x14ac:dyDescent="0.25">
      <c r="A5">
        <v>6.1032599999999997</v>
      </c>
      <c r="B5">
        <f t="shared" ref="B5:B12" si="4">A5*100</f>
        <v>610.32600000000002</v>
      </c>
      <c r="C5">
        <v>235.654</v>
      </c>
      <c r="D5">
        <f>C5/'Isotherm List'!$C$3</f>
        <v>5.3546774523392937</v>
      </c>
      <c r="E5">
        <f>D5*'Isotherm List'!$G$4/'Isotherm List'!$H$18</f>
        <v>6.2149371086167537</v>
      </c>
      <c r="H5">
        <f t="shared" ref="H5:H13" si="5">B4</f>
        <v>42.258299999999998</v>
      </c>
      <c r="I5">
        <f t="shared" ref="I5:I13" si="6">D4</f>
        <v>0.5886523211161353</v>
      </c>
      <c r="J5">
        <f t="shared" ref="J5:J13" si="7">E4</f>
        <v>0.68322269401676028</v>
      </c>
      <c r="K5">
        <f>($N$2*H5)/(((1/$O$2)+H5^$P$2)^(1/$P$2))</f>
        <v>0.59410735837130846</v>
      </c>
      <c r="L5">
        <f>(K5-J5)^2</f>
        <v>7.9415430472015366E-3</v>
      </c>
      <c r="N5">
        <v>30</v>
      </c>
      <c r="O5">
        <f t="shared" ref="O5:O20" si="8">($N$2*N5)/(((1/$O$2)+N5^$P$2)^(1/$P$2))</f>
        <v>0.42181723017790462</v>
      </c>
      <c r="R5">
        <f t="shared" si="0"/>
        <v>6.1032599999999997</v>
      </c>
      <c r="S5">
        <f t="shared" si="1"/>
        <v>5.3546774523392937</v>
      </c>
      <c r="T5">
        <f t="shared" si="2"/>
        <v>6.2149371086167537</v>
      </c>
      <c r="U5">
        <f t="shared" si="3"/>
        <v>6.4125332626104043</v>
      </c>
      <c r="V5">
        <f t="shared" ref="V5:V12" si="9">(U5-T5)^2</f>
        <v>3.9044240073082485E-2</v>
      </c>
      <c r="X5">
        <v>30</v>
      </c>
      <c r="Y5">
        <f t="shared" ref="Y5:Y21" si="10">($T$12*(1-EXP(-($X$2+$Y$2)*(X5/100)))/(1+$Y$2/$X$2*EXP(-($X$2+$Y$2)*(X5/100))))</f>
        <v>0.22200505020421099</v>
      </c>
      <c r="Z5">
        <f>B4</f>
        <v>42.258299999999998</v>
      </c>
      <c r="AA5">
        <f>A4</f>
        <v>0.42258299999999999</v>
      </c>
      <c r="AB5">
        <f>D4</f>
        <v>0.5886523211161353</v>
      </c>
      <c r="AC5">
        <f>E4</f>
        <v>0.68322269401676028</v>
      </c>
      <c r="AD5">
        <f>($AI$2*(1-EXP(-($AG$2+$AH$2)*AA5))/(1+$AH$2/$AG$2*EXP(-($AG$2+$AH$2)*AA5)))</f>
        <v>0.3079472155669869</v>
      </c>
      <c r="AE5">
        <f t="shared" ref="AE5:AE13" si="11">(AD5-AC5)^2</f>
        <v>0.14083168472570631</v>
      </c>
      <c r="AG5">
        <v>10</v>
      </c>
      <c r="AH5">
        <f>($AI$2*(1-EXP(-($AG$2+$AH$2)*(AG5/100)))/(1+$AH$2/$AG$2*EXP(-($AG$2+$AH$2)*(AG5/100))))</f>
        <v>7.1093345568037855E-2</v>
      </c>
    </row>
    <row r="6" spans="1:35" x14ac:dyDescent="0.25">
      <c r="A6">
        <v>9.9486299999999996</v>
      </c>
      <c r="B6">
        <f t="shared" si="4"/>
        <v>994.86299999999994</v>
      </c>
      <c r="C6">
        <v>438.84699999999998</v>
      </c>
      <c r="D6">
        <f>C6/'Isotherm List'!$C$3</f>
        <v>9.9717557772273846</v>
      </c>
      <c r="E6">
        <f>D6*'Isotherm List'!$G$4/'Isotherm List'!$H$18</f>
        <v>11.573775557831128</v>
      </c>
      <c r="H6">
        <f t="shared" si="5"/>
        <v>610.32600000000002</v>
      </c>
      <c r="I6">
        <f t="shared" si="6"/>
        <v>5.3546774523392937</v>
      </c>
      <c r="J6">
        <f t="shared" si="7"/>
        <v>6.2149371086167537</v>
      </c>
      <c r="K6">
        <f t="shared" ref="K6:K13" si="12">($N$2*H6)/(((1/$O$2)+H6^$P$2)^(1/$P$2))</f>
        <v>8.1310564101355087</v>
      </c>
      <c r="L6">
        <f t="shared" ref="L6:L13" si="13">(K6-J6)^2</f>
        <v>3.6715131776527214</v>
      </c>
      <c r="N6">
        <v>50</v>
      </c>
      <c r="O6">
        <f t="shared" si="8"/>
        <v>0.70288099043423369</v>
      </c>
      <c r="R6">
        <f t="shared" si="0"/>
        <v>9.9486299999999996</v>
      </c>
      <c r="S6">
        <f t="shared" si="1"/>
        <v>9.9717557772273846</v>
      </c>
      <c r="T6">
        <f t="shared" si="2"/>
        <v>11.573775557831128</v>
      </c>
      <c r="U6">
        <f t="shared" si="3"/>
        <v>11.591744240842026</v>
      </c>
      <c r="V6">
        <f t="shared" si="9"/>
        <v>3.2287356914611213E-4</v>
      </c>
      <c r="X6">
        <v>50</v>
      </c>
      <c r="Y6">
        <f t="shared" si="10"/>
        <v>0.37544883264943868</v>
      </c>
      <c r="Z6">
        <f t="shared" ref="Z6:Z13" si="14">B5</f>
        <v>610.32600000000002</v>
      </c>
      <c r="AA6">
        <f t="shared" ref="AA6:AA13" si="15">A5</f>
        <v>6.1032599999999997</v>
      </c>
      <c r="AB6">
        <f t="shared" ref="AB6:AB13" si="16">D5</f>
        <v>5.3546774523392937</v>
      </c>
      <c r="AC6">
        <f t="shared" ref="AC6:AC13" si="17">E5</f>
        <v>6.2149371086167537</v>
      </c>
      <c r="AD6">
        <f>($AI$2*(1-EXP(-($AG$2+$AH$2)*AA6))/(1+$AH$2/$AG$2*EXP(-($AG$2+$AH$2)*AA6)))</f>
        <v>6.3716779260811949</v>
      </c>
      <c r="AE6">
        <f t="shared" si="11"/>
        <v>2.4567683859421253E-2</v>
      </c>
      <c r="AG6">
        <v>30</v>
      </c>
      <c r="AH6">
        <f t="shared" ref="AH6:AH22" si="18">($AI$2*(1-EXP(-($AG$2+$AH$2)*(AG6/100)))/(1+$AH$2/$AG$2*EXP(-($AG$2+$AH$2)*(AG6/100))))</f>
        <v>0.21658033988445807</v>
      </c>
    </row>
    <row r="7" spans="1:35" x14ac:dyDescent="0.25">
      <c r="A7">
        <v>11.8713</v>
      </c>
      <c r="B7">
        <f t="shared" si="4"/>
        <v>1187.1299999999999</v>
      </c>
      <c r="C7">
        <v>537.16700000000003</v>
      </c>
      <c r="D7">
        <f>C7/'Isotherm List'!$C$3</f>
        <v>12.205844259128815</v>
      </c>
      <c r="E7">
        <f>D7*'Isotherm List'!$G$4/'Isotherm List'!$H$18</f>
        <v>14.166783172890494</v>
      </c>
      <c r="H7">
        <f t="shared" si="5"/>
        <v>994.86299999999994</v>
      </c>
      <c r="I7">
        <f t="shared" si="6"/>
        <v>9.9717557772273846</v>
      </c>
      <c r="J7">
        <f t="shared" si="7"/>
        <v>11.573775557831128</v>
      </c>
      <c r="K7">
        <f t="shared" si="12"/>
        <v>12.209958280109301</v>
      </c>
      <c r="L7">
        <f t="shared" si="13"/>
        <v>0.40472845612526709</v>
      </c>
      <c r="N7">
        <v>70</v>
      </c>
      <c r="O7">
        <f t="shared" si="8"/>
        <v>0.98371464581456614</v>
      </c>
      <c r="R7">
        <f t="shared" si="0"/>
        <v>11.8713</v>
      </c>
      <c r="S7">
        <f t="shared" si="1"/>
        <v>12.205844259128815</v>
      </c>
      <c r="T7">
        <f t="shared" si="2"/>
        <v>14.166783172890494</v>
      </c>
      <c r="U7">
        <f t="shared" si="3"/>
        <v>13.937874386762386</v>
      </c>
      <c r="V7">
        <f t="shared" si="9"/>
        <v>5.2399232366643511E-2</v>
      </c>
      <c r="X7">
        <v>70</v>
      </c>
      <c r="Y7">
        <f t="shared" si="10"/>
        <v>0.53329834228971107</v>
      </c>
      <c r="Z7">
        <f t="shared" si="14"/>
        <v>994.86299999999994</v>
      </c>
      <c r="AA7">
        <f t="shared" si="15"/>
        <v>9.9486299999999996</v>
      </c>
      <c r="AB7">
        <f t="shared" si="16"/>
        <v>9.9717557772273846</v>
      </c>
      <c r="AC7">
        <f t="shared" si="17"/>
        <v>11.573775557831128</v>
      </c>
      <c r="AD7">
        <f t="shared" ref="AD7:AD13" si="19">($AI$2*(1-EXP(-($AG$2+$AH$2)*AA7))/(1+$AH$2/$AG$2*EXP(-($AG$2+$AH$2)*AA7)))</f>
        <v>11.597658546703814</v>
      </c>
      <c r="AE7">
        <f t="shared" si="11"/>
        <v>5.703971574928181E-4</v>
      </c>
      <c r="AG7">
        <v>50</v>
      </c>
      <c r="AH7">
        <f t="shared" si="18"/>
        <v>0.36651672588981521</v>
      </c>
    </row>
    <row r="8" spans="1:35" x14ac:dyDescent="0.25">
      <c r="A8">
        <v>13.881399999999999</v>
      </c>
      <c r="B8">
        <f t="shared" si="4"/>
        <v>1388.1399999999999</v>
      </c>
      <c r="C8">
        <v>607.08199999999999</v>
      </c>
      <c r="D8">
        <f>C8/'Isotherm List'!$C$3</f>
        <v>13.79449658024495</v>
      </c>
      <c r="E8">
        <f>D8*'Isotherm List'!$G$4/'Isotherm List'!$H$18</f>
        <v>16.010661604612171</v>
      </c>
      <c r="H8">
        <f t="shared" si="5"/>
        <v>1187.1299999999999</v>
      </c>
      <c r="I8">
        <f t="shared" si="6"/>
        <v>12.205844259128815</v>
      </c>
      <c r="J8">
        <f t="shared" si="7"/>
        <v>14.166783172890494</v>
      </c>
      <c r="K8">
        <f t="shared" si="12"/>
        <v>13.862969459262299</v>
      </c>
      <c r="L8">
        <f t="shared" si="13"/>
        <v>9.2302772588554668E-2</v>
      </c>
      <c r="N8">
        <v>100</v>
      </c>
      <c r="O8">
        <f t="shared" si="8"/>
        <v>1.4043167132212673</v>
      </c>
      <c r="R8">
        <f t="shared" si="0"/>
        <v>13.881399999999999</v>
      </c>
      <c r="S8">
        <f t="shared" si="1"/>
        <v>13.79449658024495</v>
      </c>
      <c r="T8">
        <f t="shared" si="2"/>
        <v>16.010661604612171</v>
      </c>
      <c r="U8">
        <f t="shared" si="3"/>
        <v>15.998382672382197</v>
      </c>
      <c r="V8">
        <f t="shared" si="9"/>
        <v>1.5077217670828074E-4</v>
      </c>
      <c r="X8">
        <v>100</v>
      </c>
      <c r="Y8">
        <f t="shared" si="10"/>
        <v>0.77841758744921841</v>
      </c>
      <c r="Z8">
        <f t="shared" si="14"/>
        <v>1187.1299999999999</v>
      </c>
      <c r="AA8">
        <f t="shared" si="15"/>
        <v>11.8713</v>
      </c>
      <c r="AB8">
        <f t="shared" si="16"/>
        <v>12.205844259128815</v>
      </c>
      <c r="AC8">
        <f t="shared" si="17"/>
        <v>14.166783172890494</v>
      </c>
      <c r="AD8">
        <f t="shared" si="19"/>
        <v>13.960937525586012</v>
      </c>
      <c r="AE8">
        <f t="shared" si="11"/>
        <v>4.2372430514201226E-2</v>
      </c>
      <c r="AG8">
        <v>70</v>
      </c>
      <c r="AH8">
        <f t="shared" si="18"/>
        <v>0.52095664157818666</v>
      </c>
    </row>
    <row r="9" spans="1:35" x14ac:dyDescent="0.25">
      <c r="A9">
        <v>15.978899999999999</v>
      </c>
      <c r="B9">
        <f t="shared" si="4"/>
        <v>1597.8899999999999</v>
      </c>
      <c r="C9">
        <v>672.62900000000002</v>
      </c>
      <c r="D9">
        <f>C9/'Isotherm List'!$C$3</f>
        <v>15.283896475720876</v>
      </c>
      <c r="E9">
        <f>D9*'Isotherm List'!$G$4/'Isotherm List'!$H$18</f>
        <v>17.739342139033411</v>
      </c>
      <c r="H9">
        <f t="shared" si="5"/>
        <v>1388.1399999999999</v>
      </c>
      <c r="I9">
        <f t="shared" si="6"/>
        <v>13.79449658024495</v>
      </c>
      <c r="J9">
        <f t="shared" si="7"/>
        <v>16.010661604612171</v>
      </c>
      <c r="K9">
        <f t="shared" si="12"/>
        <v>15.332928281403039</v>
      </c>
      <c r="L9">
        <f t="shared" si="13"/>
        <v>0.45932245738809413</v>
      </c>
      <c r="N9">
        <v>200</v>
      </c>
      <c r="O9">
        <f t="shared" si="8"/>
        <v>2.7965962559868704</v>
      </c>
      <c r="R9">
        <f t="shared" si="0"/>
        <v>15.978899999999999</v>
      </c>
      <c r="S9">
        <f t="shared" si="1"/>
        <v>15.283896475720876</v>
      </c>
      <c r="T9">
        <f t="shared" si="2"/>
        <v>17.739342139033411</v>
      </c>
      <c r="U9">
        <f t="shared" si="3"/>
        <v>17.667526040070413</v>
      </c>
      <c r="V9">
        <f t="shared" si="9"/>
        <v>5.157552070263108E-3</v>
      </c>
      <c r="X9">
        <v>200</v>
      </c>
      <c r="Y9">
        <f t="shared" si="10"/>
        <v>1.6687901266385714</v>
      </c>
      <c r="Z9">
        <f t="shared" si="14"/>
        <v>1388.1399999999999</v>
      </c>
      <c r="AA9">
        <f t="shared" si="15"/>
        <v>13.881399999999999</v>
      </c>
      <c r="AB9">
        <f t="shared" si="16"/>
        <v>13.79449658024495</v>
      </c>
      <c r="AC9">
        <f t="shared" si="17"/>
        <v>16.010661604612171</v>
      </c>
      <c r="AD9">
        <f t="shared" si="19"/>
        <v>16.023666553764581</v>
      </c>
      <c r="AE9">
        <f t="shared" si="11"/>
        <v>1.6912870245678157E-4</v>
      </c>
      <c r="AG9">
        <v>100</v>
      </c>
      <c r="AH9">
        <f t="shared" si="18"/>
        <v>0.76116477730269638</v>
      </c>
    </row>
    <row r="10" spans="1:35" x14ac:dyDescent="0.25">
      <c r="A10">
        <v>20.1738</v>
      </c>
      <c r="B10">
        <f t="shared" si="4"/>
        <v>2017.38</v>
      </c>
      <c r="C10">
        <v>735.99</v>
      </c>
      <c r="D10">
        <f>C10/'Isotherm List'!$C$3</f>
        <v>16.72362471312686</v>
      </c>
      <c r="E10">
        <f>D10*'Isotherm List'!$G$4/'Isotherm List'!$H$18</f>
        <v>19.41037097851445</v>
      </c>
      <c r="H10">
        <f t="shared" si="5"/>
        <v>1597.8899999999999</v>
      </c>
      <c r="I10">
        <f t="shared" si="6"/>
        <v>15.283896475720876</v>
      </c>
      <c r="J10">
        <f t="shared" si="7"/>
        <v>17.739342139033411</v>
      </c>
      <c r="K10">
        <f t="shared" si="12"/>
        <v>16.616513811203916</v>
      </c>
      <c r="L10">
        <f t="shared" si="13"/>
        <v>1.2607434537763804</v>
      </c>
      <c r="N10">
        <v>300</v>
      </c>
      <c r="O10">
        <f t="shared" si="8"/>
        <v>4.1642867027978525</v>
      </c>
      <c r="R10">
        <f t="shared" si="0"/>
        <v>20.1738</v>
      </c>
      <c r="S10">
        <f t="shared" si="1"/>
        <v>16.72362471312686</v>
      </c>
      <c r="T10">
        <f t="shared" si="2"/>
        <v>19.41037097851445</v>
      </c>
      <c r="U10">
        <f t="shared" si="3"/>
        <v>19.728953635603872</v>
      </c>
      <c r="V10">
        <f t="shared" si="9"/>
        <v>0.10149490939815632</v>
      </c>
      <c r="X10">
        <v>300</v>
      </c>
      <c r="Y10">
        <f t="shared" si="10"/>
        <v>2.6719034053888651</v>
      </c>
      <c r="Z10">
        <f t="shared" si="14"/>
        <v>1597.8899999999999</v>
      </c>
      <c r="AA10">
        <f t="shared" si="15"/>
        <v>15.978899999999999</v>
      </c>
      <c r="AB10">
        <f t="shared" si="16"/>
        <v>15.283896475720876</v>
      </c>
      <c r="AC10">
        <f t="shared" si="17"/>
        <v>17.739342139033411</v>
      </c>
      <c r="AD10">
        <f t="shared" si="19"/>
        <v>17.679056459744917</v>
      </c>
      <c r="AE10">
        <f t="shared" si="11"/>
        <v>3.6343631272751863E-3</v>
      </c>
      <c r="AG10">
        <v>200</v>
      </c>
      <c r="AH10">
        <f t="shared" si="18"/>
        <v>1.6372943377082803</v>
      </c>
    </row>
    <row r="11" spans="1:35" x14ac:dyDescent="0.25">
      <c r="A11">
        <v>30.049499999999998</v>
      </c>
      <c r="B11">
        <f t="shared" si="4"/>
        <v>3004.95</v>
      </c>
      <c r="C11">
        <v>797.16700000000003</v>
      </c>
      <c r="D11">
        <f>C11/'Isotherm List'!$C$3</f>
        <v>18.113726737712742</v>
      </c>
      <c r="E11">
        <f>D11*'Isotherm List'!$G$4/'Isotherm List'!$H$18</f>
        <v>21.02380086934528</v>
      </c>
      <c r="H11">
        <f t="shared" si="5"/>
        <v>2017.38</v>
      </c>
      <c r="I11">
        <f t="shared" si="6"/>
        <v>16.72362471312686</v>
      </c>
      <c r="J11">
        <f t="shared" si="7"/>
        <v>19.41037097851445</v>
      </c>
      <c r="K11">
        <f t="shared" si="12"/>
        <v>18.563668264447692</v>
      </c>
      <c r="L11">
        <f t="shared" si="13"/>
        <v>0.71690548600801451</v>
      </c>
      <c r="N11">
        <v>400</v>
      </c>
      <c r="O11">
        <f t="shared" si="8"/>
        <v>5.4954644295516193</v>
      </c>
      <c r="R11">
        <f t="shared" si="0"/>
        <v>30.049499999999998</v>
      </c>
      <c r="S11">
        <f t="shared" si="1"/>
        <v>18.113726737712742</v>
      </c>
      <c r="T11">
        <f t="shared" si="2"/>
        <v>21.02380086934528</v>
      </c>
      <c r="U11">
        <f t="shared" si="3"/>
        <v>21.162787152815984</v>
      </c>
      <c r="V11">
        <f t="shared" si="9"/>
        <v>1.9317186992998846E-2</v>
      </c>
      <c r="X11">
        <v>400</v>
      </c>
      <c r="Y11">
        <f t="shared" si="10"/>
        <v>3.7829213896268157</v>
      </c>
      <c r="Z11">
        <f t="shared" si="14"/>
        <v>2017.38</v>
      </c>
      <c r="AA11">
        <f t="shared" si="15"/>
        <v>20.1738</v>
      </c>
      <c r="AB11">
        <f t="shared" si="16"/>
        <v>16.72362471312686</v>
      </c>
      <c r="AC11">
        <f t="shared" si="17"/>
        <v>19.41037097851445</v>
      </c>
      <c r="AD11">
        <f t="shared" si="19"/>
        <v>19.690151230445174</v>
      </c>
      <c r="AE11">
        <f t="shared" si="11"/>
        <v>7.8276989370419381E-2</v>
      </c>
      <c r="AG11">
        <v>300</v>
      </c>
      <c r="AH11">
        <f t="shared" si="18"/>
        <v>2.6302409389403243</v>
      </c>
    </row>
    <row r="12" spans="1:35" x14ac:dyDescent="0.25">
      <c r="A12">
        <v>42.022599999999997</v>
      </c>
      <c r="B12">
        <f t="shared" si="4"/>
        <v>4202.2599999999993</v>
      </c>
      <c r="C12">
        <v>810.27599999999995</v>
      </c>
      <c r="D12">
        <f>C12/'Isotherm List'!$C$3</f>
        <v>18.411597627757956</v>
      </c>
      <c r="E12">
        <f>D12*'Isotherm List'!$G$4/'Isotherm List'!$H$18</f>
        <v>21.369526426971529</v>
      </c>
      <c r="H12">
        <f t="shared" si="5"/>
        <v>3004.95</v>
      </c>
      <c r="I12">
        <f t="shared" si="6"/>
        <v>18.113726737712742</v>
      </c>
      <c r="J12">
        <f t="shared" si="7"/>
        <v>21.02380086934528</v>
      </c>
      <c r="K12">
        <f t="shared" si="12"/>
        <v>21.108310900034851</v>
      </c>
      <c r="L12">
        <f t="shared" si="13"/>
        <v>7.1419452871523395E-3</v>
      </c>
      <c r="N12">
        <v>500</v>
      </c>
      <c r="O12">
        <f t="shared" si="8"/>
        <v>6.7795375899151127</v>
      </c>
      <c r="R12">
        <f t="shared" si="0"/>
        <v>42.022599999999997</v>
      </c>
      <c r="S12">
        <f t="shared" si="1"/>
        <v>18.411597627757956</v>
      </c>
      <c r="T12">
        <f t="shared" si="2"/>
        <v>21.369526426971529</v>
      </c>
      <c r="U12">
        <f t="shared" si="3"/>
        <v>21.35378041852082</v>
      </c>
      <c r="V12">
        <f t="shared" si="9"/>
        <v>2.4793678212978713E-4</v>
      </c>
      <c r="X12">
        <v>500</v>
      </c>
      <c r="Y12">
        <f t="shared" si="10"/>
        <v>4.9904454082887071</v>
      </c>
      <c r="Z12">
        <f t="shared" si="14"/>
        <v>3004.95</v>
      </c>
      <c r="AA12">
        <f t="shared" si="15"/>
        <v>30.049499999999998</v>
      </c>
      <c r="AB12">
        <f t="shared" si="16"/>
        <v>18.113726737712742</v>
      </c>
      <c r="AC12">
        <f t="shared" si="17"/>
        <v>21.02380086934528</v>
      </c>
      <c r="AD12">
        <f t="shared" si="19"/>
        <v>21.042377736419454</v>
      </c>
      <c r="AE12">
        <f t="shared" si="11"/>
        <v>3.4509999029151966E-4</v>
      </c>
      <c r="AG12">
        <v>400</v>
      </c>
      <c r="AH12">
        <f t="shared" si="18"/>
        <v>3.7360027485390406</v>
      </c>
    </row>
    <row r="13" spans="1:35" x14ac:dyDescent="0.25">
      <c r="H13">
        <f t="shared" si="5"/>
        <v>4202.2599999999993</v>
      </c>
      <c r="I13">
        <f t="shared" si="6"/>
        <v>18.411597627757956</v>
      </c>
      <c r="J13">
        <f t="shared" si="7"/>
        <v>21.369526426971529</v>
      </c>
      <c r="K13">
        <f t="shared" si="12"/>
        <v>22.440468200550615</v>
      </c>
      <c r="L13">
        <f t="shared" si="13"/>
        <v>1.1469162823967194</v>
      </c>
      <c r="N13">
        <v>600</v>
      </c>
      <c r="O13">
        <f t="shared" si="8"/>
        <v>8.0077083008907195</v>
      </c>
      <c r="X13">
        <v>600</v>
      </c>
      <c r="Y13">
        <f t="shared" si="10"/>
        <v>6.2762332995455399</v>
      </c>
      <c r="Z13">
        <f t="shared" si="14"/>
        <v>4202.2599999999993</v>
      </c>
      <c r="AA13">
        <f t="shared" si="15"/>
        <v>42.022599999999997</v>
      </c>
      <c r="AB13">
        <f t="shared" si="16"/>
        <v>18.411597627757956</v>
      </c>
      <c r="AC13">
        <f t="shared" si="17"/>
        <v>21.369526426971529</v>
      </c>
      <c r="AD13">
        <f t="shared" si="19"/>
        <v>21.212507863167364</v>
      </c>
      <c r="AE13">
        <f t="shared" si="11"/>
        <v>2.4654829379122639E-2</v>
      </c>
      <c r="AG13">
        <v>500</v>
      </c>
      <c r="AH13">
        <f t="shared" si="18"/>
        <v>4.9435881193226523</v>
      </c>
    </row>
    <row r="14" spans="1:35" x14ac:dyDescent="0.25">
      <c r="N14">
        <v>700</v>
      </c>
      <c r="O14">
        <f t="shared" si="8"/>
        <v>9.1732279542964825</v>
      </c>
      <c r="X14">
        <v>700</v>
      </c>
      <c r="Y14">
        <f t="shared" si="10"/>
        <v>7.6158207884504403</v>
      </c>
      <c r="AG14">
        <v>600</v>
      </c>
      <c r="AH14">
        <f t="shared" si="18"/>
        <v>6.234575805680989</v>
      </c>
    </row>
    <row r="15" spans="1:35" x14ac:dyDescent="0.25">
      <c r="N15">
        <v>800</v>
      </c>
      <c r="O15">
        <f t="shared" si="8"/>
        <v>10.271462552562827</v>
      </c>
      <c r="X15">
        <v>800</v>
      </c>
      <c r="Y15">
        <f t="shared" si="10"/>
        <v>8.9801185998725437</v>
      </c>
      <c r="AG15">
        <v>700</v>
      </c>
      <c r="AH15">
        <f t="shared" si="18"/>
        <v>7.5836709588966862</v>
      </c>
    </row>
    <row r="16" spans="1:35" x14ac:dyDescent="0.25">
      <c r="N16">
        <v>900</v>
      </c>
      <c r="O16">
        <f t="shared" si="8"/>
        <v>11.299799084760608</v>
      </c>
      <c r="X16">
        <v>900</v>
      </c>
      <c r="Y16">
        <f t="shared" si="10"/>
        <v>10.337818453931265</v>
      </c>
      <c r="AG16">
        <v>800</v>
      </c>
      <c r="AH16">
        <f t="shared" si="18"/>
        <v>8.9603720815848202</v>
      </c>
    </row>
    <row r="17" spans="14:34" x14ac:dyDescent="0.25">
      <c r="N17">
        <v>1000</v>
      </c>
      <c r="O17">
        <f t="shared" si="8"/>
        <v>12.25743530267869</v>
      </c>
      <c r="X17">
        <v>1000</v>
      </c>
      <c r="Y17">
        <f t="shared" si="10"/>
        <v>11.658210400279504</v>
      </c>
      <c r="AG17">
        <v>900</v>
      </c>
      <c r="AH17">
        <f t="shared" si="18"/>
        <v>10.331584226715417</v>
      </c>
    </row>
    <row r="18" spans="14:34" x14ac:dyDescent="0.25">
      <c r="N18">
        <v>1500</v>
      </c>
      <c r="O18">
        <f t="shared" si="8"/>
        <v>16.046986174859271</v>
      </c>
      <c r="X18">
        <v>1500</v>
      </c>
      <c r="Y18">
        <f t="shared" si="10"/>
        <v>16.949011309908361</v>
      </c>
      <c r="AG18">
        <v>1000</v>
      </c>
      <c r="AH18">
        <f t="shared" si="18"/>
        <v>11.664734251040024</v>
      </c>
    </row>
    <row r="19" spans="14:34" x14ac:dyDescent="0.25">
      <c r="N19">
        <v>2000</v>
      </c>
      <c r="O19">
        <f t="shared" si="8"/>
        <v>18.496669650757084</v>
      </c>
      <c r="X19">
        <v>2000</v>
      </c>
      <c r="Y19">
        <f t="shared" si="10"/>
        <v>19.670487279585434</v>
      </c>
      <c r="AG19">
        <v>1500</v>
      </c>
      <c r="AH19">
        <f t="shared" si="18"/>
        <v>16.968656284025396</v>
      </c>
    </row>
    <row r="20" spans="14:34" x14ac:dyDescent="0.25">
      <c r="N20">
        <v>3000</v>
      </c>
      <c r="O20">
        <f t="shared" si="8"/>
        <v>21.100029117295495</v>
      </c>
      <c r="X20">
        <v>3000</v>
      </c>
      <c r="Y20">
        <f t="shared" si="10"/>
        <v>21.160586366965688</v>
      </c>
      <c r="AG20">
        <v>2000</v>
      </c>
      <c r="AH20">
        <f t="shared" si="18"/>
        <v>19.633873775027169</v>
      </c>
    </row>
    <row r="21" spans="14:34" x14ac:dyDescent="0.25">
      <c r="N21">
        <v>4000</v>
      </c>
      <c r="O21">
        <f>($N$2*N21)/(((1/$O$2)+N21^$P$2)^(1/$P$2))</f>
        <v>22.285064590790086</v>
      </c>
      <c r="X21">
        <v>4000</v>
      </c>
      <c r="Y21">
        <f t="shared" si="10"/>
        <v>21.345177318063364</v>
      </c>
      <c r="AG21">
        <v>3000</v>
      </c>
      <c r="AH21">
        <f t="shared" si="18"/>
        <v>21.040377836115486</v>
      </c>
    </row>
    <row r="22" spans="14:34" x14ac:dyDescent="0.25">
      <c r="N22">
        <v>5000</v>
      </c>
      <c r="X22">
        <v>5000</v>
      </c>
      <c r="AG22">
        <v>4000</v>
      </c>
      <c r="AH22">
        <f t="shared" si="18"/>
        <v>21.20513605959756</v>
      </c>
    </row>
    <row r="23" spans="14:34" x14ac:dyDescent="0.25">
      <c r="AG23">
        <v>5000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960E-B62D-4A20-959D-C2E37D60DBB7}">
  <dimension ref="A1:AI23"/>
  <sheetViews>
    <sheetView zoomScale="85" zoomScaleNormal="85" workbookViewId="0">
      <selection activeCell="AD4" activeCellId="1" sqref="U4:U14 AD4:AD14"/>
    </sheetView>
  </sheetViews>
  <sheetFormatPr defaultRowHeight="15" x14ac:dyDescent="0.25"/>
  <cols>
    <col min="2" max="2" width="12" customWidth="1"/>
    <col min="3" max="3" width="20.85546875" customWidth="1"/>
    <col min="8" max="8" width="8.85546875" customWidth="1"/>
    <col min="9" max="9" width="12" customWidth="1"/>
    <col min="10" max="10" width="19.140625" customWidth="1"/>
    <col min="11" max="11" width="18.42578125" customWidth="1"/>
    <col min="15" max="15" width="24" customWidth="1"/>
    <col min="18" max="18" width="15.85546875" customWidth="1"/>
    <col min="21" max="21" width="14.28515625" customWidth="1"/>
    <col min="25" max="25" width="24.5703125" customWidth="1"/>
  </cols>
  <sheetData>
    <row r="1" spans="1:35" x14ac:dyDescent="0.25">
      <c r="L1" s="1" t="s">
        <v>25</v>
      </c>
      <c r="N1" s="1" t="s">
        <v>26</v>
      </c>
      <c r="O1" s="1" t="s">
        <v>27</v>
      </c>
      <c r="P1" s="1" t="s">
        <v>28</v>
      </c>
      <c r="R1" s="41" t="s">
        <v>169</v>
      </c>
      <c r="V1" s="1" t="s">
        <v>25</v>
      </c>
      <c r="X1" s="1" t="s">
        <v>170</v>
      </c>
      <c r="Y1" s="1" t="s">
        <v>171</v>
      </c>
      <c r="AA1" s="41" t="s">
        <v>180</v>
      </c>
      <c r="AE1" s="1" t="s">
        <v>25</v>
      </c>
      <c r="AG1" s="1" t="s">
        <v>170</v>
      </c>
      <c r="AH1" s="1" t="s">
        <v>171</v>
      </c>
      <c r="AI1" s="1" t="s">
        <v>178</v>
      </c>
    </row>
    <row r="2" spans="1:35" x14ac:dyDescent="0.25">
      <c r="L2">
        <f>SUM(L4:L14)</f>
        <v>3.5353272276023113</v>
      </c>
      <c r="N2">
        <v>29154.143626747991</v>
      </c>
      <c r="O2">
        <v>2.6067256632960791E-6</v>
      </c>
      <c r="P2">
        <v>0.87358983533773604</v>
      </c>
      <c r="V2">
        <f>SUM(V4:V13)</f>
        <v>0.68474665657592082</v>
      </c>
      <c r="X2">
        <v>3.5372274229254985E-2</v>
      </c>
      <c r="Y2">
        <v>0.21690261282634024</v>
      </c>
      <c r="AE2">
        <f>SUM(AE4:AE14)</f>
        <v>0.22344050658958736</v>
      </c>
      <c r="AG2">
        <v>2.7595671798501299E-2</v>
      </c>
      <c r="AH2">
        <v>0.14210405068938745</v>
      </c>
      <c r="AI2">
        <v>28.1110440494882</v>
      </c>
    </row>
    <row r="3" spans="1:35" x14ac:dyDescent="0.25">
      <c r="A3" t="s">
        <v>31</v>
      </c>
      <c r="B3" t="s">
        <v>43</v>
      </c>
      <c r="C3" s="1" t="s">
        <v>80</v>
      </c>
      <c r="H3" s="1" t="s">
        <v>31</v>
      </c>
      <c r="I3" s="1" t="s">
        <v>43</v>
      </c>
      <c r="J3" s="1" t="s">
        <v>80</v>
      </c>
      <c r="K3" s="1" t="s">
        <v>29</v>
      </c>
      <c r="L3" s="1" t="s">
        <v>30</v>
      </c>
      <c r="M3" s="1"/>
      <c r="N3" s="9" t="s">
        <v>31</v>
      </c>
      <c r="O3" s="10" t="s">
        <v>32</v>
      </c>
      <c r="R3" s="1" t="s">
        <v>41</v>
      </c>
      <c r="S3" s="1" t="s">
        <v>43</v>
      </c>
      <c r="T3" s="1" t="s">
        <v>80</v>
      </c>
      <c r="U3" s="1" t="s">
        <v>172</v>
      </c>
      <c r="V3" s="1" t="s">
        <v>30</v>
      </c>
      <c r="W3" s="1"/>
      <c r="X3" s="9" t="s">
        <v>31</v>
      </c>
      <c r="Y3" s="10" t="s">
        <v>173</v>
      </c>
      <c r="Z3" s="1" t="s">
        <v>31</v>
      </c>
      <c r="AA3" s="1" t="s">
        <v>41</v>
      </c>
      <c r="AB3" s="1" t="s">
        <v>43</v>
      </c>
      <c r="AC3" s="1" t="s">
        <v>80</v>
      </c>
      <c r="AD3" s="1" t="s">
        <v>172</v>
      </c>
      <c r="AE3" s="1" t="s">
        <v>30</v>
      </c>
      <c r="AF3" s="1"/>
      <c r="AG3" s="9" t="s">
        <v>31</v>
      </c>
      <c r="AH3" s="10" t="s">
        <v>173</v>
      </c>
    </row>
    <row r="4" spans="1:35" x14ac:dyDescent="0.25">
      <c r="A4">
        <v>0</v>
      </c>
      <c r="B4">
        <v>0</v>
      </c>
      <c r="C4">
        <f>B4*'Isotherm List'!$G$4/'Isotherm List'!$H$20</f>
        <v>0</v>
      </c>
      <c r="H4">
        <f>A4</f>
        <v>0</v>
      </c>
      <c r="I4">
        <f>B4</f>
        <v>0</v>
      </c>
      <c r="J4">
        <f>C4</f>
        <v>0</v>
      </c>
      <c r="K4">
        <f>($N$2*H4)/(((1/$O$2)+H4^$P$2)^(1/$P$2))</f>
        <v>0</v>
      </c>
      <c r="L4">
        <f>(K4-J4)^2</f>
        <v>0</v>
      </c>
      <c r="N4">
        <v>10</v>
      </c>
      <c r="O4">
        <f>($N$2*N4)/(((1/$O$2)+N4^$P$2)^(1/$P$2))</f>
        <v>0.11824531946469009</v>
      </c>
      <c r="R4">
        <f>A4/100</f>
        <v>0</v>
      </c>
      <c r="S4">
        <f t="shared" ref="S4:S14" si="0">B4</f>
        <v>0</v>
      </c>
      <c r="T4">
        <f t="shared" ref="T4:T14" si="1">C4</f>
        <v>0</v>
      </c>
      <c r="U4">
        <f t="shared" ref="U4:U14" si="2">($T$14*(1-EXP(-($X$2+$Y$2)*R4))/(1+$Y$2/$X$2*EXP(-($X$2+$Y$2)*R4)))</f>
        <v>0</v>
      </c>
      <c r="V4">
        <f>(U4-T4)^2</f>
        <v>0</v>
      </c>
      <c r="X4">
        <v>10</v>
      </c>
      <c r="Y4">
        <f>($T$14*(1-EXP(-($X$2+$Y$2)*(X4/100)))/(1+$Y$2/$X$2*EXP(-($X$2+$Y$2)*(X4/100))))</f>
        <v>6.8950352056056E-2</v>
      </c>
      <c r="Z4">
        <v>0</v>
      </c>
      <c r="AA4">
        <f>A4/100</f>
        <v>0</v>
      </c>
      <c r="AB4">
        <f>B4</f>
        <v>0</v>
      </c>
      <c r="AC4">
        <f>C4</f>
        <v>0</v>
      </c>
      <c r="AD4">
        <f>($AI$2*(1-EXP(-($AG$2+$AH$2)*AA4))/(1+$AH$2/$AG$2*EXP(-($AG$2+$AH$2)*AA4)))</f>
        <v>0</v>
      </c>
      <c r="AE4">
        <f>(AD4-AC4)^2</f>
        <v>0</v>
      </c>
      <c r="AG4">
        <v>0</v>
      </c>
      <c r="AH4">
        <v>0</v>
      </c>
    </row>
    <row r="5" spans="1:35" x14ac:dyDescent="0.25">
      <c r="A5">
        <v>69</v>
      </c>
      <c r="B5">
        <v>0.57999999999999996</v>
      </c>
      <c r="C5">
        <f>B5*'Isotherm List'!$G$4/'Isotherm List'!$H$20</f>
        <v>0.66216238006933803</v>
      </c>
      <c r="H5">
        <f t="shared" ref="H5:H14" si="3">A5</f>
        <v>69</v>
      </c>
      <c r="I5">
        <f t="shared" ref="I5:I14" si="4">B5</f>
        <v>0.57999999999999996</v>
      </c>
      <c r="J5">
        <f t="shared" ref="J5:J14" si="5">C5</f>
        <v>0.66216238006933803</v>
      </c>
      <c r="K5">
        <f t="shared" ref="K5:K14" si="6">($N$2*H5)/(((1/$O$2)+H5^$P$2)^(1/$P$2))</f>
        <v>0.81581255021100763</v>
      </c>
      <c r="L5">
        <f t="shared" ref="L5:L14" si="7">(K5-J5)^2</f>
        <v>2.3608374784564016E-2</v>
      </c>
      <c r="N5">
        <v>30</v>
      </c>
      <c r="O5">
        <f t="shared" ref="O5:O18" si="8">($N$2*N5)/(((1/$O$2)+N5^$P$2)^(1/$P$2))</f>
        <v>0.35472321287448699</v>
      </c>
      <c r="R5">
        <f t="shared" ref="R5:R14" si="9">A5/100</f>
        <v>0.69</v>
      </c>
      <c r="S5">
        <f t="shared" si="0"/>
        <v>0.57999999999999996</v>
      </c>
      <c r="T5">
        <f t="shared" si="1"/>
        <v>0.66216238006933803</v>
      </c>
      <c r="U5">
        <f t="shared" si="2"/>
        <v>0.50161353067632442</v>
      </c>
      <c r="V5">
        <f t="shared" ref="V5:V12" si="10">(U5-T5)^2</f>
        <v>2.5775933041420569E-2</v>
      </c>
      <c r="X5">
        <v>30</v>
      </c>
      <c r="Y5">
        <f t="shared" ref="Y5:Y18" si="11">($T$14*(1-EXP(-($X$2+$Y$2)*(X5/100)))/(1+$Y$2/$X$2*EXP(-($X$2+$Y$2)*(X5/100))))</f>
        <v>0.21061907928032783</v>
      </c>
      <c r="Z5">
        <f>A5</f>
        <v>69</v>
      </c>
      <c r="AA5">
        <f t="shared" ref="AA5:AA13" si="12">A5/100</f>
        <v>0.69</v>
      </c>
      <c r="AB5">
        <f t="shared" ref="AB5:AB13" si="13">B5</f>
        <v>0.57999999999999996</v>
      </c>
      <c r="AC5">
        <f t="shared" ref="AC5:AC13" si="14">C5</f>
        <v>0.66216238006933803</v>
      </c>
      <c r="AD5">
        <f>($AI$2*(1-EXP(-($AG$2+$AH$2)*AA5))/(1+$AH$2/$AG$2*EXP(-($AG$2+$AH$2)*AA5)))</f>
        <v>0.55661629199073848</v>
      </c>
      <c r="AE5">
        <f t="shared" ref="AE5:AE13" si="15">(AD5-AC5)^2</f>
        <v>1.1139976708695494E-2</v>
      </c>
      <c r="AG5">
        <v>10</v>
      </c>
      <c r="AH5">
        <f>($AI$2*(1-EXP(-($AG$2+$AH$2)*(AG5/100)))/(1+$AH$2/$AG$2*EXP(-($AG$2+$AH$2)*(AG5/100))))</f>
        <v>7.8019134460831543E-2</v>
      </c>
    </row>
    <row r="6" spans="1:35" x14ac:dyDescent="0.25">
      <c r="A6">
        <v>89</v>
      </c>
      <c r="B6">
        <v>0.76</v>
      </c>
      <c r="C6">
        <f>B6*'Isotherm List'!$G$4/'Isotherm List'!$H$20</f>
        <v>0.8676610497460292</v>
      </c>
      <c r="H6">
        <f t="shared" si="3"/>
        <v>89</v>
      </c>
      <c r="I6">
        <f t="shared" si="4"/>
        <v>0.76</v>
      </c>
      <c r="J6">
        <f t="shared" si="5"/>
        <v>0.8676610497460292</v>
      </c>
      <c r="K6">
        <f t="shared" si="6"/>
        <v>1.0522483707466486</v>
      </c>
      <c r="L6">
        <f t="shared" si="7"/>
        <v>3.4072479074185695E-2</v>
      </c>
      <c r="N6">
        <v>50</v>
      </c>
      <c r="O6">
        <f t="shared" si="8"/>
        <v>0.59118599194996946</v>
      </c>
      <c r="R6">
        <f t="shared" si="9"/>
        <v>0.89</v>
      </c>
      <c r="S6">
        <f t="shared" si="0"/>
        <v>0.76</v>
      </c>
      <c r="T6">
        <f t="shared" si="1"/>
        <v>0.8676610497460292</v>
      </c>
      <c r="U6">
        <f t="shared" si="2"/>
        <v>0.65855532660556393</v>
      </c>
      <c r="V6">
        <f t="shared" si="10"/>
        <v>4.3725203450096915E-2</v>
      </c>
      <c r="X6">
        <v>50</v>
      </c>
      <c r="Y6">
        <f t="shared" si="11"/>
        <v>0.35738628372124226</v>
      </c>
      <c r="Z6">
        <f t="shared" ref="Z6:Z14" si="16">A6</f>
        <v>89</v>
      </c>
      <c r="AA6">
        <f t="shared" si="12"/>
        <v>0.89</v>
      </c>
      <c r="AB6">
        <f t="shared" si="13"/>
        <v>0.76</v>
      </c>
      <c r="AC6">
        <f t="shared" si="14"/>
        <v>0.8676610497460292</v>
      </c>
      <c r="AD6">
        <f t="shared" ref="AD6:AD13" si="17">($AI$2*(1-EXP(-($AG$2+$AH$2)*AA6))/(1+$AH$2/$AG$2*EXP(-($AG$2+$AH$2)*AA6)))</f>
        <v>0.72602743259326541</v>
      </c>
      <c r="AE6">
        <f t="shared" si="15"/>
        <v>2.0060081507775666E-2</v>
      </c>
      <c r="AG6">
        <v>30</v>
      </c>
      <c r="AH6">
        <f t="shared" ref="AH6:AH19" si="18">($AI$2*(1-EXP(-($AG$2+$AH$2)*(AG6/100)))/(1+$AH$2/$AG$2*EXP(-($AG$2+$AH$2)*(AG6/100))))</f>
        <v>0.23673808819608905</v>
      </c>
    </row>
    <row r="7" spans="1:35" x14ac:dyDescent="0.25">
      <c r="A7">
        <v>121</v>
      </c>
      <c r="B7">
        <v>0.97</v>
      </c>
      <c r="C7">
        <f>B7*'Isotherm List'!$G$4/'Isotherm List'!$H$20</f>
        <v>1.1074094977021687</v>
      </c>
      <c r="H7">
        <f t="shared" si="3"/>
        <v>121</v>
      </c>
      <c r="I7">
        <f t="shared" si="4"/>
        <v>0.97</v>
      </c>
      <c r="J7">
        <f t="shared" si="5"/>
        <v>1.1074094977021687</v>
      </c>
      <c r="K7">
        <f t="shared" si="6"/>
        <v>1.4305185770819493</v>
      </c>
      <c r="L7">
        <f t="shared" si="7"/>
        <v>0.10439947717764937</v>
      </c>
      <c r="N7">
        <v>70</v>
      </c>
      <c r="O7">
        <f t="shared" si="8"/>
        <v>0.82763465855076546</v>
      </c>
      <c r="R7">
        <f t="shared" si="9"/>
        <v>1.21</v>
      </c>
      <c r="S7">
        <f t="shared" si="0"/>
        <v>0.97</v>
      </c>
      <c r="T7">
        <f t="shared" si="1"/>
        <v>1.1074094977021687</v>
      </c>
      <c r="U7">
        <f t="shared" si="2"/>
        <v>0.9207551795376131</v>
      </c>
      <c r="V7">
        <f t="shared" si="10"/>
        <v>3.4839834489475141E-2</v>
      </c>
      <c r="X7">
        <v>70</v>
      </c>
      <c r="Y7">
        <f t="shared" si="11"/>
        <v>0.50933524588864532</v>
      </c>
      <c r="Z7">
        <f t="shared" si="16"/>
        <v>121</v>
      </c>
      <c r="AA7">
        <f t="shared" si="12"/>
        <v>1.21</v>
      </c>
      <c r="AB7">
        <f t="shared" si="13"/>
        <v>0.97</v>
      </c>
      <c r="AC7">
        <f t="shared" si="14"/>
        <v>1.1074094977021687</v>
      </c>
      <c r="AD7">
        <f t="shared" si="17"/>
        <v>1.0047264908908855</v>
      </c>
      <c r="AE7">
        <f t="shared" si="15"/>
        <v>1.0543799887806026E-2</v>
      </c>
      <c r="AG7">
        <v>50</v>
      </c>
      <c r="AH7">
        <f t="shared" si="18"/>
        <v>0.39905599840362999</v>
      </c>
    </row>
    <row r="8" spans="1:35" x14ac:dyDescent="0.25">
      <c r="A8">
        <v>180</v>
      </c>
      <c r="B8">
        <v>1.48</v>
      </c>
      <c r="C8">
        <f>B8*'Isotherm List'!$G$4/'Isotherm List'!$H$20</f>
        <v>1.6896557284527935</v>
      </c>
      <c r="H8">
        <f t="shared" si="3"/>
        <v>180</v>
      </c>
      <c r="I8">
        <f t="shared" si="4"/>
        <v>1.48</v>
      </c>
      <c r="J8">
        <f t="shared" si="5"/>
        <v>1.6896557284527935</v>
      </c>
      <c r="K8">
        <f t="shared" si="6"/>
        <v>2.1278704008709046</v>
      </c>
      <c r="L8">
        <f t="shared" si="7"/>
        <v>0.1920320991225124</v>
      </c>
      <c r="N8">
        <v>100</v>
      </c>
      <c r="O8">
        <f t="shared" si="8"/>
        <v>1.1822824647992087</v>
      </c>
      <c r="R8">
        <f t="shared" si="9"/>
        <v>1.8</v>
      </c>
      <c r="S8">
        <f t="shared" si="0"/>
        <v>1.48</v>
      </c>
      <c r="T8">
        <f t="shared" si="1"/>
        <v>1.6896557284527935</v>
      </c>
      <c r="U8">
        <f t="shared" si="2"/>
        <v>1.4405984536597967</v>
      </c>
      <c r="V8">
        <f t="shared" si="10"/>
        <v>6.2029526127314362E-2</v>
      </c>
      <c r="X8">
        <v>100</v>
      </c>
      <c r="Y8">
        <f t="shared" si="11"/>
        <v>0.74713758100856842</v>
      </c>
      <c r="Z8">
        <f t="shared" si="16"/>
        <v>180</v>
      </c>
      <c r="AA8">
        <f t="shared" si="12"/>
        <v>1.8</v>
      </c>
      <c r="AB8">
        <f t="shared" si="13"/>
        <v>1.48</v>
      </c>
      <c r="AC8">
        <f t="shared" si="14"/>
        <v>1.6896557284527935</v>
      </c>
      <c r="AD8">
        <f t="shared" si="17"/>
        <v>1.5434161911270998</v>
      </c>
      <c r="AE8">
        <f t="shared" si="15"/>
        <v>2.1386002277232967E-2</v>
      </c>
      <c r="AG8">
        <v>70</v>
      </c>
      <c r="AH8">
        <f t="shared" si="18"/>
        <v>0.56499999606494833</v>
      </c>
    </row>
    <row r="9" spans="1:35" x14ac:dyDescent="0.25">
      <c r="A9">
        <v>268</v>
      </c>
      <c r="B9">
        <v>2.21</v>
      </c>
      <c r="C9">
        <f>B9*'Isotherm List'!$G$4/'Isotherm List'!$H$20</f>
        <v>2.523066999919374</v>
      </c>
      <c r="H9">
        <f t="shared" si="3"/>
        <v>268</v>
      </c>
      <c r="I9">
        <f t="shared" si="4"/>
        <v>2.21</v>
      </c>
      <c r="J9">
        <f t="shared" si="5"/>
        <v>2.523066999919374</v>
      </c>
      <c r="K9">
        <f t="shared" si="6"/>
        <v>3.1677957032790376</v>
      </c>
      <c r="L9">
        <f t="shared" si="7"/>
        <v>0.4156751009358331</v>
      </c>
      <c r="N9">
        <v>200</v>
      </c>
      <c r="O9">
        <f t="shared" si="8"/>
        <v>2.3642369587731644</v>
      </c>
      <c r="R9">
        <f t="shared" si="9"/>
        <v>2.68</v>
      </c>
      <c r="S9">
        <f t="shared" si="0"/>
        <v>2.21</v>
      </c>
      <c r="T9">
        <f t="shared" si="1"/>
        <v>2.523066999919374</v>
      </c>
      <c r="U9">
        <f t="shared" si="2"/>
        <v>2.3046817205070229</v>
      </c>
      <c r="V9">
        <f t="shared" si="10"/>
        <v>4.7692130264010653E-2</v>
      </c>
      <c r="X9">
        <v>200</v>
      </c>
      <c r="Y9">
        <f t="shared" si="11"/>
        <v>1.6276473425254965</v>
      </c>
      <c r="Z9">
        <f t="shared" si="16"/>
        <v>268</v>
      </c>
      <c r="AA9">
        <f t="shared" si="12"/>
        <v>2.68</v>
      </c>
      <c r="AB9">
        <f t="shared" si="13"/>
        <v>2.21</v>
      </c>
      <c r="AC9">
        <f t="shared" si="14"/>
        <v>2.523066999919374</v>
      </c>
      <c r="AD9">
        <f t="shared" si="17"/>
        <v>2.4069752086856178</v>
      </c>
      <c r="AE9">
        <f t="shared" si="15"/>
        <v>1.3477303991862042E-2</v>
      </c>
      <c r="AG9">
        <v>100</v>
      </c>
      <c r="AH9">
        <f t="shared" si="18"/>
        <v>0.8207667205047533</v>
      </c>
    </row>
    <row r="10" spans="1:35" x14ac:dyDescent="0.25">
      <c r="A10">
        <v>318</v>
      </c>
      <c r="B10">
        <v>2.6</v>
      </c>
      <c r="C10">
        <f>B10*'Isotherm List'!$G$4/'Isotherm List'!$H$20</f>
        <v>2.9683141175522052</v>
      </c>
      <c r="H10">
        <f t="shared" si="3"/>
        <v>318</v>
      </c>
      <c r="I10">
        <f t="shared" si="4"/>
        <v>2.6</v>
      </c>
      <c r="J10">
        <f t="shared" si="5"/>
        <v>2.9683141175522052</v>
      </c>
      <c r="K10">
        <f t="shared" si="6"/>
        <v>3.7585634856473096</v>
      </c>
      <c r="L10">
        <f t="shared" si="7"/>
        <v>0.62449406377471173</v>
      </c>
      <c r="N10">
        <v>300</v>
      </c>
      <c r="O10">
        <f t="shared" si="8"/>
        <v>3.5458951788577928</v>
      </c>
      <c r="R10">
        <f t="shared" si="9"/>
        <v>3.18</v>
      </c>
      <c r="S10">
        <f t="shared" si="0"/>
        <v>2.6</v>
      </c>
      <c r="T10">
        <f t="shared" si="1"/>
        <v>2.9683141175522052</v>
      </c>
      <c r="U10">
        <f t="shared" si="2"/>
        <v>2.8424198385734694</v>
      </c>
      <c r="V10">
        <f t="shared" si="10"/>
        <v>1.584936947957577E-2</v>
      </c>
      <c r="X10">
        <v>300</v>
      </c>
      <c r="Y10">
        <f t="shared" si="11"/>
        <v>2.6450064580564288</v>
      </c>
      <c r="Z10">
        <f t="shared" si="16"/>
        <v>318</v>
      </c>
      <c r="AA10">
        <f t="shared" si="12"/>
        <v>3.18</v>
      </c>
      <c r="AB10">
        <f t="shared" si="13"/>
        <v>2.6</v>
      </c>
      <c r="AC10">
        <f t="shared" si="14"/>
        <v>2.9683141175522052</v>
      </c>
      <c r="AD10">
        <f t="shared" si="17"/>
        <v>2.9294782958803882</v>
      </c>
      <c r="AE10">
        <f t="shared" si="15"/>
        <v>1.5082210449251696E-3</v>
      </c>
      <c r="AG10">
        <v>200</v>
      </c>
      <c r="AH10">
        <f t="shared" si="18"/>
        <v>1.7333636802774741</v>
      </c>
    </row>
    <row r="11" spans="1:35" x14ac:dyDescent="0.25">
      <c r="A11">
        <v>541</v>
      </c>
      <c r="B11">
        <v>4.6500000000000004</v>
      </c>
      <c r="C11">
        <f>B11*'Isotherm List'!$G$4/'Isotherm List'!$H$20</f>
        <v>5.3087156333145211</v>
      </c>
      <c r="H11">
        <f t="shared" si="3"/>
        <v>541</v>
      </c>
      <c r="I11">
        <f t="shared" si="4"/>
        <v>4.6500000000000004</v>
      </c>
      <c r="J11">
        <f t="shared" si="5"/>
        <v>5.3087156333145211</v>
      </c>
      <c r="K11">
        <f t="shared" si="6"/>
        <v>6.392556717034652</v>
      </c>
      <c r="L11">
        <f t="shared" si="7"/>
        <v>1.1747114947596278</v>
      </c>
      <c r="N11">
        <v>400</v>
      </c>
      <c r="O11">
        <f t="shared" si="8"/>
        <v>4.7272725327364258</v>
      </c>
      <c r="R11">
        <f t="shared" si="9"/>
        <v>5.41</v>
      </c>
      <c r="S11">
        <f t="shared" si="0"/>
        <v>4.6500000000000004</v>
      </c>
      <c r="T11">
        <f t="shared" si="1"/>
        <v>5.3087156333145211</v>
      </c>
      <c r="U11">
        <f t="shared" si="2"/>
        <v>5.6044867277023176</v>
      </c>
      <c r="V11">
        <f t="shared" si="10"/>
        <v>8.7480540275354804E-2</v>
      </c>
      <c r="X11">
        <v>400</v>
      </c>
      <c r="Y11">
        <f t="shared" si="11"/>
        <v>3.793954609785116</v>
      </c>
      <c r="Z11">
        <f t="shared" si="16"/>
        <v>541</v>
      </c>
      <c r="AA11">
        <f t="shared" si="12"/>
        <v>5.41</v>
      </c>
      <c r="AB11">
        <f t="shared" si="13"/>
        <v>4.6500000000000004</v>
      </c>
      <c r="AC11">
        <f t="shared" si="14"/>
        <v>5.3087156333145211</v>
      </c>
      <c r="AD11">
        <f t="shared" si="17"/>
        <v>5.5255118690083425</v>
      </c>
      <c r="AE11">
        <f t="shared" si="15"/>
        <v>4.7000607811010932E-2</v>
      </c>
      <c r="AG11">
        <v>300</v>
      </c>
      <c r="AH11">
        <f t="shared" si="18"/>
        <v>2.738744402143499</v>
      </c>
    </row>
    <row r="12" spans="1:35" x14ac:dyDescent="0.25">
      <c r="A12">
        <v>870</v>
      </c>
      <c r="B12">
        <v>8.56</v>
      </c>
      <c r="C12">
        <f>B12*'Isotherm List'!$G$4/'Isotherm List'!$H$20</f>
        <v>9.7726034024026447</v>
      </c>
      <c r="H12">
        <f t="shared" si="3"/>
        <v>870</v>
      </c>
      <c r="I12">
        <f t="shared" si="4"/>
        <v>8.56</v>
      </c>
      <c r="J12">
        <f t="shared" si="5"/>
        <v>9.7726034024026447</v>
      </c>
      <c r="K12">
        <f t="shared" si="6"/>
        <v>10.276232943362009</v>
      </c>
      <c r="L12">
        <f t="shared" si="7"/>
        <v>0.25364271452694021</v>
      </c>
      <c r="N12">
        <v>500</v>
      </c>
      <c r="O12">
        <f t="shared" si="8"/>
        <v>5.9083793059243961</v>
      </c>
      <c r="R12">
        <f t="shared" si="9"/>
        <v>8.6999999999999993</v>
      </c>
      <c r="S12">
        <f t="shared" si="0"/>
        <v>8.56</v>
      </c>
      <c r="T12">
        <f t="shared" si="1"/>
        <v>9.7726034024026447</v>
      </c>
      <c r="U12">
        <f t="shared" si="2"/>
        <v>10.199288883958113</v>
      </c>
      <c r="V12">
        <f t="shared" si="10"/>
        <v>0.18206050017022193</v>
      </c>
      <c r="X12">
        <v>500</v>
      </c>
      <c r="Y12">
        <f t="shared" si="11"/>
        <v>5.0585357178227834</v>
      </c>
      <c r="Z12">
        <f t="shared" si="16"/>
        <v>870</v>
      </c>
      <c r="AA12">
        <f t="shared" si="12"/>
        <v>8.6999999999999993</v>
      </c>
      <c r="AB12">
        <f t="shared" si="13"/>
        <v>8.56</v>
      </c>
      <c r="AC12">
        <f t="shared" si="14"/>
        <v>9.7726034024026447</v>
      </c>
      <c r="AD12">
        <f t="shared" si="17"/>
        <v>9.9651345236570616</v>
      </c>
      <c r="AE12">
        <f t="shared" si="15"/>
        <v>3.7068232651483006E-2</v>
      </c>
      <c r="AG12">
        <v>400</v>
      </c>
      <c r="AH12">
        <f t="shared" si="18"/>
        <v>3.8351441888568729</v>
      </c>
    </row>
    <row r="13" spans="1:35" x14ac:dyDescent="0.25">
      <c r="A13">
        <v>1122</v>
      </c>
      <c r="B13">
        <v>12.07</v>
      </c>
      <c r="C13">
        <f>B13*'Isotherm List'!$G$4/'Isotherm List'!$H$20</f>
        <v>13.779827461098122</v>
      </c>
      <c r="H13">
        <f t="shared" si="3"/>
        <v>1122</v>
      </c>
      <c r="I13">
        <f t="shared" si="4"/>
        <v>12.07</v>
      </c>
      <c r="J13">
        <f t="shared" si="5"/>
        <v>13.779827461098122</v>
      </c>
      <c r="K13">
        <f t="shared" si="6"/>
        <v>13.249162601554419</v>
      </c>
      <c r="L13">
        <f t="shared" si="7"/>
        <v>0.28160519315453864</v>
      </c>
      <c r="N13">
        <v>600</v>
      </c>
      <c r="O13">
        <f t="shared" si="8"/>
        <v>7.0892231831582553</v>
      </c>
      <c r="R13">
        <f t="shared" si="9"/>
        <v>11.22</v>
      </c>
      <c r="S13">
        <f t="shared" si="0"/>
        <v>12.07</v>
      </c>
      <c r="T13">
        <f t="shared" si="1"/>
        <v>13.779827461098122</v>
      </c>
      <c r="U13">
        <f t="shared" si="2"/>
        <v>13.34937000759261</v>
      </c>
      <c r="V13">
        <f t="shared" ref="V13" si="19">(U13-T13)^2</f>
        <v>0.1852936192784507</v>
      </c>
      <c r="X13">
        <v>600</v>
      </c>
      <c r="Y13">
        <f t="shared" si="11"/>
        <v>6.4115539912293471</v>
      </c>
      <c r="Z13">
        <f t="shared" si="16"/>
        <v>1122</v>
      </c>
      <c r="AA13">
        <f t="shared" si="12"/>
        <v>11.22</v>
      </c>
      <c r="AB13">
        <f t="shared" si="13"/>
        <v>12.07</v>
      </c>
      <c r="AC13">
        <f t="shared" si="14"/>
        <v>13.779827461098122</v>
      </c>
      <c r="AD13">
        <f t="shared" si="17"/>
        <v>13.538196285786251</v>
      </c>
      <c r="AE13">
        <f t="shared" si="15"/>
        <v>5.8385624882596437E-2</v>
      </c>
      <c r="AG13">
        <v>500</v>
      </c>
      <c r="AH13">
        <f>($AI$2*(1-EXP(-($AG$2+$AH$2)*(AG13/100)))/(1+$AH$2/$AG$2*EXP(-($AG$2+$AH$2)*(AG13/100))))</f>
        <v>5.0176325063129594</v>
      </c>
    </row>
    <row r="14" spans="1:35" x14ac:dyDescent="0.25">
      <c r="A14">
        <v>1581</v>
      </c>
      <c r="B14">
        <v>16.920000000000002</v>
      </c>
      <c r="C14">
        <f>B14*'Isotherm List'!$G$4/'Isotherm List'!$H$20</f>
        <v>19.316874949608966</v>
      </c>
      <c r="H14">
        <f t="shared" si="3"/>
        <v>1581</v>
      </c>
      <c r="I14">
        <f t="shared" si="4"/>
        <v>16.920000000000002</v>
      </c>
      <c r="J14">
        <f t="shared" si="5"/>
        <v>19.316874949608966</v>
      </c>
      <c r="K14">
        <f t="shared" si="6"/>
        <v>18.660303376746</v>
      </c>
      <c r="L14">
        <f t="shared" si="7"/>
        <v>0.43108623029174847</v>
      </c>
      <c r="N14">
        <v>700</v>
      </c>
      <c r="O14">
        <f t="shared" si="8"/>
        <v>8.269810274898834</v>
      </c>
      <c r="R14">
        <f t="shared" si="9"/>
        <v>15.81</v>
      </c>
      <c r="S14">
        <f t="shared" si="0"/>
        <v>16.920000000000002</v>
      </c>
      <c r="T14">
        <f t="shared" si="1"/>
        <v>19.316874949608966</v>
      </c>
      <c r="U14">
        <f t="shared" si="2"/>
        <v>17.024718048496204</v>
      </c>
      <c r="V14">
        <f>(U14-T14)^2</f>
        <v>5.2539832593188587</v>
      </c>
      <c r="X14">
        <v>700</v>
      </c>
      <c r="Y14">
        <f t="shared" si="11"/>
        <v>7.8160638168697005</v>
      </c>
      <c r="Z14">
        <f t="shared" si="16"/>
        <v>1581</v>
      </c>
      <c r="AA14">
        <f t="shared" ref="AA14" si="20">A14/100</f>
        <v>15.81</v>
      </c>
      <c r="AB14">
        <f t="shared" ref="AB14" si="21">B14</f>
        <v>16.920000000000002</v>
      </c>
      <c r="AC14">
        <f t="shared" ref="AC14" si="22">C14</f>
        <v>19.316874949608966</v>
      </c>
      <c r="AD14">
        <f t="shared" ref="AD14" si="23">($AI$2*(1-EXP(-($AG$2+$AH$2)*AA14))/(1+$AH$2/$AG$2*EXP(-($AG$2+$AH$2)*AA14)))</f>
        <v>19.37045345113896</v>
      </c>
      <c r="AE14">
        <f t="shared" ref="AE14" si="24">(AD14-AC14)^2</f>
        <v>2.8706558261996046E-3</v>
      </c>
      <c r="AG14">
        <v>600</v>
      </c>
      <c r="AH14">
        <f t="shared" si="18"/>
        <v>6.2778306460378817</v>
      </c>
    </row>
    <row r="15" spans="1:35" x14ac:dyDescent="0.25">
      <c r="N15">
        <v>800</v>
      </c>
      <c r="O15">
        <f t="shared" si="8"/>
        <v>9.4501456382648108</v>
      </c>
      <c r="X15">
        <v>800</v>
      </c>
      <c r="Y15">
        <f t="shared" si="11"/>
        <v>9.2289848933312584</v>
      </c>
      <c r="AG15">
        <v>700</v>
      </c>
      <c r="AH15">
        <f t="shared" si="18"/>
        <v>7.6038694159886235</v>
      </c>
    </row>
    <row r="16" spans="1:35" x14ac:dyDescent="0.25">
      <c r="N16">
        <v>900</v>
      </c>
      <c r="O16">
        <f t="shared" si="8"/>
        <v>10.630233577597201</v>
      </c>
      <c r="X16">
        <v>900</v>
      </c>
      <c r="Y16">
        <f t="shared" si="11"/>
        <v>10.606202884279119</v>
      </c>
      <c r="AG16">
        <v>800</v>
      </c>
      <c r="AH16">
        <f t="shared" si="18"/>
        <v>8.9806423058785327</v>
      </c>
    </row>
    <row r="17" spans="14:34" x14ac:dyDescent="0.25">
      <c r="N17">
        <v>1000</v>
      </c>
      <c r="O17">
        <f t="shared" si="8"/>
        <v>11.810077833411432</v>
      </c>
      <c r="X17">
        <v>1000</v>
      </c>
      <c r="Y17">
        <f t="shared" si="11"/>
        <v>11.907930904204642</v>
      </c>
      <c r="AG17">
        <v>900</v>
      </c>
      <c r="AH17">
        <f>($AI$2*(1-EXP(-($AG$2+$AH$2)*(AG17/100)))/(1+$AH$2/$AG$2*EXP(-($AG$2+$AH$2)*(AG17/100))))</f>
        <v>10.390373412000672</v>
      </c>
    </row>
    <row r="18" spans="14:34" x14ac:dyDescent="0.25">
      <c r="N18">
        <v>1500</v>
      </c>
      <c r="O18">
        <f t="shared" si="8"/>
        <v>17.705748502062058</v>
      </c>
      <c r="X18">
        <v>1500</v>
      </c>
      <c r="Y18">
        <f t="shared" si="11"/>
        <v>16.568612530680308</v>
      </c>
      <c r="AG18">
        <v>1000</v>
      </c>
      <c r="AH18">
        <f t="shared" si="18"/>
        <v>11.813471298558525</v>
      </c>
    </row>
    <row r="19" spans="14:34" x14ac:dyDescent="0.25">
      <c r="N19">
        <v>2000</v>
      </c>
      <c r="X19">
        <v>2000</v>
      </c>
      <c r="AG19">
        <v>1500</v>
      </c>
      <c r="AH19">
        <f t="shared" si="18"/>
        <v>18.453046817500312</v>
      </c>
    </row>
    <row r="20" spans="14:34" x14ac:dyDescent="0.25">
      <c r="N20">
        <v>3000</v>
      </c>
      <c r="X20">
        <v>3000</v>
      </c>
      <c r="AG20">
        <v>2000</v>
      </c>
    </row>
    <row r="21" spans="14:34" x14ac:dyDescent="0.25">
      <c r="N21">
        <v>4000</v>
      </c>
      <c r="X21">
        <v>4000</v>
      </c>
      <c r="AG21">
        <v>3000</v>
      </c>
    </row>
    <row r="22" spans="14:34" x14ac:dyDescent="0.25">
      <c r="N22">
        <v>5000</v>
      </c>
      <c r="X22">
        <v>5000</v>
      </c>
      <c r="AG22">
        <v>4000</v>
      </c>
    </row>
    <row r="23" spans="14:34" x14ac:dyDescent="0.25">
      <c r="AG23">
        <v>5000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48F6-45D6-4455-829B-84DBD744FE1C}">
  <sheetPr>
    <tabColor theme="2"/>
  </sheetPr>
  <dimension ref="A1:AI23"/>
  <sheetViews>
    <sheetView topLeftCell="C1" zoomScale="70" zoomScaleNormal="70" workbookViewId="0">
      <selection activeCell="T33" sqref="T33"/>
    </sheetView>
  </sheetViews>
  <sheetFormatPr defaultRowHeight="15" x14ac:dyDescent="0.25"/>
  <cols>
    <col min="3" max="3" width="10.7109375" customWidth="1"/>
    <col min="4" max="4" width="12.7109375" customWidth="1"/>
    <col min="5" max="5" width="19.85546875" customWidth="1"/>
    <col min="8" max="8" width="9.28515625" customWidth="1"/>
    <col min="9" max="9" width="18.140625" customWidth="1"/>
    <col min="10" max="10" width="18.7109375" customWidth="1"/>
    <col min="11" max="11" width="19.28515625" customWidth="1"/>
    <col min="15" max="15" width="22.85546875" customWidth="1"/>
    <col min="18" max="18" width="14.85546875" customWidth="1"/>
    <col min="19" max="21" width="9.140625" customWidth="1"/>
    <col min="25" max="25" width="23.5703125" customWidth="1"/>
  </cols>
  <sheetData>
    <row r="1" spans="1:35" x14ac:dyDescent="0.25">
      <c r="L1" s="1" t="s">
        <v>25</v>
      </c>
      <c r="N1" s="1" t="s">
        <v>26</v>
      </c>
      <c r="O1" s="1" t="s">
        <v>27</v>
      </c>
      <c r="P1" s="1" t="s">
        <v>28</v>
      </c>
      <c r="R1" s="41" t="s">
        <v>169</v>
      </c>
      <c r="V1" s="1" t="s">
        <v>25</v>
      </c>
      <c r="X1" s="1" t="s">
        <v>170</v>
      </c>
      <c r="Y1" s="1" t="s">
        <v>171</v>
      </c>
      <c r="AA1" s="41" t="s">
        <v>180</v>
      </c>
      <c r="AE1" s="1" t="s">
        <v>25</v>
      </c>
      <c r="AG1" s="1" t="s">
        <v>170</v>
      </c>
      <c r="AH1" s="1" t="s">
        <v>171</v>
      </c>
      <c r="AI1" s="1" t="s">
        <v>178</v>
      </c>
    </row>
    <row r="2" spans="1:35" x14ac:dyDescent="0.25">
      <c r="L2">
        <f>SUM(L4:L42)</f>
        <v>0.24415755558259783</v>
      </c>
      <c r="N2">
        <v>26.276262346823881</v>
      </c>
      <c r="O2">
        <v>1.9480610915075032E-3</v>
      </c>
      <c r="P2">
        <v>1.1594538590783181</v>
      </c>
      <c r="V2">
        <f>SUM(V4:V11)</f>
        <v>2.6589956109953694</v>
      </c>
      <c r="X2">
        <v>0.44022118628105034</v>
      </c>
      <c r="Y2">
        <v>1E-4</v>
      </c>
      <c r="AE2">
        <f>SUM(AE5:AE12)</f>
        <v>2.2530309378894851</v>
      </c>
      <c r="AG2">
        <v>0.46634706028484701</v>
      </c>
      <c r="AH2">
        <v>0</v>
      </c>
      <c r="AI2">
        <v>22.615407830240741</v>
      </c>
    </row>
    <row r="3" spans="1:35" x14ac:dyDescent="0.25">
      <c r="A3" t="s">
        <v>85</v>
      </c>
      <c r="B3" t="s">
        <v>31</v>
      </c>
      <c r="C3" t="s">
        <v>42</v>
      </c>
      <c r="D3" t="s">
        <v>43</v>
      </c>
      <c r="E3" s="1" t="s">
        <v>80</v>
      </c>
      <c r="H3" s="1" t="s">
        <v>31</v>
      </c>
      <c r="I3" s="1" t="s">
        <v>43</v>
      </c>
      <c r="J3" s="1" t="s">
        <v>80</v>
      </c>
      <c r="K3" s="1" t="s">
        <v>29</v>
      </c>
      <c r="L3" s="1" t="s">
        <v>30</v>
      </c>
      <c r="M3" s="1"/>
      <c r="N3" s="9" t="s">
        <v>31</v>
      </c>
      <c r="O3" s="10" t="s">
        <v>32</v>
      </c>
      <c r="R3" s="1" t="s">
        <v>41</v>
      </c>
      <c r="S3" s="1" t="s">
        <v>43</v>
      </c>
      <c r="T3" s="1" t="s">
        <v>80</v>
      </c>
      <c r="U3" s="1" t="s">
        <v>172</v>
      </c>
      <c r="V3" s="1" t="s">
        <v>30</v>
      </c>
      <c r="W3" s="1"/>
      <c r="X3" s="9" t="s">
        <v>31</v>
      </c>
      <c r="Y3" s="10" t="s">
        <v>173</v>
      </c>
      <c r="Z3" s="1" t="s">
        <v>31</v>
      </c>
      <c r="AA3" s="1" t="s">
        <v>41</v>
      </c>
      <c r="AB3" s="1" t="s">
        <v>43</v>
      </c>
      <c r="AC3" s="1" t="s">
        <v>80</v>
      </c>
      <c r="AD3" s="1" t="s">
        <v>172</v>
      </c>
      <c r="AE3" s="1" t="s">
        <v>30</v>
      </c>
      <c r="AF3" s="1"/>
      <c r="AG3" s="9" t="s">
        <v>31</v>
      </c>
      <c r="AH3" s="10" t="s">
        <v>173</v>
      </c>
    </row>
    <row r="4" spans="1:35" x14ac:dyDescent="0.25">
      <c r="A4">
        <v>1.49E-3</v>
      </c>
      <c r="B4">
        <f>A4*1000</f>
        <v>1.49</v>
      </c>
      <c r="C4">
        <v>1.3979999999999999</v>
      </c>
      <c r="D4">
        <f>C4/'Isotherm List'!$C$4</f>
        <v>6.2371799440788293E-2</v>
      </c>
      <c r="E4">
        <f>D4*'Isotherm List'!$G$4/'Isotherm List'!$H$21</f>
        <v>0.29537949166607436</v>
      </c>
      <c r="H4">
        <f>B4</f>
        <v>1.49</v>
      </c>
      <c r="I4">
        <f>D4</f>
        <v>6.2371799440788293E-2</v>
      </c>
      <c r="J4">
        <f>E4</f>
        <v>0.29537949166607436</v>
      </c>
      <c r="K4">
        <f>($N$2*H4)/(((1/$O$2)+H4^$P$2)^(1/$P$2))</f>
        <v>0.17944978563716493</v>
      </c>
      <c r="L4">
        <f>(K4-J4)^2</f>
        <v>1.3439696739949358E-2</v>
      </c>
      <c r="N4">
        <v>10</v>
      </c>
      <c r="O4">
        <f>($N$2*N4)/(((1/$O$2)+N4^$P$2)^(1/$P$2))</f>
        <v>1.1790304942409953</v>
      </c>
      <c r="R4">
        <f>B4/100</f>
        <v>1.49E-2</v>
      </c>
      <c r="S4">
        <f t="shared" ref="S4:T11" si="0">D4</f>
        <v>6.2371799440788293E-2</v>
      </c>
      <c r="T4">
        <f t="shared" si="0"/>
        <v>0.29537949166607436</v>
      </c>
      <c r="U4">
        <f t="shared" ref="U4:U11" si="1">($T$11*(1-EXP(-($X$2+$Y$2)*R4))/(1+$Y$2/$X$2*EXP(-($X$2+$Y$2)*R4)))</f>
        <v>0.15108358013278564</v>
      </c>
      <c r="V4">
        <f>(U4-T4)^2</f>
        <v>2.0821310085222686E-2</v>
      </c>
      <c r="X4">
        <v>10</v>
      </c>
      <c r="Y4">
        <f>($T$11*(1-EXP(-($X$2+$Y$2)*(X4/100)))/(1+$Y$2/$X$2*EXP(-($X$2+$Y$2)*(X4/100))))</f>
        <v>0.99524982763672143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</row>
    <row r="5" spans="1:35" x14ac:dyDescent="0.25">
      <c r="A5">
        <v>1.985E-2</v>
      </c>
      <c r="B5">
        <f t="shared" ref="B5:B11" si="2">A5*1000</f>
        <v>19.849999999999998</v>
      </c>
      <c r="C5">
        <v>12.023999999999999</v>
      </c>
      <c r="D5">
        <f>C5/'Isotherm List'!$C$4</f>
        <v>0.53645101321605038</v>
      </c>
      <c r="E5">
        <f>D5*'Isotherm List'!$G$4/'Isotherm List'!$H$21</f>
        <v>2.5405171729562785</v>
      </c>
      <c r="H5">
        <f t="shared" ref="H5:H11" si="3">B5</f>
        <v>19.849999999999998</v>
      </c>
      <c r="I5">
        <f t="shared" ref="I5:I11" si="4">D5</f>
        <v>0.53645101321605038</v>
      </c>
      <c r="J5">
        <f t="shared" ref="J5:J11" si="5">E5</f>
        <v>2.5405171729562785</v>
      </c>
      <c r="K5">
        <f t="shared" ref="K5:K11" si="6">($N$2*H5)/(((1/$O$2)+H5^$P$2)^(1/$P$2))</f>
        <v>2.2753393367104957</v>
      </c>
      <c r="L5">
        <f t="shared" ref="L5:L11" si="7">(K5-J5)^2</f>
        <v>7.0319284835995213E-2</v>
      </c>
      <c r="N5">
        <v>30</v>
      </c>
      <c r="O5">
        <f t="shared" ref="O5:O17" si="8">($N$2*N5)/(((1/$O$2)+N5^$P$2)^(1/$P$2))</f>
        <v>3.3354715757493336</v>
      </c>
      <c r="R5">
        <f t="shared" ref="R5:R11" si="9">B5/100</f>
        <v>0.19849999999999998</v>
      </c>
      <c r="S5">
        <f t="shared" si="0"/>
        <v>0.53645101321605038</v>
      </c>
      <c r="T5">
        <f t="shared" si="0"/>
        <v>2.5405171729562785</v>
      </c>
      <c r="U5">
        <f t="shared" si="1"/>
        <v>1.9336672613515309</v>
      </c>
      <c r="V5">
        <f t="shared" ref="V5:V11" si="10">(U5-T5)^2</f>
        <v>0.36826681521469007</v>
      </c>
      <c r="X5">
        <v>30</v>
      </c>
      <c r="Y5">
        <f t="shared" ref="Y5:Y17" si="11">($T$11*(1-EXP(-($X$2+$Y$2)*(X5/100)))/(1+$Y$2/$X$2*EXP(-($X$2+$Y$2)*(X5/100))))</f>
        <v>2.8590321872422466</v>
      </c>
      <c r="Z5">
        <f>B4</f>
        <v>1.49</v>
      </c>
      <c r="AA5">
        <f t="shared" ref="AA5:AA12" si="12">B4/100</f>
        <v>1.49E-2</v>
      </c>
      <c r="AB5">
        <f t="shared" ref="AB5:AC12" si="13">D4</f>
        <v>6.2371799440788293E-2</v>
      </c>
      <c r="AC5">
        <f t="shared" si="13"/>
        <v>0.29537949166607436</v>
      </c>
      <c r="AD5">
        <f>($AI$2*(1-EXP(-($AG$2+$AH$2)*AA5))/(1+$AH$2/$AG$2*EXP(-($AG$2+$AH$2)*AA5)))</f>
        <v>0.15660006803631724</v>
      </c>
      <c r="AE5">
        <f>(AD5-AC5)^2</f>
        <v>1.9259728423007588E-2</v>
      </c>
      <c r="AG5">
        <v>10</v>
      </c>
      <c r="AH5">
        <f>($AI$2*(1-EXP(-($AG$2+$AH$2)*(AG5/100)))/(1+$AH$2/$AG$2*EXP(-($AG$2+$AH$2)*(AG5/100))))</f>
        <v>1.0304488126066329</v>
      </c>
    </row>
    <row r="6" spans="1:35" x14ac:dyDescent="0.25">
      <c r="A6">
        <v>9.8830000000000001E-2</v>
      </c>
      <c r="B6">
        <f t="shared" si="2"/>
        <v>98.83</v>
      </c>
      <c r="C6">
        <v>42.872</v>
      </c>
      <c r="D6">
        <f>C6/'Isotherm List'!$C$4</f>
        <v>1.912735182850841</v>
      </c>
      <c r="E6">
        <f>D6*'Isotherm List'!$G$4/'Isotherm List'!$H$21</f>
        <v>9.058304411092946</v>
      </c>
      <c r="H6">
        <f t="shared" si="3"/>
        <v>98.83</v>
      </c>
      <c r="I6">
        <f t="shared" si="4"/>
        <v>1.912735182850841</v>
      </c>
      <c r="J6">
        <f t="shared" si="5"/>
        <v>9.058304411092946</v>
      </c>
      <c r="K6">
        <f t="shared" si="6"/>
        <v>8.92567976363231</v>
      </c>
      <c r="L6">
        <f t="shared" si="7"/>
        <v>1.7589297114058003E-2</v>
      </c>
      <c r="N6">
        <v>50</v>
      </c>
      <c r="O6">
        <f t="shared" si="8"/>
        <v>5.2279477675619299</v>
      </c>
      <c r="R6">
        <f t="shared" si="9"/>
        <v>0.98829999999999996</v>
      </c>
      <c r="S6">
        <f t="shared" si="0"/>
        <v>1.912735182850841</v>
      </c>
      <c r="T6">
        <f t="shared" si="0"/>
        <v>9.058304411092946</v>
      </c>
      <c r="U6">
        <f t="shared" si="1"/>
        <v>8.152736501415804</v>
      </c>
      <c r="V6">
        <f t="shared" si="10"/>
        <v>0.82005323903702854</v>
      </c>
      <c r="X6">
        <v>50</v>
      </c>
      <c r="Y6">
        <f t="shared" si="11"/>
        <v>4.5657614188650344</v>
      </c>
      <c r="Z6">
        <f t="shared" ref="Z6:Z12" si="14">B5</f>
        <v>19.849999999999998</v>
      </c>
      <c r="AA6">
        <f t="shared" si="12"/>
        <v>0.19849999999999998</v>
      </c>
      <c r="AB6">
        <f t="shared" si="13"/>
        <v>0.53645101321605038</v>
      </c>
      <c r="AC6">
        <f t="shared" si="13"/>
        <v>2.5405171729562785</v>
      </c>
      <c r="AD6">
        <f>($AI$2*(1-EXP(-($AG$2+$AH$2)*AA6))/(1+$AH$2/$AG$2*EXP(-($AG$2+$AH$2)*AA6)))</f>
        <v>1.9995300504479114</v>
      </c>
      <c r="AE6">
        <f t="shared" ref="AE6:AE12" si="15">(AD6-AC6)^2</f>
        <v>0.29266706671988302</v>
      </c>
      <c r="AG6">
        <v>30</v>
      </c>
      <c r="AH6">
        <f t="shared" ref="AH6:AH18" si="16">($AI$2*(1-EXP(-($AG$2+$AH$2)*(AG6/100)))/(1+$AH$2/$AG$2*EXP(-($AG$2+$AH$2)*(AG6/100))))</f>
        <v>2.9526315718657949</v>
      </c>
    </row>
    <row r="7" spans="1:35" x14ac:dyDescent="0.25">
      <c r="A7">
        <v>0.19922999999999999</v>
      </c>
      <c r="B7">
        <f t="shared" si="2"/>
        <v>199.23</v>
      </c>
      <c r="C7">
        <v>65.043999999999997</v>
      </c>
      <c r="D7">
        <f>C7/'Isotherm List'!$C$4</f>
        <v>2.9019394297758465</v>
      </c>
      <c r="E7">
        <f>D7*'Isotherm List'!$G$4/'Isotherm List'!$H$21</f>
        <v>13.742963988503675</v>
      </c>
      <c r="H7">
        <f t="shared" si="3"/>
        <v>199.23</v>
      </c>
      <c r="I7">
        <f t="shared" si="4"/>
        <v>2.9019394297758465</v>
      </c>
      <c r="J7">
        <f t="shared" si="5"/>
        <v>13.742963988503675</v>
      </c>
      <c r="K7">
        <f t="shared" si="6"/>
        <v>13.813249554744658</v>
      </c>
      <c r="L7">
        <f t="shared" si="7"/>
        <v>4.940060821815629E-3</v>
      </c>
      <c r="N7">
        <v>70</v>
      </c>
      <c r="O7">
        <f t="shared" si="8"/>
        <v>6.8854541563855882</v>
      </c>
      <c r="R7">
        <f t="shared" si="9"/>
        <v>1.9923</v>
      </c>
      <c r="S7">
        <f t="shared" si="0"/>
        <v>2.9019394297758465</v>
      </c>
      <c r="T7">
        <f t="shared" si="0"/>
        <v>13.742963988503675</v>
      </c>
      <c r="U7">
        <f t="shared" si="1"/>
        <v>13.496195680441064</v>
      </c>
      <c r="V7">
        <f t="shared" si="10"/>
        <v>6.0894597864083834E-2</v>
      </c>
      <c r="X7">
        <v>70</v>
      </c>
      <c r="Y7">
        <f t="shared" si="11"/>
        <v>6.128667108239652</v>
      </c>
      <c r="Z7">
        <f t="shared" si="14"/>
        <v>98.83</v>
      </c>
      <c r="AA7">
        <f t="shared" si="12"/>
        <v>0.98829999999999996</v>
      </c>
      <c r="AB7">
        <f t="shared" si="13"/>
        <v>1.912735182850841</v>
      </c>
      <c r="AC7">
        <f t="shared" si="13"/>
        <v>9.058304411092946</v>
      </c>
      <c r="AD7">
        <f t="shared" ref="AD7:AD12" si="17">($AI$2*(1-EXP(-($AG$2+$AH$2)*AA7))/(1+$AH$2/$AG$2*EXP(-($AG$2+$AH$2)*AA7)))</f>
        <v>8.3513827805877465</v>
      </c>
      <c r="AE7">
        <f t="shared" si="15"/>
        <v>0.49973819167612982</v>
      </c>
      <c r="AG7">
        <v>50</v>
      </c>
      <c r="AH7">
        <f t="shared" si="16"/>
        <v>4.7036402020948893</v>
      </c>
    </row>
    <row r="8" spans="1:35" x14ac:dyDescent="0.25">
      <c r="A8">
        <v>0.40014</v>
      </c>
      <c r="B8">
        <f t="shared" si="2"/>
        <v>400.14</v>
      </c>
      <c r="C8">
        <v>86.825000000000003</v>
      </c>
      <c r="D8">
        <f>C8/'Isotherm List'!$C$4</f>
        <v>3.8736992034666979</v>
      </c>
      <c r="E8">
        <f>D8*'Isotherm List'!$G$4/'Isotherm List'!$H$21</f>
        <v>18.345010274611521</v>
      </c>
      <c r="H8">
        <f t="shared" si="3"/>
        <v>400.14</v>
      </c>
      <c r="I8">
        <f t="shared" si="4"/>
        <v>3.8736992034666979</v>
      </c>
      <c r="J8">
        <f t="shared" si="5"/>
        <v>18.345010274611521</v>
      </c>
      <c r="K8">
        <f t="shared" si="6"/>
        <v>18.591984357055775</v>
      </c>
      <c r="L8">
        <f t="shared" si="7"/>
        <v>6.0996197399181121E-2</v>
      </c>
      <c r="N8">
        <v>100</v>
      </c>
      <c r="O8">
        <f t="shared" si="8"/>
        <v>9.0008550542094614</v>
      </c>
      <c r="R8">
        <f t="shared" si="9"/>
        <v>4.0014000000000003</v>
      </c>
      <c r="S8">
        <f t="shared" si="0"/>
        <v>3.8736992034666979</v>
      </c>
      <c r="T8">
        <f t="shared" si="0"/>
        <v>18.345010274611521</v>
      </c>
      <c r="U8">
        <f t="shared" si="1"/>
        <v>19.140114487440094</v>
      </c>
      <c r="V8">
        <f t="shared" si="10"/>
        <v>0.63219070925774434</v>
      </c>
      <c r="X8">
        <v>100</v>
      </c>
      <c r="Y8">
        <f t="shared" si="11"/>
        <v>8.2295787626187913</v>
      </c>
      <c r="Z8">
        <f t="shared" si="14"/>
        <v>199.23</v>
      </c>
      <c r="AA8">
        <f t="shared" si="12"/>
        <v>1.9923</v>
      </c>
      <c r="AB8">
        <f t="shared" si="13"/>
        <v>2.9019394297758465</v>
      </c>
      <c r="AC8">
        <f t="shared" si="13"/>
        <v>13.742963988503675</v>
      </c>
      <c r="AD8">
        <f t="shared" si="17"/>
        <v>13.684409460356973</v>
      </c>
      <c r="AE8">
        <f t="shared" si="15"/>
        <v>3.4286327664829596E-3</v>
      </c>
      <c r="AG8">
        <v>70</v>
      </c>
      <c r="AH8">
        <f t="shared" si="16"/>
        <v>6.2987180938134006</v>
      </c>
    </row>
    <row r="9" spans="1:35" x14ac:dyDescent="0.25">
      <c r="A9">
        <v>0.60009000000000001</v>
      </c>
      <c r="B9">
        <f t="shared" si="2"/>
        <v>600.09</v>
      </c>
      <c r="C9">
        <v>97.882999999999996</v>
      </c>
      <c r="D9">
        <f>C9/'Isotherm List'!$C$4</f>
        <v>4.3670521063395427</v>
      </c>
      <c r="E9">
        <f>D9*'Isotherm List'!$G$4/'Isotherm List'!$H$21</f>
        <v>20.681424021995959</v>
      </c>
      <c r="H9">
        <f t="shared" si="3"/>
        <v>600.09</v>
      </c>
      <c r="I9">
        <f t="shared" si="4"/>
        <v>4.3670521063395427</v>
      </c>
      <c r="J9">
        <f t="shared" si="5"/>
        <v>20.681424021995959</v>
      </c>
      <c r="K9">
        <f t="shared" si="6"/>
        <v>20.83836758934763</v>
      </c>
      <c r="L9">
        <f t="shared" si="7"/>
        <v>2.4631283333068642E-2</v>
      </c>
      <c r="N9">
        <v>200</v>
      </c>
      <c r="O9">
        <f t="shared" si="8"/>
        <v>13.841250735523897</v>
      </c>
      <c r="R9">
        <f t="shared" si="9"/>
        <v>6.0009000000000006</v>
      </c>
      <c r="S9">
        <f t="shared" si="0"/>
        <v>4.3670521063395427</v>
      </c>
      <c r="T9">
        <f t="shared" si="0"/>
        <v>20.681424021995959</v>
      </c>
      <c r="U9">
        <f t="shared" si="1"/>
        <v>21.463498083539402</v>
      </c>
      <c r="V9">
        <f t="shared" si="10"/>
        <v>0.61163983773905839</v>
      </c>
      <c r="X9">
        <v>200</v>
      </c>
      <c r="Y9">
        <f t="shared" si="11"/>
        <v>13.528729768409599</v>
      </c>
      <c r="Z9">
        <f t="shared" si="14"/>
        <v>400.14</v>
      </c>
      <c r="AA9">
        <f t="shared" si="12"/>
        <v>4.0014000000000003</v>
      </c>
      <c r="AB9">
        <f t="shared" si="13"/>
        <v>3.8736992034666979</v>
      </c>
      <c r="AC9">
        <f t="shared" si="13"/>
        <v>18.345010274611521</v>
      </c>
      <c r="AD9">
        <f t="shared" si="17"/>
        <v>19.116012085047711</v>
      </c>
      <c r="AE9">
        <f t="shared" si="15"/>
        <v>0.59444379169588157</v>
      </c>
      <c r="AG9">
        <v>100</v>
      </c>
      <c r="AH9">
        <f t="shared" si="16"/>
        <v>8.4289990786069922</v>
      </c>
    </row>
    <row r="10" spans="1:35" x14ac:dyDescent="0.25">
      <c r="A10">
        <v>0.79956000000000005</v>
      </c>
      <c r="B10">
        <f t="shared" si="2"/>
        <v>799.56000000000006</v>
      </c>
      <c r="C10">
        <v>105.026</v>
      </c>
      <c r="D10">
        <f>C10/'Isotherm List'!$C$4</f>
        <v>4.6857372017655443</v>
      </c>
      <c r="E10">
        <f>D10*'Isotherm List'!$G$4/'Isotherm List'!$H$21</f>
        <v>22.190648420401374</v>
      </c>
      <c r="H10">
        <f t="shared" si="3"/>
        <v>799.56000000000006</v>
      </c>
      <c r="I10">
        <f t="shared" si="4"/>
        <v>4.6857372017655443</v>
      </c>
      <c r="J10">
        <f t="shared" si="5"/>
        <v>22.190648420401374</v>
      </c>
      <c r="K10">
        <f t="shared" si="6"/>
        <v>22.117154869123347</v>
      </c>
      <c r="L10">
        <f t="shared" si="7"/>
        <v>5.4013020794559568E-3</v>
      </c>
      <c r="N10">
        <v>300</v>
      </c>
      <c r="O10">
        <f t="shared" si="8"/>
        <v>16.719139750673239</v>
      </c>
      <c r="R10">
        <f t="shared" si="9"/>
        <v>7.9956000000000005</v>
      </c>
      <c r="S10">
        <f t="shared" si="0"/>
        <v>4.6857372017655443</v>
      </c>
      <c r="T10">
        <f t="shared" si="0"/>
        <v>22.190648420401374</v>
      </c>
      <c r="U10">
        <f t="shared" si="1"/>
        <v>22.425378645672115</v>
      </c>
      <c r="V10">
        <f t="shared" si="10"/>
        <v>5.5098278655653053E-2</v>
      </c>
      <c r="X10">
        <v>300</v>
      </c>
      <c r="Y10">
        <f t="shared" si="11"/>
        <v>16.94077215642918</v>
      </c>
      <c r="Z10">
        <f t="shared" si="14"/>
        <v>600.09</v>
      </c>
      <c r="AA10">
        <f t="shared" si="12"/>
        <v>6.0009000000000006</v>
      </c>
      <c r="AB10">
        <f t="shared" si="13"/>
        <v>4.3670521063395427</v>
      </c>
      <c r="AC10">
        <f t="shared" si="13"/>
        <v>20.681424021995959</v>
      </c>
      <c r="AD10">
        <f t="shared" si="17"/>
        <v>21.238101905938187</v>
      </c>
      <c r="AE10">
        <f t="shared" si="15"/>
        <v>0.30989026647039708</v>
      </c>
      <c r="AG10">
        <v>200</v>
      </c>
      <c r="AH10">
        <f t="shared" si="16"/>
        <v>13.716422024673323</v>
      </c>
    </row>
    <row r="11" spans="1:35" x14ac:dyDescent="0.25">
      <c r="A11">
        <v>0.98660999999999999</v>
      </c>
      <c r="B11">
        <f t="shared" si="2"/>
        <v>986.61</v>
      </c>
      <c r="C11">
        <v>109.373</v>
      </c>
      <c r="D11">
        <f>C11/'Isotherm List'!$C$4</f>
        <v>4.87967869830997</v>
      </c>
      <c r="E11">
        <f>D11*'Isotherm List'!$G$4/'Isotherm List'!$H$21</f>
        <v>23.109113835474641</v>
      </c>
      <c r="H11">
        <f t="shared" si="3"/>
        <v>986.61</v>
      </c>
      <c r="I11">
        <f t="shared" si="4"/>
        <v>4.87967869830997</v>
      </c>
      <c r="J11">
        <f t="shared" si="5"/>
        <v>23.109113835474641</v>
      </c>
      <c r="K11">
        <f t="shared" si="6"/>
        <v>22.892687327719528</v>
      </c>
      <c r="L11">
        <f t="shared" si="7"/>
        <v>4.6840433259073923E-2</v>
      </c>
      <c r="N11">
        <v>400</v>
      </c>
      <c r="O11">
        <f t="shared" si="8"/>
        <v>18.589834495209239</v>
      </c>
      <c r="R11">
        <f t="shared" si="9"/>
        <v>9.8660999999999994</v>
      </c>
      <c r="S11">
        <f t="shared" si="0"/>
        <v>4.87967869830997</v>
      </c>
      <c r="T11">
        <f t="shared" si="0"/>
        <v>23.109113835474641</v>
      </c>
      <c r="U11">
        <f t="shared" si="1"/>
        <v>22.809062467969195</v>
      </c>
      <c r="V11">
        <f t="shared" si="10"/>
        <v>9.0030823141888441E-2</v>
      </c>
      <c r="X11">
        <v>400</v>
      </c>
      <c r="Y11">
        <f t="shared" si="11"/>
        <v>19.13766714037633</v>
      </c>
      <c r="Z11">
        <f t="shared" si="14"/>
        <v>799.56000000000006</v>
      </c>
      <c r="AA11">
        <f t="shared" si="12"/>
        <v>7.9956000000000005</v>
      </c>
      <c r="AB11">
        <f t="shared" si="13"/>
        <v>4.6857372017655443</v>
      </c>
      <c r="AC11">
        <f t="shared" si="13"/>
        <v>22.190648420401374</v>
      </c>
      <c r="AD11">
        <f t="shared" si="17"/>
        <v>22.072107555007609</v>
      </c>
      <c r="AE11">
        <f t="shared" si="15"/>
        <v>1.4051936768302704E-2</v>
      </c>
      <c r="AG11">
        <v>300</v>
      </c>
      <c r="AH11">
        <f t="shared" si="16"/>
        <v>17.033167126893574</v>
      </c>
    </row>
    <row r="12" spans="1:35" x14ac:dyDescent="0.25">
      <c r="N12">
        <v>500</v>
      </c>
      <c r="O12">
        <f t="shared" si="8"/>
        <v>19.889159246319256</v>
      </c>
      <c r="X12">
        <v>500</v>
      </c>
      <c r="Y12">
        <f t="shared" si="11"/>
        <v>20.552143358691904</v>
      </c>
      <c r="Z12">
        <f t="shared" si="14"/>
        <v>986.61</v>
      </c>
      <c r="AA12">
        <f t="shared" si="12"/>
        <v>9.8660999999999994</v>
      </c>
      <c r="AB12">
        <f t="shared" si="13"/>
        <v>4.87967869830997</v>
      </c>
      <c r="AC12">
        <f t="shared" si="13"/>
        <v>23.109113835474641</v>
      </c>
      <c r="AD12">
        <f t="shared" si="17"/>
        <v>22.388314748787234</v>
      </c>
      <c r="AE12">
        <f t="shared" si="15"/>
        <v>0.51955132336940002</v>
      </c>
      <c r="AG12">
        <v>400</v>
      </c>
      <c r="AH12">
        <f t="shared" si="16"/>
        <v>19.113726632973233</v>
      </c>
    </row>
    <row r="13" spans="1:35" x14ac:dyDescent="0.25">
      <c r="N13">
        <v>600</v>
      </c>
      <c r="O13">
        <f t="shared" si="8"/>
        <v>20.837630754090906</v>
      </c>
      <c r="X13">
        <v>600</v>
      </c>
      <c r="Y13">
        <f t="shared" si="11"/>
        <v>21.462845825325356</v>
      </c>
      <c r="AG13">
        <v>500</v>
      </c>
      <c r="AH13">
        <f>($AI$2*(1-EXP(-($AG$2+$AH$2)*(AG13/100)))/(1+$AH$2/$AG$2*EXP(-($AG$2+$AH$2)*(AG13/100))))</f>
        <v>20.418839846358473</v>
      </c>
    </row>
    <row r="14" spans="1:35" x14ac:dyDescent="0.25">
      <c r="N14">
        <v>700</v>
      </c>
      <c r="O14">
        <f t="shared" si="8"/>
        <v>21.557002567866778</v>
      </c>
      <c r="X14">
        <v>700</v>
      </c>
      <c r="Y14">
        <f t="shared" si="11"/>
        <v>22.049191655527608</v>
      </c>
      <c r="AG14">
        <v>600</v>
      </c>
      <c r="AH14">
        <f t="shared" si="16"/>
        <v>21.237523712297147</v>
      </c>
    </row>
    <row r="15" spans="1:35" x14ac:dyDescent="0.25">
      <c r="N15">
        <v>800</v>
      </c>
      <c r="O15">
        <f t="shared" si="8"/>
        <v>22.119357938730893</v>
      </c>
      <c r="X15">
        <v>800</v>
      </c>
      <c r="Y15">
        <f t="shared" si="11"/>
        <v>22.426702031996626</v>
      </c>
      <c r="AG15">
        <v>700</v>
      </c>
      <c r="AH15">
        <f t="shared" si="16"/>
        <v>21.751075537130639</v>
      </c>
    </row>
    <row r="16" spans="1:35" x14ac:dyDescent="0.25">
      <c r="N16">
        <v>900</v>
      </c>
      <c r="O16">
        <f t="shared" si="8"/>
        <v>22.569833583614859</v>
      </c>
      <c r="X16">
        <v>900</v>
      </c>
      <c r="Y16">
        <f t="shared" si="11"/>
        <v>22.669755868466861</v>
      </c>
      <c r="AG16">
        <v>800</v>
      </c>
      <c r="AH16">
        <f t="shared" si="16"/>
        <v>22.073221224571807</v>
      </c>
    </row>
    <row r="17" spans="14:34" x14ac:dyDescent="0.25">
      <c r="N17">
        <v>1000</v>
      </c>
      <c r="O17">
        <f t="shared" si="8"/>
        <v>22.938013627823487</v>
      </c>
      <c r="X17">
        <v>1000</v>
      </c>
      <c r="Y17">
        <f t="shared" si="11"/>
        <v>22.826241736894033</v>
      </c>
      <c r="AG17">
        <v>900</v>
      </c>
      <c r="AH17">
        <f>($AI$2*(1-EXP(-($AG$2+$AH$2)*(AG17/100)))/(1+$AH$2/$AG$2*EXP(-($AG$2+$AH$2)*(AG17/100))))</f>
        <v>22.275299844330569</v>
      </c>
    </row>
    <row r="18" spans="14:34" x14ac:dyDescent="0.25">
      <c r="N18">
        <v>1500</v>
      </c>
      <c r="X18">
        <v>1500</v>
      </c>
      <c r="Y18" t="s">
        <v>174</v>
      </c>
      <c r="AG18">
        <v>1000</v>
      </c>
      <c r="AH18">
        <f t="shared" si="16"/>
        <v>22.402061648556373</v>
      </c>
    </row>
    <row r="19" spans="14:34" x14ac:dyDescent="0.25">
      <c r="N19">
        <v>2000</v>
      </c>
      <c r="X19">
        <v>2000</v>
      </c>
      <c r="AG19">
        <v>1500</v>
      </c>
    </row>
    <row r="20" spans="14:34" x14ac:dyDescent="0.25">
      <c r="N20">
        <v>3000</v>
      </c>
      <c r="X20">
        <v>3000</v>
      </c>
      <c r="AG20">
        <v>2000</v>
      </c>
    </row>
    <row r="21" spans="14:34" x14ac:dyDescent="0.25">
      <c r="N21">
        <v>4000</v>
      </c>
      <c r="X21">
        <v>4000</v>
      </c>
      <c r="AG21">
        <v>3000</v>
      </c>
    </row>
    <row r="22" spans="14:34" x14ac:dyDescent="0.25">
      <c r="N22">
        <v>5000</v>
      </c>
      <c r="X22">
        <v>5000</v>
      </c>
      <c r="AG22">
        <v>4000</v>
      </c>
    </row>
    <row r="23" spans="14:34" x14ac:dyDescent="0.25">
      <c r="AG23">
        <v>5000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BEB1-B635-44BE-8E5A-DC199B19024B}">
  <sheetPr>
    <tabColor theme="2"/>
  </sheetPr>
  <dimension ref="A1:AI24"/>
  <sheetViews>
    <sheetView topLeftCell="C1" zoomScale="80" zoomScaleNormal="80" workbookViewId="0">
      <selection activeCell="T33" sqref="T33"/>
    </sheetView>
  </sheetViews>
  <sheetFormatPr defaultRowHeight="15" x14ac:dyDescent="0.25"/>
  <cols>
    <col min="3" max="3" width="12.85546875" customWidth="1"/>
    <col min="4" max="4" width="19.5703125" customWidth="1"/>
    <col min="8" max="8" width="9" customWidth="1"/>
    <col min="9" max="9" width="12.5703125" customWidth="1"/>
    <col min="10" max="10" width="18.42578125" customWidth="1"/>
    <col min="11" max="11" width="16" customWidth="1"/>
    <col min="14" max="14" width="8.5703125" customWidth="1"/>
    <col min="15" max="15" width="24.28515625" customWidth="1"/>
    <col min="18" max="18" width="15.85546875" customWidth="1"/>
    <col min="25" max="25" width="24" customWidth="1"/>
  </cols>
  <sheetData>
    <row r="1" spans="1:35" x14ac:dyDescent="0.25">
      <c r="L1" s="1" t="s">
        <v>25</v>
      </c>
      <c r="N1" s="1" t="s">
        <v>26</v>
      </c>
      <c r="O1" s="1" t="s">
        <v>27</v>
      </c>
      <c r="P1" s="1" t="s">
        <v>28</v>
      </c>
      <c r="R1" s="41" t="s">
        <v>169</v>
      </c>
      <c r="V1" s="1" t="s">
        <v>25</v>
      </c>
      <c r="X1" s="1" t="s">
        <v>170</v>
      </c>
      <c r="Y1" s="1" t="s">
        <v>171</v>
      </c>
      <c r="AA1" s="41" t="s">
        <v>180</v>
      </c>
      <c r="AE1" s="1" t="s">
        <v>25</v>
      </c>
      <c r="AG1" s="1" t="s">
        <v>170</v>
      </c>
      <c r="AH1" s="1" t="s">
        <v>171</v>
      </c>
      <c r="AI1" s="1" t="s">
        <v>178</v>
      </c>
    </row>
    <row r="2" spans="1:35" x14ac:dyDescent="0.25">
      <c r="L2">
        <f>SUM(L4:L23)</f>
        <v>4.6300976442882407E-4</v>
      </c>
      <c r="N2">
        <v>23.390562445755481</v>
      </c>
      <c r="O2">
        <v>2.7502654798060094E-4</v>
      </c>
      <c r="P2">
        <v>1.0391915189269301</v>
      </c>
      <c r="V2">
        <f>SUM(V4:V23)</f>
        <v>1.3572674349783398E-2</v>
      </c>
      <c r="X2">
        <v>0.68113634363153897</v>
      </c>
      <c r="Y2">
        <v>3.7140520195770748</v>
      </c>
      <c r="AE2">
        <f>SUM(AE5:AE24)</f>
        <v>3.2708537718903301E-4</v>
      </c>
      <c r="AG2">
        <v>0.43235952060065025</v>
      </c>
      <c r="AH2">
        <v>0.65161532199381</v>
      </c>
      <c r="AI2">
        <v>1.9310534079399986</v>
      </c>
    </row>
    <row r="3" spans="1:35" x14ac:dyDescent="0.25">
      <c r="A3" t="s">
        <v>41</v>
      </c>
      <c r="B3" t="s">
        <v>31</v>
      </c>
      <c r="C3" t="s">
        <v>43</v>
      </c>
      <c r="D3" s="1" t="s">
        <v>80</v>
      </c>
      <c r="H3" s="1" t="s">
        <v>31</v>
      </c>
      <c r="I3" s="1" t="s">
        <v>43</v>
      </c>
      <c r="J3" s="1" t="s">
        <v>80</v>
      </c>
      <c r="K3" s="1" t="s">
        <v>29</v>
      </c>
      <c r="L3" s="1" t="s">
        <v>30</v>
      </c>
      <c r="M3" s="1"/>
      <c r="N3" s="9" t="s">
        <v>31</v>
      </c>
      <c r="O3" s="10" t="s">
        <v>32</v>
      </c>
      <c r="R3" s="1" t="s">
        <v>41</v>
      </c>
      <c r="S3" s="1" t="s">
        <v>43</v>
      </c>
      <c r="T3" s="1" t="s">
        <v>80</v>
      </c>
      <c r="U3" s="1" t="s">
        <v>172</v>
      </c>
      <c r="V3" s="1" t="s">
        <v>30</v>
      </c>
      <c r="W3" s="1"/>
      <c r="X3" s="9" t="s">
        <v>31</v>
      </c>
      <c r="Y3" s="10" t="s">
        <v>173</v>
      </c>
      <c r="Z3" s="1" t="s">
        <v>31</v>
      </c>
      <c r="AA3" s="1" t="s">
        <v>41</v>
      </c>
      <c r="AB3" s="1" t="s">
        <v>43</v>
      </c>
      <c r="AC3" s="1" t="s">
        <v>80</v>
      </c>
      <c r="AD3" s="1" t="s">
        <v>172</v>
      </c>
      <c r="AE3" s="1" t="s">
        <v>30</v>
      </c>
      <c r="AF3" s="1"/>
      <c r="AG3" s="9" t="s">
        <v>31</v>
      </c>
      <c r="AH3" s="10" t="s">
        <v>173</v>
      </c>
    </row>
    <row r="4" spans="1:35" x14ac:dyDescent="0.25">
      <c r="A4">
        <v>1.5520000000000001E-2</v>
      </c>
      <c r="B4">
        <f>A4*100</f>
        <v>1.552</v>
      </c>
      <c r="C4">
        <v>2.1059999999999999E-2</v>
      </c>
      <c r="D4">
        <f>C4*'Isotherm List'!$G$4/'Isotherm List'!$H$23</f>
        <v>2.2254447761194025E-2</v>
      </c>
      <c r="H4">
        <f>B4</f>
        <v>1.552</v>
      </c>
      <c r="I4">
        <f>C4</f>
        <v>2.1059999999999999E-2</v>
      </c>
      <c r="J4">
        <f>D4</f>
        <v>2.2254447761194025E-2</v>
      </c>
      <c r="K4">
        <f>($N$2*H4)/(((1/$O$2)+H4^$P$2)^(1/$P$2))</f>
        <v>1.3595935541964544E-2</v>
      </c>
      <c r="L4">
        <f>(K4-J4)^2</f>
        <v>7.4969833850546222E-5</v>
      </c>
      <c r="N4">
        <v>10</v>
      </c>
      <c r="O4">
        <f>($N$2*N4)/(((1/$O$2)+N4^$P$2)^(1/$P$2))</f>
        <v>8.7386186614053063E-2</v>
      </c>
      <c r="R4">
        <f t="shared" ref="R4:R23" si="0">A4</f>
        <v>1.5520000000000001E-2</v>
      </c>
      <c r="S4">
        <f t="shared" ref="S4:S23" si="1">C4</f>
        <v>2.1059999999999999E-2</v>
      </c>
      <c r="T4">
        <f t="shared" ref="T4:T23" si="2">D4</f>
        <v>2.2254447761194025E-2</v>
      </c>
      <c r="U4">
        <f t="shared" ref="U4:U23" si="3">($T$23*(1-EXP(-($X$2+$Y$2)*R4))/(1+$Y$2/$X$2*EXP(-($X$2+$Y$2)*R4)))</f>
        <v>8.8142580267719355E-3</v>
      </c>
      <c r="V4">
        <f>(U4-T4)^2</f>
        <v>1.8063870009726491E-4</v>
      </c>
      <c r="X4">
        <v>10</v>
      </c>
      <c r="Y4">
        <f>($T$23*(1-EXP(-($X$2+$Y$2)*(X4/100)))/(1+$Y$2/$X$2*EXP(-($X$2+$Y$2)*(X4/100))))</f>
        <v>6.4181201111170191E-2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</row>
    <row r="5" spans="1:35" x14ac:dyDescent="0.25">
      <c r="A5">
        <v>5.7790000000000001E-2</v>
      </c>
      <c r="B5">
        <f t="shared" ref="B5:B23" si="4">A5*100</f>
        <v>5.7789999999999999</v>
      </c>
      <c r="C5">
        <v>4.6580000000000003E-2</v>
      </c>
      <c r="D5">
        <f>C5*'Isotherm List'!$G$4/'Isotherm List'!$H$23</f>
        <v>4.9221850746268662E-2</v>
      </c>
      <c r="H5">
        <f t="shared" ref="H5:H23" si="5">B5</f>
        <v>5.7789999999999999</v>
      </c>
      <c r="I5">
        <f t="shared" ref="I5:I23" si="6">C5</f>
        <v>4.6580000000000003E-2</v>
      </c>
      <c r="J5">
        <f t="shared" ref="J5:J23" si="7">D5</f>
        <v>4.9221850746268662E-2</v>
      </c>
      <c r="K5">
        <f t="shared" ref="K5:K23" si="8">($N$2*H5)/(((1/$O$2)+H5^$P$2)^(1/$P$2))</f>
        <v>5.0563907061647206E-2</v>
      </c>
      <c r="L5">
        <f t="shared" ref="L5:L23" si="9">(K5-J5)^2</f>
        <v>1.8011151536474337E-6</v>
      </c>
      <c r="N5">
        <v>30</v>
      </c>
      <c r="O5">
        <f t="shared" ref="O5:O8" si="10">($N$2*N5)/(((1/$O$2)+N5^$P$2)^(1/$P$2))</f>
        <v>0.26055458749299504</v>
      </c>
      <c r="R5">
        <f t="shared" si="0"/>
        <v>5.7790000000000001E-2</v>
      </c>
      <c r="S5">
        <f t="shared" si="1"/>
        <v>4.6580000000000003E-2</v>
      </c>
      <c r="T5">
        <f t="shared" si="2"/>
        <v>4.9221850746268662E-2</v>
      </c>
      <c r="U5">
        <f t="shared" si="3"/>
        <v>3.4934830541953621E-2</v>
      </c>
      <c r="V5">
        <f t="shared" ref="V5:V23" si="11">(U5-T5)^2</f>
        <v>2.0411894631850621E-4</v>
      </c>
      <c r="X5">
        <v>30</v>
      </c>
      <c r="Y5">
        <f t="shared" ref="Y5:Y8" si="12">($T$23*(1-EXP(-($X$2+$Y$2)*(X5/100)))/(1+$Y$2/$X$2*EXP(-($X$2+$Y$2)*(X5/100))))</f>
        <v>0.24264691887804687</v>
      </c>
      <c r="Z5">
        <f>A4</f>
        <v>1.5520000000000001E-2</v>
      </c>
      <c r="AA5">
        <f t="shared" ref="AA5:AA24" si="13">A4</f>
        <v>1.5520000000000001E-2</v>
      </c>
      <c r="AB5">
        <f t="shared" ref="AB5:AB24" si="14">C4</f>
        <v>2.1059999999999999E-2</v>
      </c>
      <c r="AC5">
        <f t="shared" ref="AC5:AC24" si="15">D4</f>
        <v>2.2254447761194025E-2</v>
      </c>
      <c r="AD5">
        <f>($AI$2*(1-EXP(-($AG$2+$AH$2)*AA5))/(1+$AH$2/$AG$2*EXP(-($AG$2+$AH$2)*AA5)))</f>
        <v>1.2979570375762825E-2</v>
      </c>
      <c r="AE5">
        <f>(AD5-AC5)^2</f>
        <v>8.6023350514783092E-5</v>
      </c>
      <c r="AG5">
        <v>10</v>
      </c>
      <c r="AH5">
        <f>($AI$2*(1-EXP(-($AG$2+$AH$2)*(AG5/100)))/(1+$AH$2/$AG$2*EXP(-($AG$2+$AH$2)*(AG5/100))))</f>
        <v>8.4332896514484904E-2</v>
      </c>
    </row>
    <row r="6" spans="1:35" x14ac:dyDescent="0.25">
      <c r="A6">
        <v>0.10607999999999999</v>
      </c>
      <c r="B6">
        <f t="shared" si="4"/>
        <v>10.607999999999999</v>
      </c>
      <c r="C6">
        <v>8.6169999999999997E-2</v>
      </c>
      <c r="D6">
        <f>C6*'Isotherm List'!$G$4/'Isotherm List'!$H$23</f>
        <v>9.1057253731343268E-2</v>
      </c>
      <c r="H6">
        <f t="shared" si="5"/>
        <v>10.607999999999999</v>
      </c>
      <c r="I6">
        <f t="shared" si="6"/>
        <v>8.6169999999999997E-2</v>
      </c>
      <c r="J6">
        <f t="shared" si="7"/>
        <v>9.1057253731343268E-2</v>
      </c>
      <c r="K6">
        <f t="shared" si="8"/>
        <v>9.2682336360199652E-2</v>
      </c>
      <c r="L6">
        <f t="shared" si="9"/>
        <v>2.6408935506107744E-6</v>
      </c>
      <c r="N6">
        <v>50</v>
      </c>
      <c r="O6">
        <f t="shared" si="10"/>
        <v>0.43154175352009394</v>
      </c>
      <c r="R6">
        <f t="shared" si="0"/>
        <v>0.10607999999999999</v>
      </c>
      <c r="S6">
        <f t="shared" si="1"/>
        <v>8.6169999999999997E-2</v>
      </c>
      <c r="T6">
        <f t="shared" si="2"/>
        <v>9.1057253731343268E-2</v>
      </c>
      <c r="U6">
        <f t="shared" si="3"/>
        <v>6.8656620328102727E-2</v>
      </c>
      <c r="V6">
        <f t="shared" si="11"/>
        <v>5.0178837686637586E-4</v>
      </c>
      <c r="X6">
        <v>50</v>
      </c>
      <c r="Y6">
        <f t="shared" si="12"/>
        <v>0.45093051719648208</v>
      </c>
      <c r="Z6">
        <f t="shared" ref="Z6:Z24" si="16">A5</f>
        <v>5.7790000000000001E-2</v>
      </c>
      <c r="AA6">
        <f t="shared" si="13"/>
        <v>5.7790000000000001E-2</v>
      </c>
      <c r="AB6">
        <f t="shared" si="14"/>
        <v>4.6580000000000003E-2</v>
      </c>
      <c r="AC6">
        <f t="shared" si="15"/>
        <v>4.9221850746268662E-2</v>
      </c>
      <c r="AD6">
        <f>($AI$2*(1-EXP(-($AG$2+$AH$2)*AA6))/(1+$AH$2/$AG$2*EXP(-($AG$2+$AH$2)*AA6)))</f>
        <v>4.8541064385716905E-2</v>
      </c>
      <c r="AE6">
        <f t="shared" ref="AE6:AE12" si="17">(AD6-AC6)^2</f>
        <v>4.6347006871330793E-7</v>
      </c>
      <c r="AG6">
        <v>30</v>
      </c>
      <c r="AH6">
        <f t="shared" ref="AH6:AH9" si="18">($AI$2*(1-EXP(-($AG$2+$AH$2)*(AG6/100)))/(1+$AH$2/$AG$2*EXP(-($AG$2+$AH$2)*(AG6/100))))</f>
        <v>0.25665598753644675</v>
      </c>
    </row>
    <row r="7" spans="1:35" x14ac:dyDescent="0.25">
      <c r="A7">
        <v>0.15784000000000001</v>
      </c>
      <c r="B7">
        <f t="shared" si="4"/>
        <v>15.784000000000001</v>
      </c>
      <c r="C7">
        <v>0.12103</v>
      </c>
      <c r="D7">
        <f>C7*'Isotherm List'!$G$4/'Isotherm List'!$H$23</f>
        <v>0.12789438805970149</v>
      </c>
      <c r="H7">
        <f t="shared" si="5"/>
        <v>15.784000000000001</v>
      </c>
      <c r="I7">
        <f t="shared" si="6"/>
        <v>0.12103</v>
      </c>
      <c r="J7">
        <f t="shared" si="7"/>
        <v>0.12789438805970149</v>
      </c>
      <c r="K7">
        <f t="shared" si="8"/>
        <v>0.13768905653815425</v>
      </c>
      <c r="L7">
        <f t="shared" si="9"/>
        <v>9.593553060279603E-5</v>
      </c>
      <c r="N7">
        <v>70</v>
      </c>
      <c r="O7">
        <f t="shared" si="10"/>
        <v>0.60034379073635258</v>
      </c>
      <c r="R7">
        <f t="shared" si="0"/>
        <v>0.15784000000000001</v>
      </c>
      <c r="S7">
        <f t="shared" si="1"/>
        <v>0.12103</v>
      </c>
      <c r="T7">
        <f t="shared" si="2"/>
        <v>0.12789438805970149</v>
      </c>
      <c r="U7">
        <f t="shared" si="3"/>
        <v>0.10939981891986526</v>
      </c>
      <c r="V7">
        <f t="shared" si="11"/>
        <v>3.4204908766818259E-4</v>
      </c>
      <c r="X7">
        <v>70</v>
      </c>
      <c r="Y7">
        <f t="shared" si="12"/>
        <v>0.62082916722041126</v>
      </c>
      <c r="Z7">
        <f t="shared" si="16"/>
        <v>0.10607999999999999</v>
      </c>
      <c r="AA7">
        <f t="shared" si="13"/>
        <v>0.10607999999999999</v>
      </c>
      <c r="AB7">
        <f t="shared" si="14"/>
        <v>8.6169999999999997E-2</v>
      </c>
      <c r="AC7">
        <f t="shared" si="15"/>
        <v>9.1057253731343268E-2</v>
      </c>
      <c r="AD7">
        <f t="shared" ref="AD7:AD12" si="19">($AI$2*(1-EXP(-($AG$2+$AH$2)*AA7))/(1+$AH$2/$AG$2*EXP(-($AG$2+$AH$2)*AA7)))</f>
        <v>8.9509512003636924E-2</v>
      </c>
      <c r="AE7">
        <f t="shared" si="17"/>
        <v>2.3955044556834213E-6</v>
      </c>
      <c r="AG7">
        <v>50</v>
      </c>
      <c r="AH7">
        <f t="shared" si="18"/>
        <v>0.43056705169583198</v>
      </c>
    </row>
    <row r="8" spans="1:35" x14ac:dyDescent="0.25">
      <c r="A8">
        <v>0.20785999999999999</v>
      </c>
      <c r="B8">
        <f t="shared" si="4"/>
        <v>20.785999999999998</v>
      </c>
      <c r="C8">
        <v>0.16767000000000001</v>
      </c>
      <c r="D8">
        <f>C8*'Isotherm List'!$G$4/'Isotherm List'!$H$23</f>
        <v>0.17717964179104476</v>
      </c>
      <c r="H8">
        <f t="shared" si="5"/>
        <v>20.785999999999998</v>
      </c>
      <c r="I8">
        <f t="shared" si="6"/>
        <v>0.16767000000000001</v>
      </c>
      <c r="J8">
        <f t="shared" si="7"/>
        <v>0.17717964179104476</v>
      </c>
      <c r="K8">
        <f t="shared" si="8"/>
        <v>0.18104543672269463</v>
      </c>
      <c r="L8">
        <f t="shared" si="9"/>
        <v>1.4944370453569855E-5</v>
      </c>
      <c r="N8">
        <v>100</v>
      </c>
      <c r="O8">
        <f t="shared" si="10"/>
        <v>0.84948067544535655</v>
      </c>
      <c r="R8">
        <f t="shared" si="0"/>
        <v>0.20785999999999999</v>
      </c>
      <c r="S8">
        <f t="shared" si="1"/>
        <v>0.16767000000000001</v>
      </c>
      <c r="T8">
        <f t="shared" si="2"/>
        <v>0.17717964179104476</v>
      </c>
      <c r="U8">
        <f t="shared" si="3"/>
        <v>0.15306365943856043</v>
      </c>
      <c r="V8">
        <f t="shared" si="11"/>
        <v>5.8158060482533548E-4</v>
      </c>
      <c r="X8">
        <v>100</v>
      </c>
      <c r="Y8">
        <f t="shared" si="12"/>
        <v>0.75374496470405994</v>
      </c>
      <c r="Z8">
        <f t="shared" si="16"/>
        <v>0.15784000000000001</v>
      </c>
      <c r="AA8">
        <f t="shared" si="13"/>
        <v>0.15784000000000001</v>
      </c>
      <c r="AB8">
        <f t="shared" si="14"/>
        <v>0.12103</v>
      </c>
      <c r="AC8">
        <f t="shared" si="15"/>
        <v>0.12789438805970149</v>
      </c>
      <c r="AD8">
        <f t="shared" si="19"/>
        <v>0.13377064352049034</v>
      </c>
      <c r="AE8">
        <f t="shared" si="17"/>
        <v>3.4530378240450763E-5</v>
      </c>
      <c r="AG8">
        <v>70</v>
      </c>
      <c r="AH8">
        <f t="shared" si="18"/>
        <v>0.60202435879122151</v>
      </c>
    </row>
    <row r="9" spans="1:35" x14ac:dyDescent="0.25">
      <c r="A9">
        <v>0.25874999999999998</v>
      </c>
      <c r="B9">
        <f t="shared" si="4"/>
        <v>25.874999999999996</v>
      </c>
      <c r="C9">
        <v>0.20018</v>
      </c>
      <c r="D9">
        <f>C9*'Isotherm List'!$G$4/'Isotherm List'!$H$23</f>
        <v>0.21153349253731341</v>
      </c>
      <c r="H9">
        <f t="shared" si="5"/>
        <v>25.874999999999996</v>
      </c>
      <c r="I9">
        <f t="shared" si="6"/>
        <v>0.20018</v>
      </c>
      <c r="J9">
        <f t="shared" si="7"/>
        <v>0.21153349253731341</v>
      </c>
      <c r="K9">
        <f t="shared" si="8"/>
        <v>0.22501647742664863</v>
      </c>
      <c r="L9">
        <f t="shared" si="9"/>
        <v>1.8179088152604187E-4</v>
      </c>
      <c r="N9">
        <v>200</v>
      </c>
      <c r="R9">
        <f t="shared" si="0"/>
        <v>0.25874999999999998</v>
      </c>
      <c r="S9">
        <f t="shared" si="1"/>
        <v>0.20018</v>
      </c>
      <c r="T9">
        <f t="shared" si="2"/>
        <v>0.21153349253731341</v>
      </c>
      <c r="U9">
        <f t="shared" si="3"/>
        <v>0.20129245869817805</v>
      </c>
      <c r="V9">
        <f t="shared" si="11"/>
        <v>1.0487877409431543E-4</v>
      </c>
      <c r="X9">
        <v>200</v>
      </c>
      <c r="Z9">
        <f t="shared" si="16"/>
        <v>0.20785999999999999</v>
      </c>
      <c r="AA9">
        <f t="shared" si="13"/>
        <v>0.20785999999999999</v>
      </c>
      <c r="AB9">
        <f t="shared" si="14"/>
        <v>0.16767000000000001</v>
      </c>
      <c r="AC9">
        <f t="shared" si="15"/>
        <v>0.17717964179104476</v>
      </c>
      <c r="AD9">
        <f t="shared" si="19"/>
        <v>0.17682619245907039</v>
      </c>
      <c r="AE9">
        <f t="shared" si="17"/>
        <v>1.2492643027312865E-7</v>
      </c>
      <c r="AG9">
        <v>100</v>
      </c>
      <c r="AH9">
        <f t="shared" si="18"/>
        <v>0.8464005134426793</v>
      </c>
    </row>
    <row r="10" spans="1:35" x14ac:dyDescent="0.25">
      <c r="A10">
        <v>0.30703999999999998</v>
      </c>
      <c r="B10">
        <f t="shared" si="4"/>
        <v>30.703999999999997</v>
      </c>
      <c r="C10">
        <v>0.2492</v>
      </c>
      <c r="D10">
        <f>C10*'Isotherm List'!$G$4/'Isotherm List'!$H$23</f>
        <v>0.26333373134328358</v>
      </c>
      <c r="H10">
        <f t="shared" si="5"/>
        <v>30.703999999999997</v>
      </c>
      <c r="I10">
        <f t="shared" si="6"/>
        <v>0.2492</v>
      </c>
      <c r="J10">
        <f t="shared" si="7"/>
        <v>0.26333373134328358</v>
      </c>
      <c r="K10">
        <f t="shared" si="8"/>
        <v>0.26661047816387684</v>
      </c>
      <c r="L10">
        <f t="shared" si="9"/>
        <v>1.0737069726268019E-5</v>
      </c>
      <c r="N10">
        <v>300</v>
      </c>
      <c r="R10">
        <f t="shared" si="0"/>
        <v>0.30703999999999998</v>
      </c>
      <c r="S10">
        <f t="shared" si="1"/>
        <v>0.2492</v>
      </c>
      <c r="T10">
        <f t="shared" si="2"/>
        <v>0.26333373134328358</v>
      </c>
      <c r="U10">
        <f t="shared" si="3"/>
        <v>0.24986368996833033</v>
      </c>
      <c r="V10">
        <f t="shared" si="11"/>
        <v>1.8144201464295246E-4</v>
      </c>
      <c r="X10">
        <v>300</v>
      </c>
      <c r="Z10">
        <f t="shared" si="16"/>
        <v>0.25874999999999998</v>
      </c>
      <c r="AA10">
        <f t="shared" si="13"/>
        <v>0.25874999999999998</v>
      </c>
      <c r="AB10">
        <f t="shared" si="14"/>
        <v>0.20018</v>
      </c>
      <c r="AC10">
        <f t="shared" si="15"/>
        <v>0.21153349253731341</v>
      </c>
      <c r="AD10">
        <f t="shared" si="19"/>
        <v>0.22085157429179095</v>
      </c>
      <c r="AE10">
        <f t="shared" si="17"/>
        <v>8.6826647583127257E-5</v>
      </c>
      <c r="AG10">
        <v>200</v>
      </c>
    </row>
    <row r="11" spans="1:35" x14ac:dyDescent="0.25">
      <c r="A11">
        <v>0.35793000000000003</v>
      </c>
      <c r="B11">
        <f t="shared" si="4"/>
        <v>35.792999999999999</v>
      </c>
      <c r="C11">
        <v>0.29583999999999999</v>
      </c>
      <c r="D11">
        <f>C11*'Isotherm List'!$G$4/'Isotherm List'!$H$23</f>
        <v>0.31261898507462682</v>
      </c>
      <c r="H11">
        <f t="shared" si="5"/>
        <v>35.792999999999999</v>
      </c>
      <c r="I11">
        <f t="shared" si="6"/>
        <v>0.29583999999999999</v>
      </c>
      <c r="J11">
        <f t="shared" si="7"/>
        <v>0.31261898507462682</v>
      </c>
      <c r="K11">
        <f t="shared" si="8"/>
        <v>0.31030609238013113</v>
      </c>
      <c r="L11">
        <f t="shared" si="9"/>
        <v>5.3494726162515518E-6</v>
      </c>
      <c r="N11">
        <v>400</v>
      </c>
      <c r="R11">
        <f t="shared" si="0"/>
        <v>0.35793000000000003</v>
      </c>
      <c r="S11">
        <f t="shared" si="1"/>
        <v>0.29583999999999999</v>
      </c>
      <c r="T11">
        <f t="shared" si="2"/>
        <v>0.31261898507462682</v>
      </c>
      <c r="U11">
        <f t="shared" si="3"/>
        <v>0.30297210888948084</v>
      </c>
      <c r="V11">
        <f t="shared" si="11"/>
        <v>9.3062220131536667E-5</v>
      </c>
      <c r="X11">
        <v>400</v>
      </c>
      <c r="Z11">
        <f t="shared" si="16"/>
        <v>0.30703999999999998</v>
      </c>
      <c r="AA11">
        <f t="shared" si="13"/>
        <v>0.30703999999999998</v>
      </c>
      <c r="AB11">
        <f t="shared" si="14"/>
        <v>0.2492</v>
      </c>
      <c r="AC11">
        <f t="shared" si="15"/>
        <v>0.26333373134328358</v>
      </c>
      <c r="AD11">
        <f t="shared" si="19"/>
        <v>0.26277439035188971</v>
      </c>
      <c r="AE11">
        <f t="shared" si="17"/>
        <v>3.1286234465348316E-7</v>
      </c>
      <c r="AG11">
        <v>300</v>
      </c>
    </row>
    <row r="12" spans="1:35" x14ac:dyDescent="0.25">
      <c r="A12">
        <v>0.40709000000000001</v>
      </c>
      <c r="B12">
        <f t="shared" si="4"/>
        <v>40.709000000000003</v>
      </c>
      <c r="C12">
        <v>0.33543000000000001</v>
      </c>
      <c r="D12">
        <f>C12*'Isotherm List'!$G$4/'Isotherm List'!$H$23</f>
        <v>0.35445438805970148</v>
      </c>
      <c r="H12">
        <f t="shared" si="5"/>
        <v>40.709000000000003</v>
      </c>
      <c r="I12">
        <f t="shared" si="6"/>
        <v>0.33543000000000001</v>
      </c>
      <c r="J12">
        <f t="shared" si="7"/>
        <v>0.35445438805970148</v>
      </c>
      <c r="K12">
        <f t="shared" si="8"/>
        <v>0.3523817841709776</v>
      </c>
      <c r="L12">
        <f t="shared" si="9"/>
        <v>4.2956868795533435E-6</v>
      </c>
      <c r="N12">
        <v>500</v>
      </c>
      <c r="R12">
        <f t="shared" si="0"/>
        <v>0.40709000000000001</v>
      </c>
      <c r="S12">
        <f t="shared" si="1"/>
        <v>0.33543000000000001</v>
      </c>
      <c r="T12">
        <f t="shared" si="2"/>
        <v>0.35445438805970148</v>
      </c>
      <c r="U12">
        <f t="shared" si="3"/>
        <v>0.35498387387064573</v>
      </c>
      <c r="V12">
        <f t="shared" si="11"/>
        <v>2.803552239912926E-7</v>
      </c>
      <c r="X12">
        <v>500</v>
      </c>
      <c r="Z12">
        <f t="shared" si="16"/>
        <v>0.35793000000000003</v>
      </c>
      <c r="AA12">
        <f t="shared" si="13"/>
        <v>0.35793000000000003</v>
      </c>
      <c r="AB12">
        <f t="shared" si="14"/>
        <v>0.29583999999999999</v>
      </c>
      <c r="AC12">
        <f t="shared" si="15"/>
        <v>0.31261898507462682</v>
      </c>
      <c r="AD12">
        <f t="shared" si="19"/>
        <v>0.30704517662595254</v>
      </c>
      <c r="AE12">
        <f t="shared" si="17"/>
        <v>3.1067340622512759E-5</v>
      </c>
      <c r="AG12">
        <v>400</v>
      </c>
    </row>
    <row r="13" spans="1:35" x14ac:dyDescent="0.25">
      <c r="A13">
        <v>0.45884000000000003</v>
      </c>
      <c r="B13">
        <f t="shared" si="4"/>
        <v>45.884</v>
      </c>
      <c r="C13">
        <v>0.375</v>
      </c>
      <c r="D13">
        <f>C13*'Isotherm List'!$G$4/'Isotherm List'!$H$23</f>
        <v>0.39626865671641781</v>
      </c>
      <c r="H13">
        <f t="shared" si="5"/>
        <v>45.884</v>
      </c>
      <c r="I13">
        <f t="shared" si="6"/>
        <v>0.375</v>
      </c>
      <c r="J13">
        <f t="shared" si="7"/>
        <v>0.39626865671641781</v>
      </c>
      <c r="K13">
        <f t="shared" si="8"/>
        <v>0.39653139475351556</v>
      </c>
      <c r="L13">
        <f t="shared" si="9"/>
        <v>6.9031276137980701E-8</v>
      </c>
      <c r="N13">
        <v>600</v>
      </c>
      <c r="R13">
        <f t="shared" si="0"/>
        <v>0.45884000000000003</v>
      </c>
      <c r="S13">
        <f t="shared" si="1"/>
        <v>0.375</v>
      </c>
      <c r="T13">
        <f t="shared" si="2"/>
        <v>0.39626865671641781</v>
      </c>
      <c r="U13">
        <f t="shared" si="3"/>
        <v>0.40915355739613918</v>
      </c>
      <c r="V13">
        <f t="shared" si="11"/>
        <v>1.6602066552628416E-4</v>
      </c>
      <c r="X13">
        <v>600</v>
      </c>
      <c r="Z13">
        <f t="shared" si="16"/>
        <v>0.40709000000000001</v>
      </c>
      <c r="AA13">
        <f t="shared" si="13"/>
        <v>0.40709000000000001</v>
      </c>
      <c r="AB13">
        <f t="shared" si="14"/>
        <v>0.33543000000000001</v>
      </c>
      <c r="AC13">
        <f t="shared" si="15"/>
        <v>0.35445438805970148</v>
      </c>
      <c r="AD13">
        <f t="shared" ref="AD13:AD24" si="20">($AI$2*(1-EXP(-($AG$2+$AH$2)*AA13))/(1+$AH$2/$AG$2*EXP(-($AG$2+$AH$2)*AA13)))</f>
        <v>0.34983745999124888</v>
      </c>
      <c r="AE13">
        <f t="shared" ref="AE13:AE24" si="21">(AD13-AC13)^2</f>
        <v>2.1316024789265429E-5</v>
      </c>
      <c r="AG13">
        <v>500</v>
      </c>
    </row>
    <row r="14" spans="1:35" x14ac:dyDescent="0.25">
      <c r="A14">
        <v>0.50971999999999995</v>
      </c>
      <c r="B14">
        <f t="shared" si="4"/>
        <v>50.971999999999994</v>
      </c>
      <c r="C14">
        <v>0.41927999999999999</v>
      </c>
      <c r="D14">
        <f>C14*'Isotherm List'!$G$4/'Isotherm List'!$H$23</f>
        <v>0.44306005970149248</v>
      </c>
      <c r="H14">
        <f t="shared" si="5"/>
        <v>50.971999999999994</v>
      </c>
      <c r="I14">
        <f t="shared" si="6"/>
        <v>0.41927999999999999</v>
      </c>
      <c r="J14">
        <f t="shared" si="7"/>
        <v>0.44306005970149248</v>
      </c>
      <c r="K14">
        <f t="shared" si="8"/>
        <v>0.43979598770657458</v>
      </c>
      <c r="L14">
        <f t="shared" si="9"/>
        <v>1.0654165988007354E-5</v>
      </c>
      <c r="N14">
        <v>700</v>
      </c>
      <c r="R14">
        <f t="shared" si="0"/>
        <v>0.50971999999999995</v>
      </c>
      <c r="S14">
        <f t="shared" si="1"/>
        <v>0.41927999999999999</v>
      </c>
      <c r="T14">
        <f t="shared" si="2"/>
        <v>0.44306005970149248</v>
      </c>
      <c r="U14">
        <f t="shared" si="3"/>
        <v>0.46055198227185978</v>
      </c>
      <c r="V14">
        <f t="shared" si="11"/>
        <v>3.0596735520772503E-4</v>
      </c>
      <c r="X14">
        <v>700</v>
      </c>
      <c r="Z14">
        <f t="shared" si="16"/>
        <v>0.45884000000000003</v>
      </c>
      <c r="AA14">
        <f t="shared" si="13"/>
        <v>0.45884000000000003</v>
      </c>
      <c r="AB14">
        <f t="shared" si="14"/>
        <v>0.375</v>
      </c>
      <c r="AC14">
        <f t="shared" si="15"/>
        <v>0.39626865671641781</v>
      </c>
      <c r="AD14">
        <f t="shared" si="20"/>
        <v>0.39484485352780252</v>
      </c>
      <c r="AE14">
        <f t="shared" si="21"/>
        <v>2.0272155199110707E-6</v>
      </c>
      <c r="AG14">
        <v>600</v>
      </c>
    </row>
    <row r="15" spans="1:35" x14ac:dyDescent="0.25">
      <c r="A15">
        <v>0.55801999999999996</v>
      </c>
      <c r="B15">
        <f t="shared" si="4"/>
        <v>55.801999999999992</v>
      </c>
      <c r="C15">
        <v>0.45180999999999999</v>
      </c>
      <c r="D15">
        <f>C15*'Isotherm List'!$G$4/'Isotherm List'!$H$23</f>
        <v>0.47743504477611937</v>
      </c>
      <c r="H15">
        <f t="shared" si="5"/>
        <v>55.801999999999992</v>
      </c>
      <c r="I15">
        <f t="shared" si="6"/>
        <v>0.45180999999999999</v>
      </c>
      <c r="J15">
        <f t="shared" si="7"/>
        <v>0.47743504477611937</v>
      </c>
      <c r="K15">
        <f t="shared" si="8"/>
        <v>0.48073584813693537</v>
      </c>
      <c r="L15">
        <f t="shared" si="9"/>
        <v>1.0895302826774246E-5</v>
      </c>
      <c r="N15">
        <v>800</v>
      </c>
      <c r="R15">
        <f t="shared" si="0"/>
        <v>0.55801999999999996</v>
      </c>
      <c r="S15">
        <f t="shared" si="1"/>
        <v>0.45180999999999999</v>
      </c>
      <c r="T15">
        <f t="shared" si="2"/>
        <v>0.47743504477611937</v>
      </c>
      <c r="U15">
        <f t="shared" si="3"/>
        <v>0.50662667537571859</v>
      </c>
      <c r="V15">
        <f t="shared" si="11"/>
        <v>8.5215129706345792E-4</v>
      </c>
      <c r="X15">
        <v>800</v>
      </c>
      <c r="Z15">
        <f t="shared" si="16"/>
        <v>0.50971999999999995</v>
      </c>
      <c r="AA15">
        <f t="shared" si="13"/>
        <v>0.50971999999999995</v>
      </c>
      <c r="AB15">
        <f t="shared" si="14"/>
        <v>0.41927999999999999</v>
      </c>
      <c r="AC15">
        <f t="shared" si="15"/>
        <v>0.44306005970149248</v>
      </c>
      <c r="AD15">
        <f t="shared" si="20"/>
        <v>0.43898892529626549</v>
      </c>
      <c r="AE15">
        <f t="shared" si="21"/>
        <v>1.6574135345422957E-5</v>
      </c>
      <c r="AG15">
        <v>700</v>
      </c>
    </row>
    <row r="16" spans="1:35" x14ac:dyDescent="0.25">
      <c r="A16">
        <v>0.60718000000000005</v>
      </c>
      <c r="B16">
        <f t="shared" si="4"/>
        <v>60.718000000000004</v>
      </c>
      <c r="C16">
        <v>0.49611</v>
      </c>
      <c r="D16">
        <f>C16*'Isotherm List'!$G$4/'Isotherm List'!$H$23</f>
        <v>0.52424758208955213</v>
      </c>
      <c r="H16">
        <f t="shared" si="5"/>
        <v>60.718000000000004</v>
      </c>
      <c r="I16">
        <f t="shared" si="6"/>
        <v>0.49611</v>
      </c>
      <c r="J16">
        <f t="shared" si="7"/>
        <v>0.52424758208955213</v>
      </c>
      <c r="K16">
        <f t="shared" si="8"/>
        <v>0.52227390006927543</v>
      </c>
      <c r="L16">
        <f t="shared" si="9"/>
        <v>3.8954207171635211E-6</v>
      </c>
      <c r="N16">
        <v>900</v>
      </c>
      <c r="R16">
        <f t="shared" si="0"/>
        <v>0.60718000000000005</v>
      </c>
      <c r="S16">
        <f t="shared" si="1"/>
        <v>0.49611</v>
      </c>
      <c r="T16">
        <f t="shared" si="2"/>
        <v>0.52424758208955213</v>
      </c>
      <c r="U16">
        <f t="shared" si="3"/>
        <v>0.55003728180884337</v>
      </c>
      <c r="V16">
        <f t="shared" si="11"/>
        <v>6.6510861161121055E-4</v>
      </c>
      <c r="X16">
        <v>900</v>
      </c>
      <c r="Z16">
        <f t="shared" si="16"/>
        <v>0.55801999999999996</v>
      </c>
      <c r="AA16">
        <f t="shared" si="13"/>
        <v>0.55801999999999996</v>
      </c>
      <c r="AB16">
        <f t="shared" si="14"/>
        <v>0.45180999999999999</v>
      </c>
      <c r="AC16">
        <f t="shared" si="15"/>
        <v>0.47743504477611937</v>
      </c>
      <c r="AD16">
        <f t="shared" si="20"/>
        <v>0.48073590747011513</v>
      </c>
      <c r="AE16">
        <f t="shared" si="21"/>
        <v>1.0895694524612981E-5</v>
      </c>
      <c r="AG16">
        <v>800</v>
      </c>
    </row>
    <row r="17" spans="1:33" x14ac:dyDescent="0.25">
      <c r="A17">
        <v>0.65807000000000004</v>
      </c>
      <c r="B17">
        <f t="shared" si="4"/>
        <v>65.807000000000002</v>
      </c>
      <c r="C17">
        <v>0.53332999999999997</v>
      </c>
      <c r="D17">
        <f>C17*'Isotherm List'!$G$4/'Isotherm List'!$H$23</f>
        <v>0.56357856716417898</v>
      </c>
      <c r="H17">
        <f t="shared" si="5"/>
        <v>65.807000000000002</v>
      </c>
      <c r="I17">
        <f t="shared" si="6"/>
        <v>0.53332999999999997</v>
      </c>
      <c r="J17">
        <f t="shared" si="7"/>
        <v>0.56357856716417898</v>
      </c>
      <c r="K17">
        <f t="shared" si="8"/>
        <v>0.56513497619158648</v>
      </c>
      <c r="L17">
        <f t="shared" si="9"/>
        <v>2.4224090605955647E-6</v>
      </c>
      <c r="N17">
        <v>1000</v>
      </c>
      <c r="R17">
        <f t="shared" si="0"/>
        <v>0.65807000000000004</v>
      </c>
      <c r="S17">
        <f t="shared" si="1"/>
        <v>0.53332999999999997</v>
      </c>
      <c r="T17">
        <f t="shared" si="2"/>
        <v>0.56357856716417898</v>
      </c>
      <c r="U17">
        <f t="shared" si="3"/>
        <v>0.59073601176382073</v>
      </c>
      <c r="V17">
        <f t="shared" si="11"/>
        <v>7.3752679718261111E-4</v>
      </c>
      <c r="X17">
        <v>1000</v>
      </c>
      <c r="Z17">
        <f t="shared" si="16"/>
        <v>0.60718000000000005</v>
      </c>
      <c r="AA17">
        <f t="shared" si="13"/>
        <v>0.60718000000000005</v>
      </c>
      <c r="AB17">
        <f t="shared" si="14"/>
        <v>0.49611</v>
      </c>
      <c r="AC17">
        <f t="shared" si="15"/>
        <v>0.52424758208955213</v>
      </c>
      <c r="AD17">
        <f t="shared" si="20"/>
        <v>0.52300868771141451</v>
      </c>
      <c r="AE17">
        <f t="shared" si="21"/>
        <v>1.5348592801810069E-6</v>
      </c>
      <c r="AG17">
        <v>900</v>
      </c>
    </row>
    <row r="18" spans="1:33" x14ac:dyDescent="0.25">
      <c r="A18">
        <v>0.70723000000000003</v>
      </c>
      <c r="B18">
        <f t="shared" si="4"/>
        <v>70.722999999999999</v>
      </c>
      <c r="C18">
        <v>0.57291999999999998</v>
      </c>
      <c r="D18">
        <f>C18*'Isotherm List'!$G$4/'Isotherm List'!$H$23</f>
        <v>0.60541397014925369</v>
      </c>
      <c r="H18">
        <f t="shared" si="5"/>
        <v>70.722999999999999</v>
      </c>
      <c r="I18">
        <f t="shared" si="6"/>
        <v>0.57291999999999998</v>
      </c>
      <c r="J18">
        <f t="shared" si="7"/>
        <v>0.60541397014925369</v>
      </c>
      <c r="K18">
        <f t="shared" si="8"/>
        <v>0.60640519811160698</v>
      </c>
      <c r="L18">
        <f t="shared" si="9"/>
        <v>9.8253287335105835E-7</v>
      </c>
      <c r="N18">
        <v>1500</v>
      </c>
      <c r="R18">
        <f t="shared" si="0"/>
        <v>0.70723000000000003</v>
      </c>
      <c r="S18">
        <f t="shared" si="1"/>
        <v>0.57291999999999998</v>
      </c>
      <c r="T18">
        <f t="shared" si="2"/>
        <v>0.60541397014925369</v>
      </c>
      <c r="U18">
        <f t="shared" si="3"/>
        <v>0.62570011566478412</v>
      </c>
      <c r="V18">
        <f t="shared" si="11"/>
        <v>4.1152769987727535E-4</v>
      </c>
      <c r="X18">
        <v>1500</v>
      </c>
      <c r="Z18">
        <f t="shared" si="16"/>
        <v>0.65807000000000004</v>
      </c>
      <c r="AA18">
        <f t="shared" si="13"/>
        <v>0.65807000000000004</v>
      </c>
      <c r="AB18">
        <f t="shared" si="14"/>
        <v>0.53332999999999997</v>
      </c>
      <c r="AC18">
        <f t="shared" si="15"/>
        <v>0.56357856716417898</v>
      </c>
      <c r="AD18">
        <f t="shared" si="20"/>
        <v>0.56647671335802152</v>
      </c>
      <c r="AE18">
        <f t="shared" si="21"/>
        <v>8.399251360884022E-6</v>
      </c>
      <c r="AG18">
        <v>1000</v>
      </c>
    </row>
    <row r="19" spans="1:33" x14ac:dyDescent="0.25">
      <c r="A19">
        <v>0.75812000000000002</v>
      </c>
      <c r="B19">
        <f t="shared" si="4"/>
        <v>75.811999999999998</v>
      </c>
      <c r="C19">
        <v>0.61484000000000005</v>
      </c>
      <c r="D19">
        <f>C19*'Isotherm List'!$G$4/'Isotherm List'!$H$23</f>
        <v>0.64971152238805974</v>
      </c>
      <c r="H19">
        <f t="shared" si="5"/>
        <v>75.811999999999998</v>
      </c>
      <c r="I19">
        <f t="shared" si="6"/>
        <v>0.61484000000000005</v>
      </c>
      <c r="J19">
        <f t="shared" si="7"/>
        <v>0.64971152238805974</v>
      </c>
      <c r="K19">
        <f t="shared" si="8"/>
        <v>0.64898954429214883</v>
      </c>
      <c r="L19">
        <f t="shared" si="9"/>
        <v>5.2125237097513208E-7</v>
      </c>
      <c r="N19">
        <v>2000</v>
      </c>
      <c r="R19">
        <f t="shared" si="0"/>
        <v>0.75812000000000002</v>
      </c>
      <c r="S19">
        <f t="shared" si="1"/>
        <v>0.61484000000000005</v>
      </c>
      <c r="T19">
        <f t="shared" si="2"/>
        <v>0.64971152238805974</v>
      </c>
      <c r="U19">
        <f t="shared" si="3"/>
        <v>0.65737063764690373</v>
      </c>
      <c r="V19">
        <f t="shared" si="11"/>
        <v>5.866204654825693E-5</v>
      </c>
      <c r="X19">
        <v>2000</v>
      </c>
      <c r="Z19">
        <f t="shared" si="16"/>
        <v>0.70723000000000003</v>
      </c>
      <c r="AA19">
        <f t="shared" si="13"/>
        <v>0.70723000000000003</v>
      </c>
      <c r="AB19">
        <f t="shared" si="14"/>
        <v>0.57291999999999998</v>
      </c>
      <c r="AC19">
        <f t="shared" si="15"/>
        <v>0.60541397014925369</v>
      </c>
      <c r="AD19">
        <f t="shared" si="20"/>
        <v>0.60812671032703125</v>
      </c>
      <c r="AE19">
        <f t="shared" si="21"/>
        <v>7.358959272128637E-6</v>
      </c>
      <c r="AG19">
        <v>1500</v>
      </c>
    </row>
    <row r="20" spans="1:33" x14ac:dyDescent="0.25">
      <c r="A20">
        <v>0.81245000000000001</v>
      </c>
      <c r="B20">
        <f t="shared" si="4"/>
        <v>81.245000000000005</v>
      </c>
      <c r="C20">
        <v>0.66144999999999998</v>
      </c>
      <c r="D20">
        <f>C20*'Isotherm List'!$G$4/'Isotherm List'!$H$23</f>
        <v>0.69896507462686552</v>
      </c>
      <c r="H20">
        <f t="shared" si="5"/>
        <v>81.245000000000005</v>
      </c>
      <c r="I20">
        <f t="shared" si="6"/>
        <v>0.66144999999999998</v>
      </c>
      <c r="J20">
        <f t="shared" si="7"/>
        <v>0.69896507462686552</v>
      </c>
      <c r="K20">
        <f t="shared" si="8"/>
        <v>0.69429761517973143</v>
      </c>
      <c r="L20">
        <f t="shared" si="9"/>
        <v>2.1785177690641287E-5</v>
      </c>
      <c r="N20">
        <v>3000</v>
      </c>
      <c r="R20">
        <f t="shared" si="0"/>
        <v>0.81245000000000001</v>
      </c>
      <c r="S20">
        <f t="shared" si="1"/>
        <v>0.66144999999999998</v>
      </c>
      <c r="T20">
        <f t="shared" si="2"/>
        <v>0.69896507462686552</v>
      </c>
      <c r="U20">
        <f t="shared" si="3"/>
        <v>0.68630837797969313</v>
      </c>
      <c r="V20">
        <f t="shared" si="11"/>
        <v>1.6019197001854491E-4</v>
      </c>
      <c r="X20">
        <v>3000</v>
      </c>
      <c r="Z20">
        <f t="shared" si="16"/>
        <v>0.75812000000000002</v>
      </c>
      <c r="AA20">
        <f t="shared" si="13"/>
        <v>0.75812000000000002</v>
      </c>
      <c r="AB20">
        <f t="shared" si="14"/>
        <v>0.61484000000000005</v>
      </c>
      <c r="AC20">
        <f t="shared" si="15"/>
        <v>0.64971152238805974</v>
      </c>
      <c r="AD20">
        <f t="shared" si="20"/>
        <v>0.65083149356945014</v>
      </c>
      <c r="AE20">
        <f t="shared" si="21"/>
        <v>1.2543354471450084E-6</v>
      </c>
      <c r="AG20">
        <v>2000</v>
      </c>
    </row>
    <row r="21" spans="1:33" x14ac:dyDescent="0.25">
      <c r="A21">
        <v>0.85643999999999998</v>
      </c>
      <c r="B21">
        <f t="shared" si="4"/>
        <v>85.643999999999991</v>
      </c>
      <c r="C21">
        <v>0.69401999999999997</v>
      </c>
      <c r="D21">
        <f>C21*'Isotherm List'!$G$4/'Isotherm List'!$H$23</f>
        <v>0.73338232835820882</v>
      </c>
      <c r="H21">
        <f t="shared" si="5"/>
        <v>85.643999999999991</v>
      </c>
      <c r="I21">
        <f t="shared" si="6"/>
        <v>0.69401999999999997</v>
      </c>
      <c r="J21">
        <f t="shared" si="7"/>
        <v>0.73338232835820882</v>
      </c>
      <c r="K21">
        <f t="shared" si="8"/>
        <v>0.73086585444766672</v>
      </c>
      <c r="L21">
        <f t="shared" si="9"/>
        <v>6.3326409424390754E-6</v>
      </c>
      <c r="N21">
        <v>4000</v>
      </c>
      <c r="R21">
        <f t="shared" si="0"/>
        <v>0.85643999999999998</v>
      </c>
      <c r="S21">
        <f t="shared" si="1"/>
        <v>0.69401999999999997</v>
      </c>
      <c r="T21">
        <f t="shared" si="2"/>
        <v>0.73338232835820882</v>
      </c>
      <c r="U21">
        <f t="shared" si="3"/>
        <v>0.7063146680682163</v>
      </c>
      <c r="V21">
        <f t="shared" si="11"/>
        <v>7.3265823357443818E-4</v>
      </c>
      <c r="X21">
        <v>4000</v>
      </c>
      <c r="Z21">
        <f t="shared" si="16"/>
        <v>0.81245000000000001</v>
      </c>
      <c r="AA21">
        <f t="shared" si="13"/>
        <v>0.81245000000000001</v>
      </c>
      <c r="AB21">
        <f t="shared" si="14"/>
        <v>0.66144999999999998</v>
      </c>
      <c r="AC21">
        <f t="shared" si="15"/>
        <v>0.69896507462686552</v>
      </c>
      <c r="AD21">
        <f t="shared" si="20"/>
        <v>0.69589703004474679</v>
      </c>
      <c r="AE21">
        <f t="shared" si="21"/>
        <v>9.4128975578681178E-6</v>
      </c>
      <c r="AG21">
        <v>3000</v>
      </c>
    </row>
    <row r="22" spans="1:33" x14ac:dyDescent="0.25">
      <c r="A22">
        <v>0.90559999999999996</v>
      </c>
      <c r="B22">
        <f t="shared" si="4"/>
        <v>90.56</v>
      </c>
      <c r="C22">
        <v>0.73126000000000002</v>
      </c>
      <c r="D22">
        <f>C22*'Isotherm List'!$G$4/'Isotherm List'!$H$23</f>
        <v>0.77273444776119404</v>
      </c>
      <c r="H22">
        <f t="shared" si="5"/>
        <v>90.56</v>
      </c>
      <c r="I22">
        <f t="shared" si="6"/>
        <v>0.73126000000000002</v>
      </c>
      <c r="J22">
        <f t="shared" si="7"/>
        <v>0.77273444776119404</v>
      </c>
      <c r="K22">
        <f t="shared" si="8"/>
        <v>0.77160840935017871</v>
      </c>
      <c r="L22">
        <f t="shared" si="9"/>
        <v>1.2679625030819265E-6</v>
      </c>
      <c r="N22">
        <v>5000</v>
      </c>
      <c r="R22">
        <f t="shared" si="0"/>
        <v>0.90559999999999996</v>
      </c>
      <c r="S22">
        <f t="shared" si="1"/>
        <v>0.73126000000000002</v>
      </c>
      <c r="T22">
        <f t="shared" si="2"/>
        <v>0.77273444776119404</v>
      </c>
      <c r="U22">
        <f t="shared" si="3"/>
        <v>0.72539303621693829</v>
      </c>
      <c r="V22">
        <f t="shared" si="11"/>
        <v>2.2412092470025916E-3</v>
      </c>
      <c r="X22">
        <v>5000</v>
      </c>
      <c r="Z22">
        <f t="shared" si="16"/>
        <v>0.85643999999999998</v>
      </c>
      <c r="AA22">
        <f t="shared" si="13"/>
        <v>0.85643999999999998</v>
      </c>
      <c r="AB22">
        <f t="shared" si="14"/>
        <v>0.69401999999999997</v>
      </c>
      <c r="AC22">
        <f t="shared" si="15"/>
        <v>0.73338232835820882</v>
      </c>
      <c r="AD22">
        <f t="shared" si="20"/>
        <v>0.73194277110251416</v>
      </c>
      <c r="AE22">
        <f t="shared" si="21"/>
        <v>2.0723250924231633E-6</v>
      </c>
      <c r="AG22">
        <v>4000</v>
      </c>
    </row>
    <row r="23" spans="1:33" x14ac:dyDescent="0.25">
      <c r="A23">
        <v>0.96167000000000002</v>
      </c>
      <c r="B23">
        <f t="shared" si="4"/>
        <v>96.167000000000002</v>
      </c>
      <c r="C23">
        <v>0.77078000000000002</v>
      </c>
      <c r="D23">
        <f>C23*'Isotherm List'!$G$4/'Isotherm List'!$H$23</f>
        <v>0.81449588059701483</v>
      </c>
      <c r="H23">
        <f t="shared" si="5"/>
        <v>96.167000000000002</v>
      </c>
      <c r="I23">
        <f t="shared" si="6"/>
        <v>0.77078000000000002</v>
      </c>
      <c r="J23">
        <f t="shared" si="7"/>
        <v>0.81449588059701483</v>
      </c>
      <c r="K23">
        <f t="shared" si="8"/>
        <v>0.8179191851146369</v>
      </c>
      <c r="L23">
        <f t="shared" si="9"/>
        <v>1.1719013820371689E-5</v>
      </c>
      <c r="R23">
        <f t="shared" si="0"/>
        <v>0.96167000000000002</v>
      </c>
      <c r="S23">
        <f t="shared" si="1"/>
        <v>0.77078000000000002</v>
      </c>
      <c r="T23">
        <f t="shared" si="2"/>
        <v>0.81449588059701483</v>
      </c>
      <c r="U23">
        <f t="shared" si="3"/>
        <v>0.74341978513375417</v>
      </c>
      <c r="V23">
        <f t="shared" si="11"/>
        <v>5.051811346302542E-3</v>
      </c>
      <c r="Z23">
        <f t="shared" si="16"/>
        <v>0.90559999999999996</v>
      </c>
      <c r="AA23">
        <f t="shared" si="13"/>
        <v>0.90559999999999996</v>
      </c>
      <c r="AB23">
        <f t="shared" si="14"/>
        <v>0.73126000000000002</v>
      </c>
      <c r="AC23">
        <f t="shared" si="15"/>
        <v>0.77273444776119404</v>
      </c>
      <c r="AD23">
        <f t="shared" si="20"/>
        <v>0.77171113139668601</v>
      </c>
      <c r="AE23">
        <f t="shared" si="21"/>
        <v>1.0471763818699338E-6</v>
      </c>
      <c r="AG23">
        <v>5000</v>
      </c>
    </row>
    <row r="24" spans="1:33" x14ac:dyDescent="0.25">
      <c r="Z24">
        <f t="shared" si="16"/>
        <v>0.96167000000000002</v>
      </c>
      <c r="AA24">
        <f t="shared" si="13"/>
        <v>0.96167000000000002</v>
      </c>
      <c r="AB24">
        <f t="shared" si="14"/>
        <v>0.77078000000000002</v>
      </c>
      <c r="AC24">
        <f t="shared" si="15"/>
        <v>0.81449588059701483</v>
      </c>
      <c r="AD24">
        <f t="shared" si="20"/>
        <v>0.81635276571923521</v>
      </c>
      <c r="AE24">
        <f t="shared" si="21"/>
        <v>3.4480223571233779E-6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3A29-AB37-447D-80EA-23F9ABCB2665}">
  <sheetPr>
    <tabColor theme="2"/>
  </sheetPr>
  <dimension ref="A1:AB23"/>
  <sheetViews>
    <sheetView topLeftCell="H1" workbookViewId="0">
      <selection activeCell="T33" sqref="T33"/>
    </sheetView>
  </sheetViews>
  <sheetFormatPr defaultRowHeight="15" x14ac:dyDescent="0.25"/>
  <cols>
    <col min="3" max="3" width="12.42578125" customWidth="1"/>
    <col min="28" max="28" width="12.140625" customWidth="1"/>
  </cols>
  <sheetData>
    <row r="1" spans="1:28" x14ac:dyDescent="0.25">
      <c r="L1" s="1" t="s">
        <v>25</v>
      </c>
      <c r="N1" s="1" t="s">
        <v>26</v>
      </c>
      <c r="O1" s="1" t="s">
        <v>27</v>
      </c>
      <c r="P1" s="1" t="s">
        <v>28</v>
      </c>
    </row>
    <row r="2" spans="1:28" x14ac:dyDescent="0.25">
      <c r="L2">
        <f>SUM(L4:L41)</f>
        <v>0</v>
      </c>
      <c r="N2">
        <v>21.558374161986116</v>
      </c>
      <c r="O2">
        <v>3.0058037124699799E-4</v>
      </c>
      <c r="P2">
        <v>0.84693630131434183</v>
      </c>
    </row>
    <row r="3" spans="1:28" x14ac:dyDescent="0.25">
      <c r="A3" t="s">
        <v>41</v>
      </c>
      <c r="B3" t="s">
        <v>31</v>
      </c>
      <c r="C3" t="s">
        <v>43</v>
      </c>
      <c r="H3" s="1" t="s">
        <v>31</v>
      </c>
      <c r="I3" s="1" t="s">
        <v>43</v>
      </c>
      <c r="J3" s="1" t="s">
        <v>80</v>
      </c>
      <c r="K3" s="1" t="s">
        <v>29</v>
      </c>
      <c r="L3" s="1" t="s">
        <v>30</v>
      </c>
      <c r="M3" s="1"/>
      <c r="N3" s="9" t="s">
        <v>31</v>
      </c>
      <c r="O3" s="10" t="s">
        <v>32</v>
      </c>
      <c r="AA3" t="s">
        <v>31</v>
      </c>
      <c r="AB3" t="s">
        <v>43</v>
      </c>
    </row>
    <row r="4" spans="1:28" x14ac:dyDescent="0.25">
      <c r="A4">
        <v>0</v>
      </c>
      <c r="B4">
        <f>A4*100</f>
        <v>0</v>
      </c>
      <c r="C4">
        <v>0</v>
      </c>
      <c r="K4">
        <f>($N$2*H4)/(((1/$O$2)+H4^$P$2)^(1/$P$2))</f>
        <v>0</v>
      </c>
      <c r="L4">
        <f>(K4-J4)^2</f>
        <v>0</v>
      </c>
      <c r="N4">
        <v>10</v>
      </c>
      <c r="AA4">
        <v>0</v>
      </c>
      <c r="AB4">
        <v>0</v>
      </c>
    </row>
    <row r="5" spans="1:28" x14ac:dyDescent="0.25">
      <c r="A5">
        <v>0.101169</v>
      </c>
      <c r="B5">
        <f t="shared" ref="B5:B14" si="0">A5*100</f>
        <v>10.116899999999999</v>
      </c>
      <c r="C5">
        <v>0.290072</v>
      </c>
      <c r="N5">
        <v>30</v>
      </c>
      <c r="AA5">
        <v>10.116899999999999</v>
      </c>
      <c r="AB5">
        <v>0.290072</v>
      </c>
    </row>
    <row r="6" spans="1:28" x14ac:dyDescent="0.25">
      <c r="A6">
        <v>0.221169</v>
      </c>
      <c r="B6">
        <f t="shared" si="0"/>
        <v>22.116900000000001</v>
      </c>
      <c r="C6">
        <v>0.59007200000000004</v>
      </c>
      <c r="N6">
        <v>50</v>
      </c>
      <c r="AA6">
        <v>22.116900000000001</v>
      </c>
      <c r="AB6">
        <v>0.59007200000000004</v>
      </c>
    </row>
    <row r="7" spans="1:28" x14ac:dyDescent="0.25">
      <c r="A7">
        <v>0.29616900000000002</v>
      </c>
      <c r="B7">
        <f t="shared" si="0"/>
        <v>29.616900000000001</v>
      </c>
      <c r="C7">
        <v>0.79673899999999998</v>
      </c>
      <c r="N7">
        <v>70</v>
      </c>
      <c r="AA7">
        <v>29.616900000000001</v>
      </c>
      <c r="AB7">
        <v>0.79673899999999998</v>
      </c>
    </row>
    <row r="8" spans="1:28" x14ac:dyDescent="0.25">
      <c r="A8">
        <v>0.401169</v>
      </c>
      <c r="B8">
        <f t="shared" si="0"/>
        <v>40.116900000000001</v>
      </c>
      <c r="C8">
        <v>1.0234099999999999</v>
      </c>
      <c r="N8">
        <v>100</v>
      </c>
      <c r="AA8">
        <v>40.116900000000001</v>
      </c>
      <c r="AB8">
        <v>1.0234099999999999</v>
      </c>
    </row>
    <row r="9" spans="1:28" x14ac:dyDescent="0.25">
      <c r="A9">
        <v>0.50616899999999998</v>
      </c>
      <c r="B9">
        <f t="shared" si="0"/>
        <v>50.616900000000001</v>
      </c>
      <c r="C9">
        <v>1.23674</v>
      </c>
      <c r="N9">
        <v>200</v>
      </c>
      <c r="AA9">
        <v>50.616900000000001</v>
      </c>
      <c r="AB9">
        <v>1.23674</v>
      </c>
    </row>
    <row r="10" spans="1:28" x14ac:dyDescent="0.25">
      <c r="A10">
        <v>0.61116899999999996</v>
      </c>
      <c r="B10">
        <f t="shared" si="0"/>
        <v>61.116899999999994</v>
      </c>
      <c r="C10">
        <v>1.4834099999999999</v>
      </c>
      <c r="N10">
        <v>300</v>
      </c>
      <c r="AA10">
        <v>61.116899999999994</v>
      </c>
      <c r="AB10">
        <v>1.4834099999999999</v>
      </c>
    </row>
    <row r="11" spans="1:28" x14ac:dyDescent="0.25">
      <c r="A11">
        <v>0.70866899999999999</v>
      </c>
      <c r="B11">
        <f t="shared" si="0"/>
        <v>70.866900000000001</v>
      </c>
      <c r="C11">
        <v>1.6300699999999999</v>
      </c>
      <c r="N11">
        <v>400</v>
      </c>
      <c r="AA11">
        <v>70.866900000000001</v>
      </c>
      <c r="AB11">
        <v>1.6300699999999999</v>
      </c>
    </row>
    <row r="12" spans="1:28" x14ac:dyDescent="0.25">
      <c r="A12">
        <v>0.81366899999999998</v>
      </c>
      <c r="B12">
        <f t="shared" si="0"/>
        <v>81.366900000000001</v>
      </c>
      <c r="C12">
        <v>1.81674</v>
      </c>
      <c r="N12">
        <v>500</v>
      </c>
      <c r="AA12">
        <v>81.366900000000001</v>
      </c>
      <c r="AB12">
        <v>1.81674</v>
      </c>
    </row>
    <row r="13" spans="1:28" x14ac:dyDescent="0.25">
      <c r="A13">
        <v>0.92616900000000002</v>
      </c>
      <c r="B13">
        <f t="shared" si="0"/>
        <v>92.616900000000001</v>
      </c>
      <c r="C13">
        <v>1.95007</v>
      </c>
      <c r="N13">
        <v>600</v>
      </c>
      <c r="AA13">
        <v>92.616900000000001</v>
      </c>
      <c r="AB13">
        <v>1.95007</v>
      </c>
    </row>
    <row r="14" spans="1:28" x14ac:dyDescent="0.25">
      <c r="A14">
        <v>1.03867</v>
      </c>
      <c r="B14">
        <f t="shared" si="0"/>
        <v>103.867</v>
      </c>
      <c r="C14">
        <v>2.0900699999999999</v>
      </c>
      <c r="N14">
        <v>700</v>
      </c>
      <c r="AA14">
        <v>103.867</v>
      </c>
      <c r="AB14">
        <v>2.0900699999999999</v>
      </c>
    </row>
    <row r="15" spans="1:28" x14ac:dyDescent="0.25">
      <c r="N15">
        <v>800</v>
      </c>
    </row>
    <row r="16" spans="1:28" x14ac:dyDescent="0.25">
      <c r="N16">
        <v>900</v>
      </c>
    </row>
    <row r="17" spans="14:14" x14ac:dyDescent="0.25">
      <c r="N17">
        <v>1000</v>
      </c>
    </row>
    <row r="18" spans="14:14" x14ac:dyDescent="0.25">
      <c r="N18">
        <v>1500</v>
      </c>
    </row>
    <row r="19" spans="14:14" x14ac:dyDescent="0.25">
      <c r="N19">
        <v>2000</v>
      </c>
    </row>
    <row r="20" spans="14:14" x14ac:dyDescent="0.25">
      <c r="N20">
        <v>3000</v>
      </c>
    </row>
    <row r="21" spans="14:14" x14ac:dyDescent="0.25">
      <c r="N21">
        <v>4000</v>
      </c>
    </row>
    <row r="22" spans="14:14" x14ac:dyDescent="0.25">
      <c r="N22">
        <v>5000</v>
      </c>
    </row>
    <row r="23" spans="14:14" x14ac:dyDescent="0.25">
      <c r="N23">
        <v>6000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EF15-8212-4A27-A7AD-FB9CDDAA67AE}">
  <sheetPr>
    <tabColor theme="2"/>
  </sheetPr>
  <dimension ref="A1:AI23"/>
  <sheetViews>
    <sheetView zoomScaleNormal="100" workbookViewId="0">
      <selection activeCell="T33" sqref="T33"/>
    </sheetView>
  </sheetViews>
  <sheetFormatPr defaultRowHeight="15" x14ac:dyDescent="0.25"/>
  <cols>
    <col min="3" max="3" width="12.85546875" customWidth="1"/>
    <col min="4" max="4" width="18.28515625" customWidth="1"/>
    <col min="18" max="18" width="14.140625" customWidth="1"/>
    <col min="25" max="25" width="23.140625" customWidth="1"/>
  </cols>
  <sheetData>
    <row r="1" spans="1:35" x14ac:dyDescent="0.25">
      <c r="L1" s="1" t="s">
        <v>25</v>
      </c>
      <c r="N1" s="1" t="s">
        <v>26</v>
      </c>
      <c r="O1" s="1" t="s">
        <v>27</v>
      </c>
      <c r="P1" s="1" t="s">
        <v>28</v>
      </c>
      <c r="R1" s="41" t="s">
        <v>169</v>
      </c>
      <c r="V1" s="1" t="s">
        <v>25</v>
      </c>
      <c r="X1" s="1" t="s">
        <v>170</v>
      </c>
      <c r="Y1" s="1" t="s">
        <v>171</v>
      </c>
      <c r="AA1" s="41" t="s">
        <v>180</v>
      </c>
      <c r="AE1" s="1" t="s">
        <v>25</v>
      </c>
      <c r="AG1" s="1" t="s">
        <v>170</v>
      </c>
      <c r="AH1" s="1" t="s">
        <v>171</v>
      </c>
      <c r="AI1" s="1" t="s">
        <v>178</v>
      </c>
    </row>
    <row r="2" spans="1:35" x14ac:dyDescent="0.25">
      <c r="L2">
        <f>SUM(L4:L41)</f>
        <v>7.0227053568060992E-3</v>
      </c>
      <c r="N2">
        <v>9.2971926542142267</v>
      </c>
      <c r="O2">
        <v>5.1240300353777692E-3</v>
      </c>
      <c r="P2">
        <v>0.99346289959117862</v>
      </c>
      <c r="V2">
        <f>SUM(V4:V23)</f>
        <v>9.6933972712995004E-2</v>
      </c>
      <c r="X2">
        <v>1.0608697136870371</v>
      </c>
      <c r="Y2">
        <v>2.8262197607601096</v>
      </c>
      <c r="AE2">
        <f>SUM(AE5:AE14)</f>
        <v>7.205972126333361E-3</v>
      </c>
      <c r="AG2">
        <v>0.88407718256160572</v>
      </c>
      <c r="AH2">
        <v>0.13329874554940069</v>
      </c>
      <c r="AI2">
        <v>5.0397148898681072</v>
      </c>
    </row>
    <row r="3" spans="1:35" x14ac:dyDescent="0.25">
      <c r="A3" t="s">
        <v>41</v>
      </c>
      <c r="B3" t="s">
        <v>31</v>
      </c>
      <c r="C3" t="s">
        <v>43</v>
      </c>
      <c r="D3" s="1" t="s">
        <v>80</v>
      </c>
      <c r="H3" s="1" t="s">
        <v>31</v>
      </c>
      <c r="I3" s="1" t="s">
        <v>43</v>
      </c>
      <c r="J3" s="1" t="s">
        <v>80</v>
      </c>
      <c r="K3" s="1" t="s">
        <v>29</v>
      </c>
      <c r="L3" s="1" t="s">
        <v>30</v>
      </c>
      <c r="M3" s="1"/>
      <c r="N3" s="9" t="s">
        <v>31</v>
      </c>
      <c r="O3" s="10" t="s">
        <v>32</v>
      </c>
      <c r="R3" s="1" t="s">
        <v>41</v>
      </c>
      <c r="S3" s="1" t="s">
        <v>43</v>
      </c>
      <c r="T3" s="1" t="s">
        <v>80</v>
      </c>
      <c r="U3" s="1" t="s">
        <v>172</v>
      </c>
      <c r="V3" s="1" t="s">
        <v>30</v>
      </c>
      <c r="W3" s="1"/>
      <c r="X3" s="9" t="s">
        <v>31</v>
      </c>
      <c r="Y3" s="10" t="s">
        <v>173</v>
      </c>
      <c r="Z3" s="1" t="s">
        <v>31</v>
      </c>
      <c r="AA3" s="1" t="s">
        <v>41</v>
      </c>
      <c r="AB3" s="1" t="s">
        <v>43</v>
      </c>
      <c r="AC3" s="1" t="s">
        <v>80</v>
      </c>
      <c r="AD3" s="1" t="s">
        <v>172</v>
      </c>
      <c r="AE3" s="1" t="s">
        <v>30</v>
      </c>
      <c r="AF3" s="1"/>
      <c r="AG3" s="9" t="s">
        <v>31</v>
      </c>
      <c r="AH3" s="10" t="s">
        <v>173</v>
      </c>
    </row>
    <row r="4" spans="1:35" x14ac:dyDescent="0.25">
      <c r="A4">
        <v>0.10090956749999999</v>
      </c>
      <c r="B4">
        <f>A4*100</f>
        <v>10.090956749999998</v>
      </c>
      <c r="C4">
        <v>0.31720999999999999</v>
      </c>
      <c r="D4">
        <f>C4*'Isotherm List'!$G$4/'Isotherm List'!$H$26</f>
        <v>0.46497863354037267</v>
      </c>
      <c r="H4">
        <f>B4</f>
        <v>10.090956749999998</v>
      </c>
      <c r="I4">
        <f>C4</f>
        <v>0.31720999999999999</v>
      </c>
      <c r="J4">
        <f>D4</f>
        <v>0.46497863354037267</v>
      </c>
      <c r="K4">
        <f>($N$2*H4)/(((1/$O$2)+H4^$P$2)^(1/$P$2))</f>
        <v>0.44168099016984547</v>
      </c>
      <c r="L4">
        <f>(K4-J4)^2</f>
        <v>5.4278018662027E-4</v>
      </c>
      <c r="N4">
        <v>10</v>
      </c>
      <c r="O4">
        <f>($N$2*N4)/(((1/$O$2)+N4^$P$2)^(1/$P$2))</f>
        <v>0.43789110301524625</v>
      </c>
      <c r="R4">
        <f t="shared" ref="R4:R13" si="0">A4</f>
        <v>0.10090956749999999</v>
      </c>
      <c r="S4">
        <f t="shared" ref="S4:S13" si="1">C4</f>
        <v>0.31720999999999999</v>
      </c>
      <c r="T4">
        <f t="shared" ref="T4:T13" si="2">D4</f>
        <v>0.46497863354037267</v>
      </c>
      <c r="U4">
        <f>($T$13*(1-EXP(-($X$2+$Y$2)*R4))/(1+$Y$2/$X$2*EXP(-($X$2+$Y$2)*R4)))</f>
        <v>0.35755221793896463</v>
      </c>
      <c r="V4">
        <f>(U4-T4)^2</f>
        <v>1.1540434768966443E-2</v>
      </c>
      <c r="X4">
        <v>10</v>
      </c>
      <c r="Y4">
        <f>($T$13*(1-EXP(-($X$2+$Y$2)*(X4/100)))/(1+$Y$2/$X$2*EXP(-($X$2+$Y$2)*(X4/100))))</f>
        <v>0.35410933883243217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</row>
    <row r="5" spans="1:35" x14ac:dyDescent="0.25">
      <c r="A5">
        <v>0.20325794999999999</v>
      </c>
      <c r="B5">
        <f t="shared" ref="B5:B13" si="3">A5*100</f>
        <v>20.325794999999999</v>
      </c>
      <c r="C5">
        <v>0.59230000000000005</v>
      </c>
      <c r="D5">
        <f>C5*'Isotherm List'!$G$4/'Isotherm List'!$H$26</f>
        <v>0.86821614906832301</v>
      </c>
      <c r="H5">
        <f t="shared" ref="H5:H13" si="4">B5</f>
        <v>20.325794999999999</v>
      </c>
      <c r="I5">
        <f t="shared" ref="I5:I13" si="5">C5</f>
        <v>0.59230000000000005</v>
      </c>
      <c r="J5">
        <f t="shared" ref="J5:J13" si="6">D5</f>
        <v>0.86821614906832301</v>
      </c>
      <c r="K5">
        <f t="shared" ref="K5:K13" si="7">($N$2*H5)/(((1/$O$2)+H5^$P$2)^(1/$P$2))</f>
        <v>0.84807349780155217</v>
      </c>
      <c r="L5">
        <f t="shared" ref="L5:L13" si="8">(K5-J5)^2</f>
        <v>4.0572640005474489E-4</v>
      </c>
      <c r="N5">
        <v>30</v>
      </c>
      <c r="O5">
        <f t="shared" ref="O5:O8" si="9">($N$2*N5)/(((1/$O$2)+N5^$P$2)^(1/$P$2))</f>
        <v>1.198911060838546</v>
      </c>
      <c r="R5">
        <f t="shared" si="0"/>
        <v>0.20325794999999999</v>
      </c>
      <c r="S5">
        <f t="shared" si="1"/>
        <v>0.59230000000000005</v>
      </c>
      <c r="T5">
        <f t="shared" si="2"/>
        <v>0.86821614906832301</v>
      </c>
      <c r="U5">
        <f t="shared" ref="U5:U13" si="10">($T$13*(1-EXP(-($X$2+$Y$2)*R5))/(1+$Y$2/$X$2*EXP(-($X$2+$Y$2)*R5)))</f>
        <v>0.76285198310978208</v>
      </c>
      <c r="V5">
        <f t="shared" ref="V5:V13" si="11">(U5-T5)^2</f>
        <v>1.1101607468138954E-2</v>
      </c>
      <c r="X5">
        <v>30</v>
      </c>
      <c r="Y5">
        <f t="shared" ref="Y5:Y8" si="12">($T$13*(1-EXP(-($X$2+$Y$2)*(X5/100)))/(1+$Y$2/$X$2*EXP(-($X$2+$Y$2)*(X5/100))))</f>
        <v>1.1605980356741221</v>
      </c>
      <c r="Z5">
        <f>A4</f>
        <v>0.10090956749999999</v>
      </c>
      <c r="AA5">
        <f t="shared" ref="AA5:AA14" si="13">A4</f>
        <v>0.10090956749999999</v>
      </c>
      <c r="AB5">
        <f t="shared" ref="AB5:AB14" si="14">C4</f>
        <v>0.31720999999999999</v>
      </c>
      <c r="AC5">
        <f t="shared" ref="AC5:AC14" si="15">D4</f>
        <v>0.46497863354037267</v>
      </c>
      <c r="AD5">
        <f>($AI$2*(1-EXP(-($AG$2+$AH$2)*AA5))/(1+$AH$2/$AG$2*EXP(-($AG$2+$AH$2)*AA5)))</f>
        <v>0.43282655416137678</v>
      </c>
      <c r="AE5">
        <f>(AD5-AC5)^2</f>
        <v>1.0337562083932528E-3</v>
      </c>
      <c r="AG5">
        <v>10</v>
      </c>
      <c r="AH5">
        <f>($AI$2*(1-EXP(-($AG$2+$AH$2)*(AG5/100)))/(1+$AH$2/$AG$2*EXP(-($AG$2+$AH$2)*(AG5/100))))</f>
        <v>0.42907273555190723</v>
      </c>
    </row>
    <row r="6" spans="1:35" x14ac:dyDescent="0.25">
      <c r="A6">
        <v>0.30413711999999998</v>
      </c>
      <c r="B6">
        <f t="shared" si="3"/>
        <v>30.413711999999997</v>
      </c>
      <c r="C6">
        <v>0.81921999999999995</v>
      </c>
      <c r="D6">
        <f>C6*'Isotherm List'!$G$4/'Isotherm List'!$H$26</f>
        <v>1.2008442236024846</v>
      </c>
      <c r="H6">
        <f t="shared" si="4"/>
        <v>30.413711999999997</v>
      </c>
      <c r="I6">
        <f t="shared" si="5"/>
        <v>0.81921999999999995</v>
      </c>
      <c r="J6">
        <f t="shared" si="6"/>
        <v>1.2008442236024846</v>
      </c>
      <c r="K6">
        <f t="shared" si="7"/>
        <v>1.2132579538955464</v>
      </c>
      <c r="L6">
        <f t="shared" si="8"/>
        <v>1.5410069978888041E-4</v>
      </c>
      <c r="N6">
        <v>50</v>
      </c>
      <c r="O6">
        <f t="shared" si="9"/>
        <v>1.8382657544116083</v>
      </c>
      <c r="R6">
        <f t="shared" si="0"/>
        <v>0.30413711999999998</v>
      </c>
      <c r="S6">
        <f t="shared" si="1"/>
        <v>0.81921999999999995</v>
      </c>
      <c r="T6">
        <f t="shared" si="2"/>
        <v>1.2008442236024846</v>
      </c>
      <c r="U6">
        <f t="shared" si="10"/>
        <v>1.1774974009219132</v>
      </c>
      <c r="V6">
        <f t="shared" si="11"/>
        <v>5.45074129278039E-4</v>
      </c>
      <c r="X6">
        <v>50</v>
      </c>
      <c r="Y6">
        <f t="shared" si="12"/>
        <v>1.9134687195754263</v>
      </c>
      <c r="Z6">
        <f t="shared" ref="Z6:Z14" si="16">A5</f>
        <v>0.20325794999999999</v>
      </c>
      <c r="AA6">
        <f t="shared" si="13"/>
        <v>0.20325794999999999</v>
      </c>
      <c r="AB6">
        <f t="shared" si="14"/>
        <v>0.59230000000000005</v>
      </c>
      <c r="AC6">
        <f t="shared" si="15"/>
        <v>0.86821614906832301</v>
      </c>
      <c r="AD6">
        <f>($AI$2*(1-EXP(-($AG$2+$AH$2)*AA6))/(1+$AH$2/$AG$2*EXP(-($AG$2+$AH$2)*AA6)))</f>
        <v>0.83863987924622263</v>
      </c>
      <c r="AE6">
        <f t="shared" ref="AE6:AE14" si="17">(AD6-AC6)^2</f>
        <v>8.7475573658968547E-4</v>
      </c>
      <c r="AG6">
        <v>30</v>
      </c>
      <c r="AH6">
        <f t="shared" ref="AH6:AH9" si="18">($AI$2*(1-EXP(-($AG$2+$AH$2)*(AG6/100)))/(1+$AH$2/$AG$2*EXP(-($AG$2+$AH$2)*(AG6/100))))</f>
        <v>1.1930450602873568</v>
      </c>
    </row>
    <row r="7" spans="1:35" x14ac:dyDescent="0.25">
      <c r="A7">
        <v>0.40574583000000003</v>
      </c>
      <c r="B7">
        <f t="shared" si="3"/>
        <v>40.574583000000004</v>
      </c>
      <c r="C7">
        <v>1.0361199999999999</v>
      </c>
      <c r="D7">
        <f>C7*'Isotherm List'!$G$4/'Isotherm List'!$H$26</f>
        <v>1.5187845962732918</v>
      </c>
      <c r="H7">
        <f t="shared" si="4"/>
        <v>40.574583000000004</v>
      </c>
      <c r="I7">
        <f t="shared" si="5"/>
        <v>1.0361199999999999</v>
      </c>
      <c r="J7">
        <f t="shared" si="6"/>
        <v>1.5187845962732918</v>
      </c>
      <c r="K7">
        <f t="shared" si="7"/>
        <v>1.5501622284228098</v>
      </c>
      <c r="L7">
        <f t="shared" si="8"/>
        <v>9.8455579931046896E-4</v>
      </c>
      <c r="N7">
        <v>70</v>
      </c>
      <c r="O7">
        <f t="shared" si="9"/>
        <v>2.383248024584983</v>
      </c>
      <c r="R7">
        <f t="shared" si="0"/>
        <v>0.40574583000000003</v>
      </c>
      <c r="S7">
        <f t="shared" si="1"/>
        <v>1.0361199999999999</v>
      </c>
      <c r="T7">
        <f t="shared" si="2"/>
        <v>1.5187845962732918</v>
      </c>
      <c r="U7">
        <f t="shared" si="10"/>
        <v>1.5790208601913258</v>
      </c>
      <c r="V7">
        <f t="shared" si="11"/>
        <v>3.6284074908030507E-3</v>
      </c>
      <c r="X7">
        <v>70</v>
      </c>
      <c r="Y7">
        <f t="shared" si="12"/>
        <v>2.4522290835696801</v>
      </c>
      <c r="Z7">
        <f t="shared" si="16"/>
        <v>0.30413711999999998</v>
      </c>
      <c r="AA7">
        <f t="shared" si="13"/>
        <v>0.30413711999999998</v>
      </c>
      <c r="AB7">
        <f t="shared" si="14"/>
        <v>0.81921999999999995</v>
      </c>
      <c r="AC7">
        <f t="shared" si="15"/>
        <v>1.2008442236024846</v>
      </c>
      <c r="AD7">
        <f t="shared" ref="AD7:AD14" si="19">($AI$2*(1-EXP(-($AG$2+$AH$2)*AA7))/(1+$AH$2/$AG$2*EXP(-($AG$2+$AH$2)*AA7)))</f>
        <v>1.2075920517929806</v>
      </c>
      <c r="AE7">
        <f t="shared" si="17"/>
        <v>4.5533185288452779E-5</v>
      </c>
      <c r="AG7">
        <v>50</v>
      </c>
      <c r="AH7">
        <f t="shared" si="18"/>
        <v>1.8423846163657662</v>
      </c>
    </row>
    <row r="8" spans="1:35" x14ac:dyDescent="0.25">
      <c r="A8">
        <v>0.50734440749999998</v>
      </c>
      <c r="B8">
        <f t="shared" si="3"/>
        <v>50.734440749999997</v>
      </c>
      <c r="C8">
        <v>1.24499</v>
      </c>
      <c r="D8">
        <f>C8*'Isotherm List'!$G$4/'Isotherm List'!$H$26</f>
        <v>1.8249542857142858</v>
      </c>
      <c r="H8">
        <f t="shared" si="4"/>
        <v>50.734440749999997</v>
      </c>
      <c r="I8">
        <f t="shared" si="5"/>
        <v>1.24499</v>
      </c>
      <c r="J8">
        <f t="shared" si="6"/>
        <v>1.8249542857142858</v>
      </c>
      <c r="K8">
        <f t="shared" si="7"/>
        <v>1.8598089059061409</v>
      </c>
      <c r="L8">
        <f t="shared" si="8"/>
        <v>1.2148445487184763E-3</v>
      </c>
      <c r="N8">
        <v>100</v>
      </c>
      <c r="O8">
        <f t="shared" si="9"/>
        <v>3.065188424119285</v>
      </c>
      <c r="R8">
        <f t="shared" si="0"/>
        <v>0.50734440749999998</v>
      </c>
      <c r="S8">
        <f t="shared" si="1"/>
        <v>1.24499</v>
      </c>
      <c r="T8">
        <f t="shared" si="2"/>
        <v>1.8249542857142858</v>
      </c>
      <c r="U8">
        <f t="shared" si="10"/>
        <v>1.9375273929739869</v>
      </c>
      <c r="V8">
        <f t="shared" si="11"/>
        <v>1.2672704478104181E-2</v>
      </c>
      <c r="X8">
        <v>100</v>
      </c>
      <c r="Y8">
        <f t="shared" si="12"/>
        <v>2.8654194491466383</v>
      </c>
      <c r="Z8">
        <f t="shared" si="16"/>
        <v>0.40574583000000003</v>
      </c>
      <c r="AA8">
        <f t="shared" si="13"/>
        <v>0.40574583000000003</v>
      </c>
      <c r="AB8">
        <f t="shared" si="14"/>
        <v>1.0361199999999999</v>
      </c>
      <c r="AC8">
        <f t="shared" si="15"/>
        <v>1.5187845962732918</v>
      </c>
      <c r="AD8">
        <f t="shared" si="19"/>
        <v>1.5498002021209112</v>
      </c>
      <c r="AE8">
        <f t="shared" si="17"/>
        <v>9.6196780609488397E-4</v>
      </c>
      <c r="AG8">
        <v>70</v>
      </c>
      <c r="AH8">
        <f t="shared" si="18"/>
        <v>2.3905003083696901</v>
      </c>
    </row>
    <row r="9" spans="1:35" x14ac:dyDescent="0.25">
      <c r="A9">
        <v>0.60823371000000004</v>
      </c>
      <c r="B9">
        <f t="shared" si="3"/>
        <v>60.823371000000002</v>
      </c>
      <c r="C9">
        <v>1.4939800000000001</v>
      </c>
      <c r="D9">
        <f>C9*'Isotherm List'!$G$4/'Isotherm List'!$H$26</f>
        <v>2.1899334161490684</v>
      </c>
      <c r="H9">
        <f t="shared" si="4"/>
        <v>60.823371000000002</v>
      </c>
      <c r="I9">
        <f t="shared" si="5"/>
        <v>1.4939800000000001</v>
      </c>
      <c r="J9">
        <f t="shared" si="6"/>
        <v>2.1899334161490684</v>
      </c>
      <c r="K9">
        <f t="shared" si="7"/>
        <v>2.1435178397719326</v>
      </c>
      <c r="L9">
        <f t="shared" si="8"/>
        <v>2.1544057304217355E-3</v>
      </c>
      <c r="N9">
        <v>200</v>
      </c>
      <c r="R9">
        <f t="shared" si="0"/>
        <v>0.60823371000000004</v>
      </c>
      <c r="S9">
        <f t="shared" si="1"/>
        <v>1.4939800000000001</v>
      </c>
      <c r="T9">
        <f t="shared" si="2"/>
        <v>2.1899334161490684</v>
      </c>
      <c r="U9">
        <f t="shared" si="10"/>
        <v>2.2352684930546109</v>
      </c>
      <c r="V9">
        <f t="shared" si="11"/>
        <v>2.0552691980314534E-3</v>
      </c>
      <c r="X9">
        <v>200</v>
      </c>
      <c r="Z9">
        <f t="shared" si="16"/>
        <v>0.50734440749999998</v>
      </c>
      <c r="AA9">
        <f t="shared" si="13"/>
        <v>0.50734440749999998</v>
      </c>
      <c r="AB9">
        <f t="shared" si="14"/>
        <v>1.24499</v>
      </c>
      <c r="AC9">
        <f t="shared" si="15"/>
        <v>1.8249542857142858</v>
      </c>
      <c r="AD9">
        <f t="shared" si="19"/>
        <v>1.864221147826074</v>
      </c>
      <c r="AE9">
        <f t="shared" si="17"/>
        <v>1.5418864601061879E-3</v>
      </c>
      <c r="AG9">
        <v>100</v>
      </c>
      <c r="AH9">
        <f t="shared" si="18"/>
        <v>3.0513100562977855</v>
      </c>
    </row>
    <row r="10" spans="1:35" x14ac:dyDescent="0.25">
      <c r="A10">
        <v>0.70982215500000001</v>
      </c>
      <c r="B10">
        <f t="shared" si="3"/>
        <v>70.982215499999995</v>
      </c>
      <c r="C10">
        <v>1.64266</v>
      </c>
      <c r="D10">
        <f>C10*'Isotherm List'!$G$4/'Isotherm List'!$H$26</f>
        <v>2.4078742857142856</v>
      </c>
      <c r="H10">
        <f t="shared" si="4"/>
        <v>70.982215499999995</v>
      </c>
      <c r="I10">
        <f t="shared" si="5"/>
        <v>1.64266</v>
      </c>
      <c r="J10">
        <f t="shared" si="6"/>
        <v>2.4078742857142856</v>
      </c>
      <c r="K10">
        <f t="shared" si="7"/>
        <v>2.4079506924605765</v>
      </c>
      <c r="L10">
        <f t="shared" si="8"/>
        <v>5.8379908787521457E-9</v>
      </c>
      <c r="N10">
        <v>300</v>
      </c>
      <c r="R10">
        <f t="shared" si="0"/>
        <v>0.70982215500000001</v>
      </c>
      <c r="S10">
        <f t="shared" si="1"/>
        <v>1.64266</v>
      </c>
      <c r="T10">
        <f t="shared" si="2"/>
        <v>2.4078742857142856</v>
      </c>
      <c r="U10">
        <f t="shared" si="10"/>
        <v>2.4725167691900989</v>
      </c>
      <c r="V10">
        <f t="shared" si="11"/>
        <v>4.1786506699207889E-3</v>
      </c>
      <c r="X10">
        <v>300</v>
      </c>
      <c r="Z10">
        <f t="shared" si="16"/>
        <v>0.60823371000000004</v>
      </c>
      <c r="AA10">
        <f t="shared" si="13"/>
        <v>0.60823371000000004</v>
      </c>
      <c r="AB10">
        <f t="shared" si="14"/>
        <v>1.4939800000000001</v>
      </c>
      <c r="AC10">
        <f t="shared" si="15"/>
        <v>2.1899334161490684</v>
      </c>
      <c r="AD10">
        <f t="shared" si="19"/>
        <v>2.1507254301091643</v>
      </c>
      <c r="AE10">
        <f t="shared" si="17"/>
        <v>1.5372661693053198E-3</v>
      </c>
      <c r="AG10">
        <v>200</v>
      </c>
    </row>
    <row r="11" spans="1:35" x14ac:dyDescent="0.25">
      <c r="A11">
        <v>0.81142073250000002</v>
      </c>
      <c r="B11">
        <f t="shared" si="3"/>
        <v>81.142073249999996</v>
      </c>
      <c r="C11">
        <v>1.8334699999999999</v>
      </c>
      <c r="D11">
        <f>C11*'Isotherm List'!$G$4/'Isotherm List'!$H$26</f>
        <v>2.6875709316770187</v>
      </c>
      <c r="H11">
        <f t="shared" si="4"/>
        <v>81.142073249999996</v>
      </c>
      <c r="I11">
        <f t="shared" si="5"/>
        <v>1.8334699999999999</v>
      </c>
      <c r="J11">
        <f t="shared" si="6"/>
        <v>2.6875709316770187</v>
      </c>
      <c r="K11">
        <f t="shared" si="7"/>
        <v>2.653402232573761</v>
      </c>
      <c r="L11">
        <f t="shared" si="8"/>
        <v>1.1674999984089638E-3</v>
      </c>
      <c r="N11">
        <v>400</v>
      </c>
      <c r="R11">
        <f t="shared" si="0"/>
        <v>0.81142073250000002</v>
      </c>
      <c r="S11">
        <f t="shared" si="1"/>
        <v>1.8334699999999999</v>
      </c>
      <c r="T11">
        <f t="shared" si="2"/>
        <v>2.6875709316770187</v>
      </c>
      <c r="U11">
        <f t="shared" si="10"/>
        <v>2.6520105787779098</v>
      </c>
      <c r="V11">
        <f t="shared" si="11"/>
        <v>1.26453869830916E-3</v>
      </c>
      <c r="X11">
        <v>400</v>
      </c>
      <c r="Z11">
        <f t="shared" si="16"/>
        <v>0.70982215500000001</v>
      </c>
      <c r="AA11">
        <f t="shared" si="13"/>
        <v>0.70982215500000001</v>
      </c>
      <c r="AB11">
        <f t="shared" si="14"/>
        <v>1.64266</v>
      </c>
      <c r="AC11">
        <f t="shared" si="15"/>
        <v>2.4078742857142856</v>
      </c>
      <c r="AD11">
        <f t="shared" si="19"/>
        <v>2.4150441875688569</v>
      </c>
      <c r="AE11">
        <f t="shared" si="17"/>
        <v>5.1407492604183902E-5</v>
      </c>
      <c r="AG11">
        <v>300</v>
      </c>
    </row>
    <row r="12" spans="1:35" x14ac:dyDescent="0.25">
      <c r="A12">
        <v>0.91299904499999995</v>
      </c>
      <c r="B12">
        <f t="shared" si="3"/>
        <v>91.299904499999997</v>
      </c>
      <c r="C12">
        <v>1.9540599999999999</v>
      </c>
      <c r="D12">
        <f>C12*'Isotherm List'!$G$4/'Isotherm List'!$H$26</f>
        <v>2.8643363975155278</v>
      </c>
      <c r="H12">
        <f t="shared" si="4"/>
        <v>91.299904499999997</v>
      </c>
      <c r="I12">
        <f t="shared" si="5"/>
        <v>1.9540599999999999</v>
      </c>
      <c r="J12">
        <f t="shared" si="6"/>
        <v>2.8643363975155278</v>
      </c>
      <c r="K12">
        <f t="shared" si="7"/>
        <v>2.8817916595313817</v>
      </c>
      <c r="L12">
        <f t="shared" si="8"/>
        <v>3.0468617204211198E-4</v>
      </c>
      <c r="N12">
        <v>500</v>
      </c>
      <c r="R12">
        <f t="shared" si="0"/>
        <v>0.91299904499999995</v>
      </c>
      <c r="S12">
        <f t="shared" si="1"/>
        <v>1.9540599999999999</v>
      </c>
      <c r="T12">
        <f t="shared" si="2"/>
        <v>2.8643363975155278</v>
      </c>
      <c r="U12">
        <f t="shared" si="10"/>
        <v>2.7832707800388921</v>
      </c>
      <c r="V12">
        <f t="shared" si="11"/>
        <v>6.5716343368682336E-3</v>
      </c>
      <c r="X12">
        <v>500</v>
      </c>
      <c r="Z12">
        <f t="shared" si="16"/>
        <v>0.81142073250000002</v>
      </c>
      <c r="AA12">
        <f t="shared" si="13"/>
        <v>0.81142073250000002</v>
      </c>
      <c r="AB12">
        <f t="shared" si="14"/>
        <v>1.8334699999999999</v>
      </c>
      <c r="AC12">
        <f t="shared" si="15"/>
        <v>2.6875709316770187</v>
      </c>
      <c r="AD12">
        <f t="shared" si="19"/>
        <v>2.6568228141850625</v>
      </c>
      <c r="AE12">
        <f t="shared" si="17"/>
        <v>9.4544672929914046E-4</v>
      </c>
      <c r="AG12">
        <v>400</v>
      </c>
    </row>
    <row r="13" spans="1:35" x14ac:dyDescent="0.25">
      <c r="A13">
        <v>1.01458749</v>
      </c>
      <c r="B13">
        <f t="shared" si="3"/>
        <v>101.458749</v>
      </c>
      <c r="C13">
        <v>2.1047400000000001</v>
      </c>
      <c r="D13">
        <f>C13*'Isotherm List'!$G$4/'Isotherm List'!$H$26</f>
        <v>3.0852089440993788</v>
      </c>
      <c r="H13">
        <f t="shared" si="4"/>
        <v>101.458749</v>
      </c>
      <c r="I13">
        <f t="shared" si="5"/>
        <v>2.1047400000000001</v>
      </c>
      <c r="J13">
        <f t="shared" si="6"/>
        <v>3.0852089440993788</v>
      </c>
      <c r="K13">
        <f t="shared" si="7"/>
        <v>3.0949094586965313</v>
      </c>
      <c r="L13">
        <f t="shared" si="8"/>
        <v>9.4099983449568494E-5</v>
      </c>
      <c r="N13">
        <v>600</v>
      </c>
      <c r="R13">
        <f t="shared" si="0"/>
        <v>1.01458749</v>
      </c>
      <c r="S13">
        <f t="shared" si="1"/>
        <v>2.1047400000000001</v>
      </c>
      <c r="T13">
        <f t="shared" si="2"/>
        <v>3.0852089440993788</v>
      </c>
      <c r="U13">
        <f t="shared" si="10"/>
        <v>2.8769407240691143</v>
      </c>
      <c r="V13">
        <f t="shared" si="11"/>
        <v>4.33756514745747E-2</v>
      </c>
      <c r="X13">
        <v>600</v>
      </c>
      <c r="Z13">
        <f t="shared" si="16"/>
        <v>0.91299904499999995</v>
      </c>
      <c r="AA13">
        <f t="shared" si="13"/>
        <v>0.91299904499999995</v>
      </c>
      <c r="AB13">
        <f t="shared" si="14"/>
        <v>1.9540599999999999</v>
      </c>
      <c r="AC13">
        <f t="shared" si="15"/>
        <v>2.8643363975155278</v>
      </c>
      <c r="AD13">
        <f t="shared" si="19"/>
        <v>2.8776308423141006</v>
      </c>
      <c r="AE13">
        <f t="shared" si="17"/>
        <v>1.7674226250229884E-4</v>
      </c>
      <c r="AG13">
        <v>500</v>
      </c>
    </row>
    <row r="14" spans="1:35" x14ac:dyDescent="0.25">
      <c r="N14">
        <v>700</v>
      </c>
      <c r="X14">
        <v>700</v>
      </c>
      <c r="Z14">
        <f t="shared" si="16"/>
        <v>1.01458749</v>
      </c>
      <c r="AA14">
        <f t="shared" si="13"/>
        <v>1.01458749</v>
      </c>
      <c r="AB14">
        <f t="shared" si="14"/>
        <v>2.1047400000000001</v>
      </c>
      <c r="AC14">
        <f t="shared" si="15"/>
        <v>3.0852089440993788</v>
      </c>
      <c r="AD14">
        <f t="shared" si="19"/>
        <v>3.0791089378575824</v>
      </c>
      <c r="AE14">
        <f t="shared" si="17"/>
        <v>3.7210076149955127E-5</v>
      </c>
      <c r="AG14">
        <v>600</v>
      </c>
    </row>
    <row r="15" spans="1:35" x14ac:dyDescent="0.25">
      <c r="N15">
        <v>800</v>
      </c>
      <c r="X15">
        <v>800</v>
      </c>
      <c r="AG15">
        <v>700</v>
      </c>
    </row>
    <row r="16" spans="1:35" x14ac:dyDescent="0.25">
      <c r="N16">
        <v>900</v>
      </c>
      <c r="X16">
        <v>900</v>
      </c>
      <c r="AG16">
        <v>800</v>
      </c>
    </row>
    <row r="17" spans="14:33" x14ac:dyDescent="0.25">
      <c r="N17">
        <v>1000</v>
      </c>
      <c r="X17">
        <v>1000</v>
      </c>
      <c r="AG17">
        <v>900</v>
      </c>
    </row>
    <row r="18" spans="14:33" x14ac:dyDescent="0.25">
      <c r="N18">
        <v>1500</v>
      </c>
      <c r="X18">
        <v>1500</v>
      </c>
      <c r="AG18">
        <v>1000</v>
      </c>
    </row>
    <row r="19" spans="14:33" x14ac:dyDescent="0.25">
      <c r="N19">
        <v>2000</v>
      </c>
      <c r="X19">
        <v>2000</v>
      </c>
      <c r="AG19">
        <v>1500</v>
      </c>
    </row>
    <row r="20" spans="14:33" x14ac:dyDescent="0.25">
      <c r="N20">
        <v>3000</v>
      </c>
      <c r="X20">
        <v>3000</v>
      </c>
      <c r="AG20">
        <v>2000</v>
      </c>
    </row>
    <row r="21" spans="14:33" x14ac:dyDescent="0.25">
      <c r="N21">
        <v>4000</v>
      </c>
      <c r="X21">
        <v>4000</v>
      </c>
      <c r="AG21">
        <v>3000</v>
      </c>
    </row>
    <row r="22" spans="14:33" x14ac:dyDescent="0.25">
      <c r="N22">
        <v>5000</v>
      </c>
      <c r="X22">
        <v>5000</v>
      </c>
      <c r="AG22">
        <v>4000</v>
      </c>
    </row>
    <row r="23" spans="14:33" x14ac:dyDescent="0.25">
      <c r="AG23">
        <v>5000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5CE0-73C8-48F4-8F1F-B8EE2B01391D}">
  <dimension ref="A1:AI35"/>
  <sheetViews>
    <sheetView topLeftCell="A19" zoomScale="90" zoomScaleNormal="90" workbookViewId="0">
      <selection activeCell="Z4" sqref="Z4:Z35"/>
    </sheetView>
  </sheetViews>
  <sheetFormatPr defaultRowHeight="15" x14ac:dyDescent="0.25"/>
  <cols>
    <col min="3" max="3" width="14" customWidth="1"/>
    <col min="15" max="15" width="15.28515625" customWidth="1"/>
    <col min="18" max="18" width="15.140625" customWidth="1"/>
    <col min="25" max="25" width="22.85546875" customWidth="1"/>
  </cols>
  <sheetData>
    <row r="1" spans="1:35" x14ac:dyDescent="0.25">
      <c r="L1" s="1" t="s">
        <v>25</v>
      </c>
      <c r="N1" s="1" t="s">
        <v>26</v>
      </c>
      <c r="O1" s="1" t="s">
        <v>27</v>
      </c>
      <c r="P1" s="1" t="s">
        <v>28</v>
      </c>
      <c r="R1" s="41" t="s">
        <v>169</v>
      </c>
      <c r="V1" s="1" t="s">
        <v>25</v>
      </c>
      <c r="X1" s="1" t="s">
        <v>170</v>
      </c>
      <c r="Y1" s="1" t="s">
        <v>171</v>
      </c>
      <c r="AA1" s="41" t="s">
        <v>180</v>
      </c>
      <c r="AE1" s="1" t="s">
        <v>25</v>
      </c>
      <c r="AG1" s="1" t="s">
        <v>170</v>
      </c>
      <c r="AH1" s="1" t="s">
        <v>171</v>
      </c>
      <c r="AI1" s="1" t="s">
        <v>178</v>
      </c>
    </row>
    <row r="2" spans="1:35" x14ac:dyDescent="0.25">
      <c r="L2">
        <f>SUM(L4:L41)</f>
        <v>44.414294762410172</v>
      </c>
      <c r="N2">
        <v>31.432808924821529</v>
      </c>
      <c r="O2">
        <v>1.3224110354170232E-7</v>
      </c>
      <c r="P2">
        <v>2.0868101255665827</v>
      </c>
      <c r="V2">
        <f>SUM(V4:V35)</f>
        <v>3.1463676103851372</v>
      </c>
      <c r="X2">
        <v>3.3658090706548613E-2</v>
      </c>
      <c r="Y2">
        <v>0.15364938931687538</v>
      </c>
      <c r="AE2">
        <f>SUM(AE4:AE35)</f>
        <v>2.4684957602312201</v>
      </c>
      <c r="AG2">
        <v>3.2580590563346251E-2</v>
      </c>
      <c r="AH2">
        <v>0.16387521573655417</v>
      </c>
      <c r="AI2">
        <v>27.24222980967706</v>
      </c>
    </row>
    <row r="3" spans="1:35" x14ac:dyDescent="0.25">
      <c r="A3" t="s">
        <v>41</v>
      </c>
      <c r="B3" t="s">
        <v>31</v>
      </c>
      <c r="C3" t="s">
        <v>43</v>
      </c>
      <c r="D3" s="1" t="s">
        <v>80</v>
      </c>
      <c r="H3" s="1" t="s">
        <v>31</v>
      </c>
      <c r="I3" s="1" t="s">
        <v>43</v>
      </c>
      <c r="J3" s="1" t="s">
        <v>80</v>
      </c>
      <c r="K3" s="1" t="s">
        <v>29</v>
      </c>
      <c r="L3" s="1" t="s">
        <v>30</v>
      </c>
      <c r="M3" s="1"/>
      <c r="N3" s="9" t="s">
        <v>31</v>
      </c>
      <c r="O3" s="10" t="s">
        <v>32</v>
      </c>
      <c r="R3" s="1" t="s">
        <v>41</v>
      </c>
      <c r="S3" s="1" t="s">
        <v>43</v>
      </c>
      <c r="T3" s="1" t="s">
        <v>80</v>
      </c>
      <c r="U3" s="1" t="s">
        <v>172</v>
      </c>
      <c r="V3" s="1" t="s">
        <v>30</v>
      </c>
      <c r="W3" s="1"/>
      <c r="X3" s="9" t="s">
        <v>31</v>
      </c>
      <c r="Y3" s="10" t="s">
        <v>173</v>
      </c>
      <c r="Z3" s="1" t="s">
        <v>31</v>
      </c>
      <c r="AA3" s="1" t="s">
        <v>41</v>
      </c>
      <c r="AB3" s="1" t="s">
        <v>43</v>
      </c>
      <c r="AC3" s="1" t="s">
        <v>80</v>
      </c>
      <c r="AD3" s="1" t="s">
        <v>172</v>
      </c>
      <c r="AE3" s="1" t="s">
        <v>30</v>
      </c>
      <c r="AF3" s="1"/>
      <c r="AG3" s="9" t="s">
        <v>31</v>
      </c>
      <c r="AH3" s="10" t="s">
        <v>173</v>
      </c>
    </row>
    <row r="4" spans="1:35" x14ac:dyDescent="0.25">
      <c r="A4">
        <v>0</v>
      </c>
      <c r="B4">
        <f>A4*100</f>
        <v>0</v>
      </c>
      <c r="C4">
        <v>0</v>
      </c>
      <c r="D4">
        <f>C4*'Isotherm List'!$G$4/'Isotherm List'!$G$28</f>
        <v>0</v>
      </c>
      <c r="H4">
        <f>B4</f>
        <v>0</v>
      </c>
      <c r="I4">
        <f>C4</f>
        <v>0</v>
      </c>
      <c r="J4">
        <f>D4</f>
        <v>0</v>
      </c>
      <c r="K4">
        <f>($N$2*H4)/(((1/$O$2)+H4^$P$2)^(1/$P$2))</f>
        <v>0</v>
      </c>
      <c r="L4">
        <f>(K4-J4)^2</f>
        <v>0</v>
      </c>
      <c r="N4">
        <v>10</v>
      </c>
      <c r="O4">
        <f>($N$2*N4)/(((1/$O$2)+N4^$P$2)^(1/$P$2))</f>
        <v>0.15890468574209624</v>
      </c>
      <c r="R4">
        <f t="shared" ref="R4:R13" si="0">A4</f>
        <v>0</v>
      </c>
      <c r="S4">
        <f t="shared" ref="S4:S13" si="1">C4</f>
        <v>0</v>
      </c>
      <c r="T4">
        <f t="shared" ref="T4:T13" si="2">D4</f>
        <v>0</v>
      </c>
      <c r="U4">
        <f>($T$35*(1-EXP(-($X$2+$Y$2)*R4))/(1+$Y$2/$X$2*EXP(-($X$2+$Y$2)*R4)))</f>
        <v>0</v>
      </c>
      <c r="V4">
        <f>(U4-T4)^2</f>
        <v>0</v>
      </c>
      <c r="X4">
        <v>10</v>
      </c>
      <c r="Y4">
        <f>($T$35*(1-EXP(-($X$2+$Y$2)*(X4/100)))/(1+$Y$2/$X$2*EXP(-($X$2+$Y$2)*(X4/100))))</f>
        <v>9.3346409751814755E-2</v>
      </c>
      <c r="Z4">
        <f>B4</f>
        <v>0</v>
      </c>
      <c r="AA4">
        <f>A4</f>
        <v>0</v>
      </c>
      <c r="AB4">
        <f>C4</f>
        <v>0</v>
      </c>
      <c r="AC4">
        <f>D4</f>
        <v>0</v>
      </c>
      <c r="AD4">
        <f>($AI$2*(1-EXP(-($AG$2+$AH$2)*AA4))/(1+$AH$2/$AG$2*EXP(-($AG$2+$AH$2)*AA4)))</f>
        <v>0</v>
      </c>
      <c r="AE4">
        <f>(AD4-AC4)^2</f>
        <v>0</v>
      </c>
      <c r="AG4">
        <v>0</v>
      </c>
      <c r="AH4">
        <v>0</v>
      </c>
    </row>
    <row r="5" spans="1:35" x14ac:dyDescent="0.25">
      <c r="A5">
        <v>1.2</v>
      </c>
      <c r="B5">
        <f t="shared" ref="B5:B35" si="3">A5*100</f>
        <v>120</v>
      </c>
      <c r="C5">
        <v>1.1000000000000001</v>
      </c>
      <c r="D5">
        <f>C5*'Isotherm List'!$G$4/'Isotherm List'!$G$28</f>
        <v>1.3784070796460179</v>
      </c>
      <c r="H5">
        <f t="shared" ref="H5:H35" si="4">B5</f>
        <v>120</v>
      </c>
      <c r="I5">
        <f t="shared" ref="I5:I35" si="5">C5</f>
        <v>1.1000000000000001</v>
      </c>
      <c r="J5">
        <f t="shared" ref="J5:J35" si="6">D5</f>
        <v>1.3784070796460179</v>
      </c>
      <c r="K5">
        <f t="shared" ref="K5:K35" si="7">($N$2*H5)/(((1/$O$2)+H5^$P$2)^(1/$P$2))</f>
        <v>1.904239896342355</v>
      </c>
      <c r="L5">
        <f t="shared" ref="L5:L35" si="8">(K5-J5)^2</f>
        <v>0.27650015111480364</v>
      </c>
      <c r="N5">
        <v>30</v>
      </c>
      <c r="O5">
        <f t="shared" ref="O5:O21" si="9">($N$2*N5)/(((1/$O$2)+N5^$P$2)^(1/$P$2))</f>
        <v>0.4766812236899679</v>
      </c>
      <c r="R5">
        <f t="shared" si="0"/>
        <v>1.2</v>
      </c>
      <c r="S5">
        <f t="shared" si="1"/>
        <v>1.1000000000000001</v>
      </c>
      <c r="T5">
        <f t="shared" si="2"/>
        <v>1.3784070796460179</v>
      </c>
      <c r="U5">
        <f t="shared" ref="U5:U35" si="10">($T$35*(1-EXP(-($X$2+$Y$2)*R5))/(1+$Y$2/$X$2*EXP(-($X$2+$Y$2)*R5)))</f>
        <v>1.1944380524389513</v>
      </c>
      <c r="V5">
        <f t="shared" ref="V5:V13" si="11">(U5-T5)^2</f>
        <v>3.3844602971514426E-2</v>
      </c>
      <c r="X5">
        <v>30</v>
      </c>
      <c r="Y5">
        <f t="shared" ref="Y5:Y21" si="12">($T$35*(1-EXP(-($X$2+$Y$2)*(X5/100)))/(1+$Y$2/$X$2*EXP(-($X$2+$Y$2)*(X5/100))))</f>
        <v>0.28339344972098823</v>
      </c>
      <c r="Z5">
        <f t="shared" ref="Z5:Z35" si="13">B5</f>
        <v>120</v>
      </c>
      <c r="AA5">
        <f t="shared" ref="AA5:AA13" si="14">A5</f>
        <v>1.2</v>
      </c>
      <c r="AB5">
        <f t="shared" ref="AB5:AC13" si="15">C5</f>
        <v>1.1000000000000001</v>
      </c>
      <c r="AC5">
        <f t="shared" si="15"/>
        <v>1.3784070796460179</v>
      </c>
      <c r="AD5">
        <f>($AI$2*(1-EXP(-($AG$2+$AH$2)*AA5))/(1+$AH$2/$AG$2*EXP(-($AG$2+$AH$2)*AA5)))</f>
        <v>1.150381969812267</v>
      </c>
      <c r="AE5">
        <f t="shared" ref="AE5:AE13" si="16">(AD5-AC5)^2</f>
        <v>5.1995450714694164E-2</v>
      </c>
      <c r="AG5">
        <v>10</v>
      </c>
      <c r="AH5">
        <f>($AI$2*(1-EXP(-($AG$2+$AH$2)*(AG5/100)))/(1+$AH$2/$AG$2*EXP(-($AG$2+$AH$2)*(AG5/100))))</f>
        <v>8.9340415983639704E-2</v>
      </c>
    </row>
    <row r="6" spans="1:35" x14ac:dyDescent="0.25">
      <c r="A6">
        <v>2.1</v>
      </c>
      <c r="B6">
        <f t="shared" si="3"/>
        <v>210</v>
      </c>
      <c r="C6">
        <v>1.8</v>
      </c>
      <c r="D6">
        <f>C6*'Isotherm List'!$G$4/'Isotherm List'!$G$28</f>
        <v>2.2555752212389382</v>
      </c>
      <c r="H6">
        <f t="shared" si="4"/>
        <v>210</v>
      </c>
      <c r="I6">
        <f t="shared" si="5"/>
        <v>1.8</v>
      </c>
      <c r="J6">
        <f t="shared" si="6"/>
        <v>2.2555752212389382</v>
      </c>
      <c r="K6">
        <f t="shared" si="7"/>
        <v>3.3222907088522127</v>
      </c>
      <c r="L6">
        <f t="shared" si="8"/>
        <v>1.1378819315140261</v>
      </c>
      <c r="N6">
        <v>50</v>
      </c>
      <c r="O6">
        <f t="shared" si="9"/>
        <v>0.79435286307798225</v>
      </c>
      <c r="R6">
        <f t="shared" si="0"/>
        <v>2.1</v>
      </c>
      <c r="S6">
        <f t="shared" si="1"/>
        <v>1.8</v>
      </c>
      <c r="T6">
        <f t="shared" si="2"/>
        <v>2.2555752212389382</v>
      </c>
      <c r="U6">
        <f t="shared" si="10"/>
        <v>2.1971342006361345</v>
      </c>
      <c r="V6">
        <f t="shared" si="11"/>
        <v>3.4153528890973209E-3</v>
      </c>
      <c r="X6">
        <v>50</v>
      </c>
      <c r="Y6">
        <f t="shared" si="12"/>
        <v>0.47793318176587068</v>
      </c>
      <c r="Z6">
        <f t="shared" si="13"/>
        <v>210</v>
      </c>
      <c r="AA6">
        <f t="shared" si="14"/>
        <v>2.1</v>
      </c>
      <c r="AB6">
        <f t="shared" si="15"/>
        <v>1.8</v>
      </c>
      <c r="AC6">
        <f t="shared" si="15"/>
        <v>2.2555752212389382</v>
      </c>
      <c r="AD6">
        <f t="shared" ref="AD6:AD13" si="17">($AI$2*(1-EXP(-($AG$2+$AH$2)*AA6))/(1+$AH$2/$AG$2*EXP(-($AG$2+$AH$2)*AA6)))</f>
        <v>2.127041300306411</v>
      </c>
      <c r="AE6">
        <f t="shared" si="16"/>
        <v>1.6520968830289137E-2</v>
      </c>
      <c r="AG6">
        <v>30</v>
      </c>
      <c r="AH6">
        <f t="shared" ref="AH6:AH22" si="18">($AI$2*(1-EXP(-($AG$2+$AH$2)*(AG6/100)))/(1+$AH$2/$AG$2*EXP(-($AG$2+$AH$2)*(AG6/100))))</f>
        <v>0.27153953717474677</v>
      </c>
    </row>
    <row r="7" spans="1:35" x14ac:dyDescent="0.25">
      <c r="A7">
        <v>3.2</v>
      </c>
      <c r="B7">
        <f t="shared" si="3"/>
        <v>320</v>
      </c>
      <c r="C7">
        <v>2.8</v>
      </c>
      <c r="D7">
        <f>C7*'Isotherm List'!$G$4/'Isotherm List'!$G$28</f>
        <v>3.5086725663716813</v>
      </c>
      <c r="H7">
        <f t="shared" si="4"/>
        <v>320</v>
      </c>
      <c r="I7">
        <f t="shared" si="5"/>
        <v>2.8</v>
      </c>
      <c r="J7">
        <f t="shared" si="6"/>
        <v>3.5086725663716813</v>
      </c>
      <c r="K7">
        <f t="shared" si="7"/>
        <v>5.0314291840253738</v>
      </c>
      <c r="L7">
        <f t="shared" si="8"/>
        <v>2.3187877166081137</v>
      </c>
      <c r="N7">
        <v>70</v>
      </c>
      <c r="O7">
        <f t="shared" si="9"/>
        <v>1.111842305803671</v>
      </c>
      <c r="R7">
        <f t="shared" si="0"/>
        <v>3.2</v>
      </c>
      <c r="S7">
        <f t="shared" si="1"/>
        <v>2.8</v>
      </c>
      <c r="T7">
        <f t="shared" si="2"/>
        <v>3.5086725663716813</v>
      </c>
      <c r="U7">
        <f t="shared" si="10"/>
        <v>3.5442125056417102</v>
      </c>
      <c r="V7">
        <f t="shared" si="11"/>
        <v>1.263087283317339E-3</v>
      </c>
      <c r="X7">
        <v>70</v>
      </c>
      <c r="Y7">
        <f t="shared" si="12"/>
        <v>0.67698546304445595</v>
      </c>
      <c r="Z7">
        <f t="shared" si="13"/>
        <v>320</v>
      </c>
      <c r="AA7">
        <f t="shared" si="14"/>
        <v>3.2</v>
      </c>
      <c r="AB7">
        <f t="shared" si="15"/>
        <v>2.8</v>
      </c>
      <c r="AC7">
        <f t="shared" si="15"/>
        <v>3.5086725663716813</v>
      </c>
      <c r="AD7">
        <f t="shared" si="17"/>
        <v>3.4525306496974655</v>
      </c>
      <c r="AE7">
        <f t="shared" si="16"/>
        <v>3.151914807854597E-3</v>
      </c>
      <c r="AG7">
        <v>50</v>
      </c>
      <c r="AH7">
        <f t="shared" si="18"/>
        <v>0.45846385449725663</v>
      </c>
    </row>
    <row r="8" spans="1:35" x14ac:dyDescent="0.25">
      <c r="A8">
        <v>4.0999999999999996</v>
      </c>
      <c r="B8">
        <f t="shared" si="3"/>
        <v>409.99999999999994</v>
      </c>
      <c r="C8">
        <v>3.7</v>
      </c>
      <c r="D8">
        <f>C8*'Isotherm List'!$G$4/'Isotherm List'!$G$28</f>
        <v>4.6364601769911511</v>
      </c>
      <c r="H8">
        <f t="shared" si="4"/>
        <v>409.99999999999994</v>
      </c>
      <c r="I8">
        <f t="shared" si="5"/>
        <v>3.7</v>
      </c>
      <c r="J8">
        <f t="shared" si="6"/>
        <v>4.6364601769911511</v>
      </c>
      <c r="K8">
        <f t="shared" si="7"/>
        <v>6.4012867533922533</v>
      </c>
      <c r="L8">
        <f t="shared" si="8"/>
        <v>3.1146128447716355</v>
      </c>
      <c r="N8">
        <v>100</v>
      </c>
      <c r="O8">
        <f t="shared" si="9"/>
        <v>1.5875594328323077</v>
      </c>
      <c r="R8">
        <f t="shared" si="0"/>
        <v>4.0999999999999996</v>
      </c>
      <c r="S8">
        <f t="shared" si="1"/>
        <v>3.7</v>
      </c>
      <c r="T8">
        <f t="shared" si="2"/>
        <v>4.6364601769911511</v>
      </c>
      <c r="U8">
        <f t="shared" si="10"/>
        <v>4.7395142691584393</v>
      </c>
      <c r="V8">
        <f t="shared" si="11"/>
        <v>1.0620145912423936E-2</v>
      </c>
      <c r="X8">
        <v>100</v>
      </c>
      <c r="Y8">
        <f t="shared" si="12"/>
        <v>0.98405463261342407</v>
      </c>
      <c r="Z8">
        <f t="shared" si="13"/>
        <v>409.99999999999994</v>
      </c>
      <c r="AA8">
        <f t="shared" si="14"/>
        <v>4.0999999999999996</v>
      </c>
      <c r="AB8">
        <f t="shared" si="15"/>
        <v>3.7</v>
      </c>
      <c r="AC8">
        <f t="shared" si="15"/>
        <v>4.6364601769911511</v>
      </c>
      <c r="AD8">
        <f t="shared" si="17"/>
        <v>4.6396337597678015</v>
      </c>
      <c r="AE8">
        <f t="shared" si="16"/>
        <v>1.0071627640251829E-5</v>
      </c>
      <c r="AG8">
        <v>70</v>
      </c>
      <c r="AH8">
        <f t="shared" si="18"/>
        <v>0.65014967443764704</v>
      </c>
    </row>
    <row r="9" spans="1:35" x14ac:dyDescent="0.25">
      <c r="A9">
        <v>5.3</v>
      </c>
      <c r="B9">
        <f t="shared" si="3"/>
        <v>530</v>
      </c>
      <c r="C9">
        <v>4.9000000000000004</v>
      </c>
      <c r="D9">
        <f>C9*'Isotherm List'!$G$4/'Isotherm List'!$G$28</f>
        <v>6.1401769911504438</v>
      </c>
      <c r="H9">
        <f t="shared" si="4"/>
        <v>530</v>
      </c>
      <c r="I9">
        <f t="shared" si="5"/>
        <v>4.9000000000000004</v>
      </c>
      <c r="J9">
        <f t="shared" si="6"/>
        <v>6.1401769911504438</v>
      </c>
      <c r="K9">
        <f t="shared" si="7"/>
        <v>8.1752074543976931</v>
      </c>
      <c r="L9">
        <f t="shared" si="8"/>
        <v>4.1413489863443145</v>
      </c>
      <c r="N9">
        <v>200</v>
      </c>
      <c r="O9">
        <f t="shared" si="9"/>
        <v>3.1654363838818496</v>
      </c>
      <c r="R9">
        <f t="shared" si="0"/>
        <v>5.3</v>
      </c>
      <c r="S9">
        <f t="shared" si="1"/>
        <v>4.9000000000000004</v>
      </c>
      <c r="T9">
        <f t="shared" si="2"/>
        <v>6.1401769911504438</v>
      </c>
      <c r="U9">
        <f t="shared" si="10"/>
        <v>6.4468043228684735</v>
      </c>
      <c r="V9">
        <f t="shared" si="11"/>
        <v>9.4020320556518613E-2</v>
      </c>
      <c r="X9">
        <v>200</v>
      </c>
      <c r="Y9">
        <f t="shared" si="12"/>
        <v>2.0812287605841568</v>
      </c>
      <c r="Z9">
        <f t="shared" si="13"/>
        <v>530</v>
      </c>
      <c r="AA9">
        <f t="shared" si="14"/>
        <v>5.3</v>
      </c>
      <c r="AB9">
        <f t="shared" si="15"/>
        <v>4.9000000000000004</v>
      </c>
      <c r="AC9">
        <f t="shared" si="15"/>
        <v>6.1401769911504438</v>
      </c>
      <c r="AD9">
        <f t="shared" si="17"/>
        <v>6.3498516172687509</v>
      </c>
      <c r="AE9">
        <f t="shared" si="16"/>
        <v>4.396344883785188E-2</v>
      </c>
      <c r="AG9">
        <v>100</v>
      </c>
      <c r="AH9">
        <f t="shared" si="18"/>
        <v>0.94667161626476737</v>
      </c>
    </row>
    <row r="10" spans="1:35" x14ac:dyDescent="0.25">
      <c r="A10">
        <v>6.3</v>
      </c>
      <c r="B10">
        <f t="shared" si="3"/>
        <v>630</v>
      </c>
      <c r="C10">
        <v>6.1</v>
      </c>
      <c r="D10">
        <f>C10*'Isotherm List'!$G$4/'Isotherm List'!$G$28</f>
        <v>7.6438938053097347</v>
      </c>
      <c r="H10">
        <f t="shared" si="4"/>
        <v>630</v>
      </c>
      <c r="I10">
        <f t="shared" si="5"/>
        <v>6.1</v>
      </c>
      <c r="J10">
        <f t="shared" si="6"/>
        <v>7.6438938053097347</v>
      </c>
      <c r="K10">
        <f t="shared" si="7"/>
        <v>9.5982869693742821</v>
      </c>
      <c r="L10">
        <f t="shared" si="8"/>
        <v>3.8196526397422326</v>
      </c>
      <c r="N10">
        <v>300</v>
      </c>
      <c r="O10">
        <f t="shared" si="9"/>
        <v>4.7232020990802832</v>
      </c>
      <c r="R10">
        <f t="shared" si="0"/>
        <v>6.3</v>
      </c>
      <c r="S10">
        <f t="shared" si="1"/>
        <v>6.1</v>
      </c>
      <c r="T10">
        <f t="shared" si="2"/>
        <v>7.6438938053097347</v>
      </c>
      <c r="U10">
        <f t="shared" si="10"/>
        <v>7.9483635867464733</v>
      </c>
      <c r="V10">
        <f t="shared" si="11"/>
        <v>9.2701847808135326E-2</v>
      </c>
      <c r="X10">
        <v>300</v>
      </c>
      <c r="Y10">
        <f t="shared" si="12"/>
        <v>3.2896599797126247</v>
      </c>
      <c r="Z10">
        <f t="shared" si="13"/>
        <v>630</v>
      </c>
      <c r="AA10">
        <f t="shared" si="14"/>
        <v>6.3</v>
      </c>
      <c r="AB10">
        <f t="shared" si="15"/>
        <v>6.1</v>
      </c>
      <c r="AC10">
        <f t="shared" si="15"/>
        <v>7.6438938053097347</v>
      </c>
      <c r="AD10">
        <f t="shared" si="17"/>
        <v>7.8653008759257306</v>
      </c>
      <c r="AE10">
        <f t="shared" si="16"/>
        <v>4.9021090918756574E-2</v>
      </c>
      <c r="AG10">
        <v>200</v>
      </c>
      <c r="AH10">
        <f t="shared" si="18"/>
        <v>2.013681960408999</v>
      </c>
    </row>
    <row r="11" spans="1:35" x14ac:dyDescent="0.25">
      <c r="A11">
        <v>7.2</v>
      </c>
      <c r="B11">
        <f t="shared" si="3"/>
        <v>720</v>
      </c>
      <c r="C11">
        <v>7.1</v>
      </c>
      <c r="D11">
        <f>C11*'Isotherm List'!$G$4/'Isotherm List'!$G$28</f>
        <v>8.8969911504424779</v>
      </c>
      <c r="H11">
        <f t="shared" si="4"/>
        <v>720</v>
      </c>
      <c r="I11">
        <f t="shared" si="5"/>
        <v>7.1</v>
      </c>
      <c r="J11">
        <f t="shared" si="6"/>
        <v>8.8969911504424779</v>
      </c>
      <c r="K11">
        <f t="shared" si="7"/>
        <v>10.830154390373044</v>
      </c>
      <c r="L11">
        <f t="shared" si="8"/>
        <v>3.7371201122188449</v>
      </c>
      <c r="N11">
        <v>400</v>
      </c>
      <c r="O11">
        <f t="shared" si="9"/>
        <v>6.250594374605333</v>
      </c>
      <c r="R11">
        <f t="shared" si="0"/>
        <v>7.2</v>
      </c>
      <c r="S11">
        <f t="shared" si="1"/>
        <v>7.1</v>
      </c>
      <c r="T11">
        <f t="shared" si="2"/>
        <v>8.8969911504424779</v>
      </c>
      <c r="U11">
        <f t="shared" si="10"/>
        <v>9.3413072014548568</v>
      </c>
      <c r="V11">
        <f t="shared" si="11"/>
        <v>0.19741675318723489</v>
      </c>
      <c r="X11">
        <v>400</v>
      </c>
      <c r="Y11">
        <f t="shared" si="12"/>
        <v>4.6028376965064242</v>
      </c>
      <c r="Z11">
        <f t="shared" si="13"/>
        <v>720</v>
      </c>
      <c r="AA11">
        <f t="shared" si="14"/>
        <v>7.2</v>
      </c>
      <c r="AB11">
        <f t="shared" si="15"/>
        <v>7.1</v>
      </c>
      <c r="AC11">
        <f t="shared" si="15"/>
        <v>8.8969911504424779</v>
      </c>
      <c r="AD11">
        <f t="shared" si="17"/>
        <v>9.2782292926457615</v>
      </c>
      <c r="AE11">
        <f t="shared" si="16"/>
        <v>0.14534252107061105</v>
      </c>
      <c r="AG11">
        <v>300</v>
      </c>
      <c r="AH11">
        <f t="shared" si="18"/>
        <v>3.2009883326933548</v>
      </c>
    </row>
    <row r="12" spans="1:35" x14ac:dyDescent="0.25">
      <c r="A12">
        <v>8.1999999999999993</v>
      </c>
      <c r="B12">
        <f t="shared" si="3"/>
        <v>819.99999999999989</v>
      </c>
      <c r="C12">
        <v>8.4</v>
      </c>
      <c r="D12">
        <f>C12*'Isotherm List'!$G$4/'Isotherm List'!$G$28</f>
        <v>10.526017699115044</v>
      </c>
      <c r="H12">
        <f t="shared" si="4"/>
        <v>819.99999999999989</v>
      </c>
      <c r="I12">
        <f t="shared" si="5"/>
        <v>8.4</v>
      </c>
      <c r="J12">
        <f t="shared" si="6"/>
        <v>10.526017699115044</v>
      </c>
      <c r="K12">
        <f t="shared" si="7"/>
        <v>12.139735652417436</v>
      </c>
      <c r="L12">
        <f t="shared" si="8"/>
        <v>2.6040856328104582</v>
      </c>
      <c r="N12">
        <v>500</v>
      </c>
      <c r="O12">
        <f t="shared" si="9"/>
        <v>7.7380557705913802</v>
      </c>
      <c r="R12">
        <f t="shared" si="0"/>
        <v>8.1999999999999993</v>
      </c>
      <c r="S12">
        <f t="shared" si="1"/>
        <v>8.4</v>
      </c>
      <c r="T12">
        <f t="shared" si="2"/>
        <v>10.526017699115044</v>
      </c>
      <c r="U12">
        <f t="shared" si="10"/>
        <v>10.911603201104874</v>
      </c>
      <c r="V12">
        <f t="shared" si="11"/>
        <v>0.14867617934474919</v>
      </c>
      <c r="X12">
        <v>500</v>
      </c>
      <c r="Y12">
        <f t="shared" si="12"/>
        <v>6.0091355733825953</v>
      </c>
      <c r="Z12">
        <f t="shared" si="13"/>
        <v>819.99999999999989</v>
      </c>
      <c r="AA12">
        <f t="shared" si="14"/>
        <v>8.1999999999999993</v>
      </c>
      <c r="AB12">
        <f t="shared" si="15"/>
        <v>8.4</v>
      </c>
      <c r="AC12">
        <f t="shared" si="15"/>
        <v>10.526017699115044</v>
      </c>
      <c r="AD12">
        <f t="shared" si="17"/>
        <v>10.876714749173171</v>
      </c>
      <c r="AE12">
        <f t="shared" si="16"/>
        <v>0.12298842091947229</v>
      </c>
      <c r="AG12">
        <v>400</v>
      </c>
      <c r="AH12">
        <f t="shared" si="18"/>
        <v>4.5034285096364517</v>
      </c>
    </row>
    <row r="13" spans="1:35" x14ac:dyDescent="0.25">
      <c r="A13">
        <v>9.4</v>
      </c>
      <c r="B13">
        <f t="shared" si="3"/>
        <v>940</v>
      </c>
      <c r="C13">
        <v>10.1</v>
      </c>
      <c r="D13">
        <f>C13*'Isotherm List'!$G$4/'Isotherm List'!$G$28</f>
        <v>12.656283185840708</v>
      </c>
      <c r="H13">
        <f t="shared" si="4"/>
        <v>940</v>
      </c>
      <c r="I13">
        <f t="shared" si="5"/>
        <v>10.1</v>
      </c>
      <c r="J13">
        <f t="shared" si="6"/>
        <v>12.656283185840708</v>
      </c>
      <c r="K13">
        <f t="shared" si="7"/>
        <v>13.624013018773804</v>
      </c>
      <c r="L13">
        <f t="shared" si="8"/>
        <v>0.93650102954871639</v>
      </c>
      <c r="N13">
        <v>600</v>
      </c>
      <c r="O13">
        <f t="shared" si="9"/>
        <v>9.1771127596166568</v>
      </c>
      <c r="R13">
        <f t="shared" si="0"/>
        <v>9.4</v>
      </c>
      <c r="S13">
        <f t="shared" si="1"/>
        <v>10.1</v>
      </c>
      <c r="T13">
        <f t="shared" si="2"/>
        <v>12.656283185840708</v>
      </c>
      <c r="U13">
        <f t="shared" si="10"/>
        <v>12.790170444834745</v>
      </c>
      <c r="V13">
        <f t="shared" si="11"/>
        <v>1.7925798120936216E-2</v>
      </c>
      <c r="X13">
        <v>600</v>
      </c>
      <c r="Y13">
        <f t="shared" si="12"/>
        <v>7.4917791387006192</v>
      </c>
      <c r="Z13">
        <f t="shared" si="13"/>
        <v>940</v>
      </c>
      <c r="AA13">
        <f t="shared" si="14"/>
        <v>9.4</v>
      </c>
      <c r="AB13">
        <f t="shared" si="15"/>
        <v>10.1</v>
      </c>
      <c r="AC13">
        <f t="shared" si="15"/>
        <v>12.656283185840708</v>
      </c>
      <c r="AD13">
        <f t="shared" si="17"/>
        <v>12.793117311496689</v>
      </c>
      <c r="AE13">
        <f t="shared" si="16"/>
        <v>1.8723577944036576E-2</v>
      </c>
      <c r="AG13">
        <v>500</v>
      </c>
      <c r="AH13">
        <f t="shared" si="18"/>
        <v>5.9099848375980812</v>
      </c>
    </row>
    <row r="14" spans="1:35" x14ac:dyDescent="0.25">
      <c r="A14">
        <v>10.4</v>
      </c>
      <c r="B14">
        <f t="shared" si="3"/>
        <v>1040</v>
      </c>
      <c r="C14">
        <v>11.5</v>
      </c>
      <c r="D14">
        <f>C14*'Isotherm List'!$G$4/'Isotherm List'!$G$28</f>
        <v>14.41061946902655</v>
      </c>
      <c r="H14">
        <f t="shared" si="4"/>
        <v>1040</v>
      </c>
      <c r="I14">
        <f t="shared" si="5"/>
        <v>11.5</v>
      </c>
      <c r="J14">
        <f t="shared" si="6"/>
        <v>14.41061946902655</v>
      </c>
      <c r="K14">
        <f t="shared" si="7"/>
        <v>14.785671947136546</v>
      </c>
      <c r="L14">
        <f t="shared" si="8"/>
        <v>0.14066436133644919</v>
      </c>
      <c r="N14">
        <v>700</v>
      </c>
      <c r="O14">
        <f t="shared" si="9"/>
        <v>10.560636610641696</v>
      </c>
      <c r="R14">
        <f t="shared" ref="R14:R35" si="19">A14</f>
        <v>10.4</v>
      </c>
      <c r="S14">
        <f t="shared" ref="S14:S35" si="20">C14</f>
        <v>11.5</v>
      </c>
      <c r="T14">
        <f t="shared" ref="T14:T35" si="21">D14</f>
        <v>14.41061946902655</v>
      </c>
      <c r="U14">
        <f t="shared" si="10"/>
        <v>14.319288942241638</v>
      </c>
      <c r="V14">
        <f t="shared" ref="V14:V35" si="22">(U14-T14)^2</f>
        <v>8.3412651228094957E-3</v>
      </c>
      <c r="X14">
        <v>700</v>
      </c>
      <c r="Y14">
        <f t="shared" si="12"/>
        <v>9.0293529767854288</v>
      </c>
      <c r="Z14">
        <f t="shared" si="13"/>
        <v>1040</v>
      </c>
      <c r="AA14">
        <f t="shared" ref="AA14:AA35" si="23">A14</f>
        <v>10.4</v>
      </c>
      <c r="AB14">
        <f t="shared" ref="AB14:AB35" si="24">C14</f>
        <v>11.5</v>
      </c>
      <c r="AC14">
        <f t="shared" ref="AC14:AC35" si="25">D14</f>
        <v>14.41061946902655</v>
      </c>
      <c r="AD14">
        <f t="shared" ref="AD14:AD35" si="26">($AI$2*(1-EXP(-($AG$2+$AH$2)*AA14))/(1+$AH$2/$AG$2*EXP(-($AG$2+$AH$2)*AA14)))</f>
        <v>14.35317761722099</v>
      </c>
      <c r="AE14">
        <f t="shared" ref="AE14:AE35" si="27">(AD14-AC14)^2</f>
        <v>3.2995663388519351E-3</v>
      </c>
      <c r="AG14">
        <v>600</v>
      </c>
      <c r="AH14">
        <f t="shared" si="18"/>
        <v>7.4035430529796651</v>
      </c>
    </row>
    <row r="15" spans="1:35" x14ac:dyDescent="0.25">
      <c r="A15">
        <v>11.5</v>
      </c>
      <c r="B15">
        <f t="shared" si="3"/>
        <v>1150</v>
      </c>
      <c r="C15">
        <v>13</v>
      </c>
      <c r="D15">
        <f>C15*'Isotherm List'!$G$4/'Isotherm List'!$G$28</f>
        <v>16.290265486725662</v>
      </c>
      <c r="H15">
        <f t="shared" si="4"/>
        <v>1150</v>
      </c>
      <c r="I15">
        <f t="shared" si="5"/>
        <v>13</v>
      </c>
      <c r="J15">
        <f t="shared" si="6"/>
        <v>16.290265486725662</v>
      </c>
      <c r="K15">
        <f t="shared" si="7"/>
        <v>15.983541303126749</v>
      </c>
      <c r="L15">
        <f t="shared" si="8"/>
        <v>9.4079724804419659E-2</v>
      </c>
      <c r="N15">
        <v>800</v>
      </c>
      <c r="O15">
        <f t="shared" si="9"/>
        <v>11.882992119326099</v>
      </c>
      <c r="R15">
        <f t="shared" si="19"/>
        <v>11.5</v>
      </c>
      <c r="S15">
        <f t="shared" si="20"/>
        <v>13</v>
      </c>
      <c r="T15">
        <f t="shared" si="21"/>
        <v>16.290265486725662</v>
      </c>
      <c r="U15">
        <f t="shared" si="10"/>
        <v>15.932060720495087</v>
      </c>
      <c r="V15">
        <f t="shared" si="22"/>
        <v>0.12831065455030069</v>
      </c>
      <c r="X15">
        <v>800</v>
      </c>
      <c r="Y15">
        <f t="shared" si="12"/>
        <v>10.596868928485495</v>
      </c>
      <c r="Z15">
        <f t="shared" si="13"/>
        <v>1150</v>
      </c>
      <c r="AA15">
        <f t="shared" si="23"/>
        <v>11.5</v>
      </c>
      <c r="AB15">
        <f t="shared" si="24"/>
        <v>13</v>
      </c>
      <c r="AC15">
        <f t="shared" si="25"/>
        <v>16.290265486725662</v>
      </c>
      <c r="AD15">
        <f t="shared" si="26"/>
        <v>15.995476786965035</v>
      </c>
      <c r="AE15">
        <f t="shared" si="27"/>
        <v>8.6900377506560988E-2</v>
      </c>
      <c r="AG15">
        <v>700</v>
      </c>
      <c r="AH15">
        <f t="shared" si="18"/>
        <v>8.9613127244108188</v>
      </c>
    </row>
    <row r="16" spans="1:35" x14ac:dyDescent="0.25">
      <c r="A16">
        <v>12.3</v>
      </c>
      <c r="B16">
        <f t="shared" si="3"/>
        <v>1230</v>
      </c>
      <c r="C16">
        <v>14</v>
      </c>
      <c r="D16">
        <f>C16*'Isotherm List'!$G$4/'Isotherm List'!$G$28</f>
        <v>17.543362831858406</v>
      </c>
      <c r="H16">
        <f t="shared" si="4"/>
        <v>1230</v>
      </c>
      <c r="I16">
        <f t="shared" si="5"/>
        <v>14</v>
      </c>
      <c r="J16">
        <f t="shared" si="6"/>
        <v>17.543362831858406</v>
      </c>
      <c r="K16">
        <f t="shared" si="7"/>
        <v>16.802421835550167</v>
      </c>
      <c r="L16">
        <f t="shared" si="8"/>
        <v>0.54899356001024679</v>
      </c>
      <c r="N16">
        <v>900</v>
      </c>
      <c r="O16">
        <f t="shared" si="9"/>
        <v>13.140082312656778</v>
      </c>
      <c r="R16">
        <f t="shared" si="19"/>
        <v>12.3</v>
      </c>
      <c r="S16">
        <f t="shared" si="20"/>
        <v>14</v>
      </c>
      <c r="T16">
        <f t="shared" si="21"/>
        <v>17.543362831858406</v>
      </c>
      <c r="U16">
        <f t="shared" si="10"/>
        <v>17.04426668509188</v>
      </c>
      <c r="V16">
        <f t="shared" si="22"/>
        <v>0.24909696371719348</v>
      </c>
      <c r="X16">
        <v>900</v>
      </c>
      <c r="Y16">
        <f t="shared" si="12"/>
        <v>12.16730917525352</v>
      </c>
      <c r="Z16">
        <f t="shared" si="13"/>
        <v>1230</v>
      </c>
      <c r="AA16">
        <f t="shared" si="23"/>
        <v>12.3</v>
      </c>
      <c r="AB16">
        <f t="shared" si="24"/>
        <v>14</v>
      </c>
      <c r="AC16">
        <f t="shared" si="25"/>
        <v>17.543362831858406</v>
      </c>
      <c r="AD16">
        <f t="shared" si="26"/>
        <v>17.124417301851508</v>
      </c>
      <c r="AE16">
        <f t="shared" si="27"/>
        <v>0.17551535711276053</v>
      </c>
      <c r="AG16">
        <v>800</v>
      </c>
      <c r="AH16">
        <f t="shared" si="18"/>
        <v>10.55597549438901</v>
      </c>
    </row>
    <row r="17" spans="1:34" x14ac:dyDescent="0.25">
      <c r="A17">
        <v>13.4</v>
      </c>
      <c r="B17">
        <f t="shared" si="3"/>
        <v>1340</v>
      </c>
      <c r="C17">
        <v>15.2</v>
      </c>
      <c r="D17">
        <f>C17*'Isotherm List'!$G$4/'Isotherm List'!$G$28</f>
        <v>19.0470796460177</v>
      </c>
      <c r="H17">
        <f t="shared" si="4"/>
        <v>1340</v>
      </c>
      <c r="I17">
        <f t="shared" si="5"/>
        <v>15.2</v>
      </c>
      <c r="J17">
        <f t="shared" si="6"/>
        <v>19.0470796460177</v>
      </c>
      <c r="K17">
        <f t="shared" si="7"/>
        <v>17.857911976430998</v>
      </c>
      <c r="L17">
        <f t="shared" si="8"/>
        <v>1.4141197463902675</v>
      </c>
      <c r="N17">
        <v>1000</v>
      </c>
      <c r="O17">
        <f t="shared" si="9"/>
        <v>14.329303734493724</v>
      </c>
      <c r="R17">
        <f t="shared" si="19"/>
        <v>13.4</v>
      </c>
      <c r="S17">
        <f t="shared" si="20"/>
        <v>15.2</v>
      </c>
      <c r="T17">
        <f t="shared" si="21"/>
        <v>19.0470796460177</v>
      </c>
      <c r="U17">
        <f t="shared" si="10"/>
        <v>18.473513078744144</v>
      </c>
      <c r="V17">
        <f t="shared" si="22"/>
        <v>0.32897860709397031</v>
      </c>
      <c r="X17">
        <v>1000</v>
      </c>
      <c r="Y17">
        <f t="shared" si="12"/>
        <v>13.713454566836033</v>
      </c>
      <c r="Z17">
        <f t="shared" si="13"/>
        <v>1340</v>
      </c>
      <c r="AA17">
        <f t="shared" si="23"/>
        <v>13.4</v>
      </c>
      <c r="AB17">
        <f t="shared" si="24"/>
        <v>15.2</v>
      </c>
      <c r="AC17">
        <f t="shared" si="25"/>
        <v>19.0470796460177</v>
      </c>
      <c r="AD17">
        <f t="shared" si="26"/>
        <v>18.568534101313276</v>
      </c>
      <c r="AE17">
        <f t="shared" si="27"/>
        <v>0.22900583835645408</v>
      </c>
      <c r="AG17">
        <v>900</v>
      </c>
      <c r="AH17">
        <f t="shared" si="18"/>
        <v>12.157481651683803</v>
      </c>
    </row>
    <row r="18" spans="1:34" x14ac:dyDescent="0.25">
      <c r="A18">
        <v>14.4</v>
      </c>
      <c r="B18">
        <f t="shared" si="3"/>
        <v>1440</v>
      </c>
      <c r="C18">
        <v>16.100000000000001</v>
      </c>
      <c r="D18">
        <f>C18*'Isotherm List'!$G$4/'Isotherm List'!$G$28</f>
        <v>20.174867256637171</v>
      </c>
      <c r="H18">
        <f t="shared" si="4"/>
        <v>1440</v>
      </c>
      <c r="I18">
        <f t="shared" si="5"/>
        <v>16.100000000000001</v>
      </c>
      <c r="J18">
        <f t="shared" si="6"/>
        <v>20.174867256637171</v>
      </c>
      <c r="K18">
        <f t="shared" si="7"/>
        <v>18.748800043660953</v>
      </c>
      <c r="L18">
        <f t="shared" si="8"/>
        <v>2.0336676959257574</v>
      </c>
      <c r="N18">
        <v>1500</v>
      </c>
      <c r="O18">
        <f t="shared" si="9"/>
        <v>19.253088372307758</v>
      </c>
      <c r="R18">
        <f t="shared" si="19"/>
        <v>14.4</v>
      </c>
      <c r="S18">
        <f t="shared" si="20"/>
        <v>16.100000000000001</v>
      </c>
      <c r="T18">
        <f t="shared" si="21"/>
        <v>20.174867256637171</v>
      </c>
      <c r="U18">
        <f t="shared" si="10"/>
        <v>19.661499607706187</v>
      </c>
      <c r="V18">
        <f t="shared" si="22"/>
        <v>0.26354634296892621</v>
      </c>
      <c r="X18">
        <v>1500</v>
      </c>
      <c r="Y18">
        <f t="shared" si="12"/>
        <v>20.320722538485857</v>
      </c>
      <c r="Z18">
        <f t="shared" si="13"/>
        <v>1440</v>
      </c>
      <c r="AA18">
        <f t="shared" si="23"/>
        <v>14.4</v>
      </c>
      <c r="AB18">
        <f t="shared" si="24"/>
        <v>16.100000000000001</v>
      </c>
      <c r="AC18">
        <f t="shared" si="25"/>
        <v>20.174867256637171</v>
      </c>
      <c r="AD18">
        <f t="shared" si="26"/>
        <v>19.761211104105335</v>
      </c>
      <c r="AE18">
        <f t="shared" si="27"/>
        <v>0.17111141252744128</v>
      </c>
      <c r="AG18">
        <v>1000</v>
      </c>
      <c r="AH18">
        <f t="shared" si="18"/>
        <v>13.735264437456438</v>
      </c>
    </row>
    <row r="19" spans="1:34" x14ac:dyDescent="0.25">
      <c r="A19">
        <v>15.5</v>
      </c>
      <c r="B19">
        <f t="shared" si="3"/>
        <v>1550</v>
      </c>
      <c r="C19">
        <v>16.899999999999999</v>
      </c>
      <c r="D19">
        <f>C19*'Isotherm List'!$G$4/'Isotherm List'!$G$28</f>
        <v>21.177345132743362</v>
      </c>
      <c r="H19">
        <f t="shared" si="4"/>
        <v>1550</v>
      </c>
      <c r="I19">
        <f t="shared" si="5"/>
        <v>16.899999999999999</v>
      </c>
      <c r="J19">
        <f t="shared" si="6"/>
        <v>21.177345132743362</v>
      </c>
      <c r="K19">
        <f t="shared" si="7"/>
        <v>19.656575674769535</v>
      </c>
      <c r="L19">
        <f t="shared" si="8"/>
        <v>2.3127397443060085</v>
      </c>
      <c r="N19">
        <v>2000</v>
      </c>
      <c r="O19">
        <f t="shared" si="9"/>
        <v>22.673011334871408</v>
      </c>
      <c r="R19">
        <f t="shared" si="19"/>
        <v>15.5</v>
      </c>
      <c r="S19">
        <f t="shared" si="20"/>
        <v>16.899999999999999</v>
      </c>
      <c r="T19">
        <f t="shared" si="21"/>
        <v>21.177345132743362</v>
      </c>
      <c r="U19">
        <f t="shared" si="10"/>
        <v>20.838919272963306</v>
      </c>
      <c r="V19">
        <f t="shared" si="22"/>
        <v>0.11453206256787013</v>
      </c>
      <c r="X19">
        <v>2000</v>
      </c>
      <c r="Y19">
        <f t="shared" si="12"/>
        <v>24.298573935596817</v>
      </c>
      <c r="Z19">
        <f t="shared" si="13"/>
        <v>1550</v>
      </c>
      <c r="AA19">
        <f t="shared" si="23"/>
        <v>15.5</v>
      </c>
      <c r="AB19">
        <f t="shared" si="24"/>
        <v>16.899999999999999</v>
      </c>
      <c r="AC19">
        <f t="shared" si="25"/>
        <v>21.177345132743362</v>
      </c>
      <c r="AD19">
        <f t="shared" si="26"/>
        <v>20.934298843403795</v>
      </c>
      <c r="AE19">
        <f t="shared" si="27"/>
        <v>5.9071498761732552E-2</v>
      </c>
      <c r="AG19">
        <v>1500</v>
      </c>
      <c r="AH19">
        <f t="shared" si="18"/>
        <v>20.419251925844133</v>
      </c>
    </row>
    <row r="20" spans="1:34" x14ac:dyDescent="0.25">
      <c r="A20">
        <v>16.600000000000001</v>
      </c>
      <c r="B20">
        <f t="shared" si="3"/>
        <v>1660.0000000000002</v>
      </c>
      <c r="C20">
        <v>17.600000000000001</v>
      </c>
      <c r="D20">
        <f>C20*'Isotherm List'!$G$4/'Isotherm List'!$G$28</f>
        <v>22.054513274336287</v>
      </c>
      <c r="H20">
        <f t="shared" si="4"/>
        <v>1660.0000000000002</v>
      </c>
      <c r="I20">
        <f t="shared" si="5"/>
        <v>17.600000000000001</v>
      </c>
      <c r="J20">
        <f t="shared" si="6"/>
        <v>22.054513274336287</v>
      </c>
      <c r="K20">
        <f t="shared" si="7"/>
        <v>20.492722821191805</v>
      </c>
      <c r="L20">
        <f t="shared" si="8"/>
        <v>2.4391894195332471</v>
      </c>
      <c r="N20">
        <v>3000</v>
      </c>
      <c r="O20">
        <f t="shared" si="9"/>
        <v>26.577052175213087</v>
      </c>
      <c r="R20">
        <f t="shared" si="19"/>
        <v>16.600000000000001</v>
      </c>
      <c r="S20">
        <f t="shared" si="20"/>
        <v>17.600000000000001</v>
      </c>
      <c r="T20">
        <f t="shared" si="21"/>
        <v>22.054513274336287</v>
      </c>
      <c r="U20">
        <f t="shared" si="10"/>
        <v>21.879810489871989</v>
      </c>
      <c r="V20">
        <f t="shared" si="22"/>
        <v>3.052106289957892E-2</v>
      </c>
      <c r="X20">
        <v>3000</v>
      </c>
      <c r="Y20">
        <f t="shared" si="12"/>
        <v>27.02069438212266</v>
      </c>
      <c r="Z20">
        <f t="shared" si="13"/>
        <v>1660.0000000000002</v>
      </c>
      <c r="AA20">
        <f t="shared" si="23"/>
        <v>16.600000000000001</v>
      </c>
      <c r="AB20">
        <f t="shared" si="24"/>
        <v>17.600000000000001</v>
      </c>
      <c r="AC20">
        <f t="shared" si="25"/>
        <v>22.054513274336287</v>
      </c>
      <c r="AD20">
        <f t="shared" si="26"/>
        <v>21.962014607251515</v>
      </c>
      <c r="AE20">
        <f t="shared" si="27"/>
        <v>8.5560034124595348E-3</v>
      </c>
      <c r="AG20">
        <v>2000</v>
      </c>
      <c r="AH20">
        <f t="shared" si="18"/>
        <v>24.303226121775552</v>
      </c>
    </row>
    <row r="21" spans="1:34" x14ac:dyDescent="0.25">
      <c r="A21">
        <v>17.600000000000001</v>
      </c>
      <c r="B21">
        <f t="shared" si="3"/>
        <v>1760.0000000000002</v>
      </c>
      <c r="C21">
        <v>18.100000000000001</v>
      </c>
      <c r="D21">
        <f>C21*'Isotherm List'!$G$4/'Isotherm List'!$G$28</f>
        <v>22.681061946902656</v>
      </c>
      <c r="H21">
        <f t="shared" si="4"/>
        <v>1760.0000000000002</v>
      </c>
      <c r="I21">
        <f t="shared" si="5"/>
        <v>18.100000000000001</v>
      </c>
      <c r="J21">
        <f t="shared" si="6"/>
        <v>22.681061946902656</v>
      </c>
      <c r="K21">
        <f t="shared" si="7"/>
        <v>21.194459272219152</v>
      </c>
      <c r="L21">
        <f t="shared" si="8"/>
        <v>2.2099875123761459</v>
      </c>
      <c r="N21">
        <v>4000</v>
      </c>
      <c r="O21">
        <f t="shared" si="9"/>
        <v>28.463777338189576</v>
      </c>
      <c r="R21">
        <f t="shared" si="19"/>
        <v>17.600000000000001</v>
      </c>
      <c r="S21">
        <f t="shared" si="20"/>
        <v>18.100000000000001</v>
      </c>
      <c r="T21">
        <f t="shared" si="21"/>
        <v>22.681061946902656</v>
      </c>
      <c r="U21">
        <f t="shared" si="10"/>
        <v>22.711015020992857</v>
      </c>
      <c r="V21">
        <f t="shared" si="22"/>
        <v>8.9718664745309592E-4</v>
      </c>
      <c r="X21">
        <v>4000</v>
      </c>
      <c r="Y21">
        <f t="shared" si="12"/>
        <v>27.482850173711732</v>
      </c>
      <c r="Z21">
        <f t="shared" si="13"/>
        <v>1760.0000000000002</v>
      </c>
      <c r="AA21">
        <f t="shared" si="23"/>
        <v>17.600000000000001</v>
      </c>
      <c r="AB21">
        <f t="shared" si="24"/>
        <v>18.100000000000001</v>
      </c>
      <c r="AC21">
        <f t="shared" si="25"/>
        <v>22.681061946902656</v>
      </c>
      <c r="AD21">
        <f t="shared" si="26"/>
        <v>22.774981074694278</v>
      </c>
      <c r="AE21">
        <f t="shared" si="27"/>
        <v>8.8208025651390718E-3</v>
      </c>
      <c r="AG21">
        <v>3000</v>
      </c>
      <c r="AH21">
        <f t="shared" si="18"/>
        <v>26.795569200070307</v>
      </c>
    </row>
    <row r="22" spans="1:34" x14ac:dyDescent="0.25">
      <c r="A22">
        <v>18.600000000000001</v>
      </c>
      <c r="B22">
        <f t="shared" si="3"/>
        <v>1860.0000000000002</v>
      </c>
      <c r="C22">
        <v>18.600000000000001</v>
      </c>
      <c r="D22">
        <f>C22*'Isotherm List'!$G$4/'Isotherm List'!$G$28</f>
        <v>23.307610619469031</v>
      </c>
      <c r="H22">
        <f t="shared" si="4"/>
        <v>1860.0000000000002</v>
      </c>
      <c r="I22">
        <f t="shared" si="5"/>
        <v>18.600000000000001</v>
      </c>
      <c r="J22">
        <f t="shared" si="6"/>
        <v>23.307610619469031</v>
      </c>
      <c r="K22">
        <f t="shared" si="7"/>
        <v>21.844171792494336</v>
      </c>
      <c r="L22">
        <f t="shared" si="8"/>
        <v>2.1416532002970712</v>
      </c>
      <c r="N22">
        <v>5000</v>
      </c>
      <c r="R22">
        <f t="shared" si="19"/>
        <v>18.600000000000001</v>
      </c>
      <c r="S22">
        <f t="shared" si="20"/>
        <v>18.600000000000001</v>
      </c>
      <c r="T22">
        <f t="shared" si="21"/>
        <v>23.307610619469031</v>
      </c>
      <c r="U22">
        <f t="shared" si="10"/>
        <v>23.438725010732419</v>
      </c>
      <c r="V22">
        <f t="shared" si="22"/>
        <v>1.7190983596368819E-2</v>
      </c>
      <c r="X22">
        <v>5000</v>
      </c>
      <c r="Z22">
        <f t="shared" si="13"/>
        <v>1860.0000000000002</v>
      </c>
      <c r="AA22">
        <f t="shared" si="23"/>
        <v>18.600000000000001</v>
      </c>
      <c r="AB22">
        <f t="shared" si="24"/>
        <v>18.600000000000001</v>
      </c>
      <c r="AC22">
        <f t="shared" si="25"/>
        <v>23.307610619469031</v>
      </c>
      <c r="AD22">
        <f t="shared" si="26"/>
        <v>23.479979803051648</v>
      </c>
      <c r="AE22">
        <f t="shared" si="27"/>
        <v>2.9711135448938032E-2</v>
      </c>
      <c r="AG22">
        <v>4000</v>
      </c>
      <c r="AH22">
        <f t="shared" si="18"/>
        <v>27.178854794325598</v>
      </c>
    </row>
    <row r="23" spans="1:34" x14ac:dyDescent="0.25">
      <c r="A23">
        <v>19.7</v>
      </c>
      <c r="B23">
        <f t="shared" si="3"/>
        <v>1970</v>
      </c>
      <c r="C23">
        <v>19</v>
      </c>
      <c r="D23">
        <f>C23*'Isotherm List'!$G$4/'Isotherm List'!$G$28</f>
        <v>23.808849557522127</v>
      </c>
      <c r="H23">
        <f t="shared" si="4"/>
        <v>1970</v>
      </c>
      <c r="I23">
        <f t="shared" si="5"/>
        <v>19</v>
      </c>
      <c r="J23">
        <f t="shared" si="6"/>
        <v>23.808849557522127</v>
      </c>
      <c r="K23">
        <f t="shared" si="7"/>
        <v>22.502936082861332</v>
      </c>
      <c r="L23">
        <f t="shared" si="8"/>
        <v>1.7054100033006296</v>
      </c>
      <c r="R23">
        <f t="shared" si="19"/>
        <v>19.7</v>
      </c>
      <c r="S23">
        <f t="shared" si="20"/>
        <v>19</v>
      </c>
      <c r="T23">
        <f t="shared" si="21"/>
        <v>23.808849557522127</v>
      </c>
      <c r="U23">
        <f t="shared" si="10"/>
        <v>24.128929436357268</v>
      </c>
      <c r="V23">
        <f t="shared" si="22"/>
        <v>0.10245112883511875</v>
      </c>
      <c r="Z23">
        <f t="shared" si="13"/>
        <v>1970</v>
      </c>
      <c r="AA23">
        <f t="shared" si="23"/>
        <v>19.7</v>
      </c>
      <c r="AB23">
        <f t="shared" si="24"/>
        <v>19</v>
      </c>
      <c r="AC23">
        <f t="shared" si="25"/>
        <v>23.808849557522127</v>
      </c>
      <c r="AD23">
        <f t="shared" si="26"/>
        <v>24.141743473623229</v>
      </c>
      <c r="AE23">
        <f t="shared" si="27"/>
        <v>0.11081835937712811</v>
      </c>
      <c r="AG23">
        <v>5000</v>
      </c>
    </row>
    <row r="24" spans="1:34" x14ac:dyDescent="0.25">
      <c r="A24">
        <v>20.6</v>
      </c>
      <c r="B24">
        <f t="shared" si="3"/>
        <v>2060</v>
      </c>
      <c r="C24">
        <v>19.399999999999999</v>
      </c>
      <c r="D24">
        <f>C24*'Isotherm List'!$G$4/'Isotherm List'!$G$28</f>
        <v>24.310088495575222</v>
      </c>
      <c r="H24">
        <f t="shared" si="4"/>
        <v>2060</v>
      </c>
      <c r="I24">
        <f t="shared" si="5"/>
        <v>19.399999999999999</v>
      </c>
      <c r="J24">
        <f t="shared" si="6"/>
        <v>24.310088495575222</v>
      </c>
      <c r="K24">
        <f t="shared" si="7"/>
        <v>23.001442569734039</v>
      </c>
      <c r="L24">
        <f t="shared" si="8"/>
        <v>1.7125541592207285</v>
      </c>
      <c r="R24">
        <f t="shared" si="19"/>
        <v>20.6</v>
      </c>
      <c r="S24">
        <f t="shared" si="20"/>
        <v>19.399999999999999</v>
      </c>
      <c r="T24">
        <f t="shared" si="21"/>
        <v>24.310088495575222</v>
      </c>
      <c r="U24">
        <f t="shared" si="10"/>
        <v>24.615592900192155</v>
      </c>
      <c r="V24">
        <f t="shared" si="22"/>
        <v>9.333294124034662E-2</v>
      </c>
      <c r="Z24">
        <f t="shared" si="13"/>
        <v>2060</v>
      </c>
      <c r="AA24">
        <f t="shared" si="23"/>
        <v>20.6</v>
      </c>
      <c r="AB24">
        <f t="shared" si="24"/>
        <v>19.399999999999999</v>
      </c>
      <c r="AC24">
        <f t="shared" si="25"/>
        <v>24.310088495575222</v>
      </c>
      <c r="AD24">
        <f t="shared" si="26"/>
        <v>24.603615357741631</v>
      </c>
      <c r="AE24">
        <f t="shared" si="27"/>
        <v>8.6158018813258255E-2</v>
      </c>
    </row>
    <row r="25" spans="1:34" x14ac:dyDescent="0.25">
      <c r="A25">
        <v>21.6</v>
      </c>
      <c r="B25">
        <f t="shared" si="3"/>
        <v>2160</v>
      </c>
      <c r="C25">
        <v>19.600000000000001</v>
      </c>
      <c r="D25">
        <f>C25*'Isotherm List'!$G$4/'Isotherm List'!$G$28</f>
        <v>24.560707964601775</v>
      </c>
      <c r="H25">
        <f t="shared" si="4"/>
        <v>2160</v>
      </c>
      <c r="I25">
        <f t="shared" si="5"/>
        <v>19.600000000000001</v>
      </c>
      <c r="J25">
        <f t="shared" si="6"/>
        <v>24.560707964601775</v>
      </c>
      <c r="K25">
        <f t="shared" si="7"/>
        <v>23.515765481665387</v>
      </c>
      <c r="L25">
        <f t="shared" si="8"/>
        <v>1.0919047926452645</v>
      </c>
      <c r="R25">
        <f t="shared" si="19"/>
        <v>21.6</v>
      </c>
      <c r="S25">
        <f t="shared" si="20"/>
        <v>19.600000000000001</v>
      </c>
      <c r="T25">
        <f t="shared" si="21"/>
        <v>24.560707964601775</v>
      </c>
      <c r="U25">
        <f t="shared" si="10"/>
        <v>25.082622318174597</v>
      </c>
      <c r="V25">
        <f t="shared" si="22"/>
        <v>0.27239459246533609</v>
      </c>
      <c r="Z25">
        <f t="shared" si="13"/>
        <v>2160</v>
      </c>
      <c r="AA25">
        <f t="shared" si="23"/>
        <v>21.6</v>
      </c>
      <c r="AB25">
        <f t="shared" si="24"/>
        <v>19.600000000000001</v>
      </c>
      <c r="AC25">
        <f t="shared" si="25"/>
        <v>24.560707964601775</v>
      </c>
      <c r="AD25">
        <f t="shared" si="26"/>
        <v>25.042545881940473</v>
      </c>
      <c r="AE25">
        <f t="shared" si="27"/>
        <v>0.23216777858529394</v>
      </c>
    </row>
    <row r="26" spans="1:34" x14ac:dyDescent="0.25">
      <c r="A26">
        <v>23.9</v>
      </c>
      <c r="B26">
        <f t="shared" si="3"/>
        <v>2390</v>
      </c>
      <c r="C26">
        <v>20.3</v>
      </c>
      <c r="D26">
        <f>C26*'Isotherm List'!$G$4/'Isotherm List'!$G$28</f>
        <v>25.43787610619469</v>
      </c>
      <c r="H26">
        <f t="shared" si="4"/>
        <v>2390</v>
      </c>
      <c r="I26">
        <f t="shared" si="5"/>
        <v>20.3</v>
      </c>
      <c r="J26">
        <f t="shared" si="6"/>
        <v>25.43787610619469</v>
      </c>
      <c r="K26">
        <f t="shared" si="7"/>
        <v>24.557212104106586</v>
      </c>
      <c r="L26">
        <f t="shared" si="8"/>
        <v>0.77556908457383489</v>
      </c>
      <c r="R26">
        <f t="shared" si="19"/>
        <v>23.9</v>
      </c>
      <c r="S26">
        <f t="shared" si="20"/>
        <v>20.3</v>
      </c>
      <c r="T26">
        <f t="shared" si="21"/>
        <v>25.43787610619469</v>
      </c>
      <c r="U26">
        <f t="shared" si="10"/>
        <v>25.909661081045535</v>
      </c>
      <c r="V26">
        <f t="shared" si="22"/>
        <v>0.22258106249501236</v>
      </c>
      <c r="Z26">
        <f t="shared" si="13"/>
        <v>2390</v>
      </c>
      <c r="AA26">
        <f t="shared" si="23"/>
        <v>23.9</v>
      </c>
      <c r="AB26">
        <f t="shared" si="24"/>
        <v>20.3</v>
      </c>
      <c r="AC26">
        <f t="shared" si="25"/>
        <v>25.43787610619469</v>
      </c>
      <c r="AD26">
        <f t="shared" si="26"/>
        <v>25.807097911293347</v>
      </c>
      <c r="AE26">
        <f t="shared" si="27"/>
        <v>0.13632474136031106</v>
      </c>
    </row>
    <row r="27" spans="1:34" x14ac:dyDescent="0.25">
      <c r="A27">
        <v>25.7</v>
      </c>
      <c r="B27">
        <f t="shared" si="3"/>
        <v>2570</v>
      </c>
      <c r="C27">
        <v>20.6</v>
      </c>
      <c r="D27">
        <f>C27*'Isotherm List'!$G$4/'Isotherm List'!$G$28</f>
        <v>25.813805309734516</v>
      </c>
      <c r="H27">
        <f t="shared" si="4"/>
        <v>2570</v>
      </c>
      <c r="I27">
        <f t="shared" si="5"/>
        <v>20.6</v>
      </c>
      <c r="J27">
        <f t="shared" si="6"/>
        <v>25.813805309734516</v>
      </c>
      <c r="K27">
        <f t="shared" si="7"/>
        <v>25.252580677541999</v>
      </c>
      <c r="L27">
        <f t="shared" si="8"/>
        <v>0.31497308777962518</v>
      </c>
      <c r="R27">
        <f t="shared" si="19"/>
        <v>25.7</v>
      </c>
      <c r="S27">
        <f t="shared" si="20"/>
        <v>20.6</v>
      </c>
      <c r="T27">
        <f t="shared" si="21"/>
        <v>25.813805309734516</v>
      </c>
      <c r="U27">
        <f t="shared" si="10"/>
        <v>26.367359869783609</v>
      </c>
      <c r="V27">
        <f t="shared" si="22"/>
        <v>0.3064226509511454</v>
      </c>
      <c r="Z27">
        <f t="shared" si="13"/>
        <v>2570</v>
      </c>
      <c r="AA27">
        <f t="shared" si="23"/>
        <v>25.7</v>
      </c>
      <c r="AB27">
        <f t="shared" si="24"/>
        <v>20.6</v>
      </c>
      <c r="AC27">
        <f t="shared" si="25"/>
        <v>25.813805309734516</v>
      </c>
      <c r="AD27">
        <f t="shared" si="26"/>
        <v>26.221199972454396</v>
      </c>
      <c r="AE27">
        <f t="shared" si="27"/>
        <v>0.16597041121264541</v>
      </c>
    </row>
    <row r="28" spans="1:34" x14ac:dyDescent="0.25">
      <c r="A28">
        <v>27.9</v>
      </c>
      <c r="B28">
        <f t="shared" si="3"/>
        <v>2790</v>
      </c>
      <c r="C28">
        <v>21</v>
      </c>
      <c r="D28">
        <f>C28*'Isotherm List'!$G$4/'Isotherm List'!$G$28</f>
        <v>26.315044247787611</v>
      </c>
      <c r="H28">
        <f t="shared" si="4"/>
        <v>2790</v>
      </c>
      <c r="I28">
        <f t="shared" si="5"/>
        <v>21</v>
      </c>
      <c r="J28">
        <f t="shared" si="6"/>
        <v>26.315044247787611</v>
      </c>
      <c r="K28">
        <f t="shared" si="7"/>
        <v>25.982970188983778</v>
      </c>
      <c r="L28">
        <f t="shared" si="8"/>
        <v>0.11027318053045176</v>
      </c>
      <c r="R28">
        <f t="shared" si="19"/>
        <v>27.9</v>
      </c>
      <c r="S28">
        <f t="shared" si="20"/>
        <v>21</v>
      </c>
      <c r="T28">
        <f t="shared" si="21"/>
        <v>26.315044247787611</v>
      </c>
      <c r="U28">
        <f t="shared" si="10"/>
        <v>26.763182111083378</v>
      </c>
      <c r="V28">
        <f t="shared" si="22"/>
        <v>0.20082754451929505</v>
      </c>
      <c r="Z28">
        <f t="shared" si="13"/>
        <v>2790</v>
      </c>
      <c r="AA28">
        <f t="shared" si="23"/>
        <v>27.9</v>
      </c>
      <c r="AB28">
        <f t="shared" si="24"/>
        <v>21</v>
      </c>
      <c r="AC28">
        <f t="shared" si="25"/>
        <v>26.315044247787611</v>
      </c>
      <c r="AD28">
        <f t="shared" si="26"/>
        <v>26.572150472201006</v>
      </c>
      <c r="AE28">
        <f t="shared" si="27"/>
        <v>6.610361063211094E-2</v>
      </c>
    </row>
    <row r="29" spans="1:34" x14ac:dyDescent="0.25">
      <c r="A29">
        <v>30.1</v>
      </c>
      <c r="B29">
        <f t="shared" si="3"/>
        <v>3010</v>
      </c>
      <c r="C29">
        <v>21.3</v>
      </c>
      <c r="D29">
        <f>C29*'Isotherm List'!$G$4/'Isotherm List'!$G$28</f>
        <v>26.690973451327434</v>
      </c>
      <c r="H29">
        <f t="shared" si="4"/>
        <v>3010</v>
      </c>
      <c r="I29">
        <f t="shared" si="5"/>
        <v>21.3</v>
      </c>
      <c r="J29">
        <f t="shared" si="6"/>
        <v>26.690973451327434</v>
      </c>
      <c r="K29">
        <f t="shared" si="7"/>
        <v>26.603130247167179</v>
      </c>
      <c r="L29">
        <f t="shared" si="8"/>
        <v>7.7164285171401311E-3</v>
      </c>
      <c r="R29">
        <f t="shared" si="19"/>
        <v>30.1</v>
      </c>
      <c r="S29">
        <f t="shared" si="20"/>
        <v>21.3</v>
      </c>
      <c r="T29">
        <f t="shared" si="21"/>
        <v>26.690973451327434</v>
      </c>
      <c r="U29">
        <f t="shared" si="10"/>
        <v>27.030690582330536</v>
      </c>
      <c r="V29">
        <f t="shared" si="22"/>
        <v>0.11540772909697875</v>
      </c>
      <c r="Z29">
        <f t="shared" si="13"/>
        <v>3010</v>
      </c>
      <c r="AA29">
        <f t="shared" si="23"/>
        <v>30.1</v>
      </c>
      <c r="AB29">
        <f t="shared" si="24"/>
        <v>21.3</v>
      </c>
      <c r="AC29">
        <f t="shared" si="25"/>
        <v>26.690973451327434</v>
      </c>
      <c r="AD29">
        <f t="shared" si="26"/>
        <v>26.804141914435078</v>
      </c>
      <c r="AE29">
        <f t="shared" si="27"/>
        <v>1.2807101042146319E-2</v>
      </c>
    </row>
    <row r="30" spans="1:34" x14ac:dyDescent="0.25">
      <c r="A30">
        <v>32</v>
      </c>
      <c r="B30">
        <f t="shared" si="3"/>
        <v>3200</v>
      </c>
      <c r="C30">
        <v>21.5</v>
      </c>
      <c r="D30">
        <f>C30*'Isotherm List'!$G$4/'Isotherm List'!$G$28</f>
        <v>26.941592920353983</v>
      </c>
      <c r="H30">
        <f t="shared" si="4"/>
        <v>3200</v>
      </c>
      <c r="I30">
        <f t="shared" si="5"/>
        <v>21.5</v>
      </c>
      <c r="J30">
        <f t="shared" si="6"/>
        <v>26.941592920353983</v>
      </c>
      <c r="K30">
        <f t="shared" si="7"/>
        <v>27.064621707675325</v>
      </c>
      <c r="L30">
        <f t="shared" si="8"/>
        <v>1.5136082509760011E-2</v>
      </c>
      <c r="R30">
        <f t="shared" si="19"/>
        <v>32</v>
      </c>
      <c r="S30">
        <f t="shared" si="20"/>
        <v>21.5</v>
      </c>
      <c r="T30">
        <f t="shared" si="21"/>
        <v>26.941592920353983</v>
      </c>
      <c r="U30">
        <f t="shared" si="10"/>
        <v>27.189816562042864</v>
      </c>
      <c r="V30">
        <f t="shared" si="22"/>
        <v>6.1614976293289984E-2</v>
      </c>
      <c r="Z30">
        <f t="shared" si="13"/>
        <v>3200</v>
      </c>
      <c r="AA30">
        <f t="shared" si="23"/>
        <v>32</v>
      </c>
      <c r="AB30">
        <f t="shared" si="24"/>
        <v>21.5</v>
      </c>
      <c r="AC30">
        <f t="shared" si="25"/>
        <v>26.941592920353983</v>
      </c>
      <c r="AD30">
        <f t="shared" si="26"/>
        <v>26.939348481255113</v>
      </c>
      <c r="AE30">
        <f t="shared" si="27"/>
        <v>5.0375068685376698E-6</v>
      </c>
    </row>
    <row r="31" spans="1:34" x14ac:dyDescent="0.25">
      <c r="A31">
        <v>34.1</v>
      </c>
      <c r="B31">
        <f t="shared" si="3"/>
        <v>3410</v>
      </c>
      <c r="C31">
        <v>21.7</v>
      </c>
      <c r="D31">
        <f>C31*'Isotherm List'!$G$4/'Isotherm List'!$G$28</f>
        <v>27.192212389380529</v>
      </c>
      <c r="H31">
        <f t="shared" si="4"/>
        <v>3410</v>
      </c>
      <c r="I31">
        <f t="shared" si="5"/>
        <v>21.7</v>
      </c>
      <c r="J31">
        <f t="shared" si="6"/>
        <v>27.192212389380529</v>
      </c>
      <c r="K31">
        <f t="shared" si="7"/>
        <v>27.507644976061506</v>
      </c>
      <c r="L31">
        <f t="shared" si="8"/>
        <v>9.949771674025211E-2</v>
      </c>
      <c r="R31">
        <f t="shared" si="19"/>
        <v>34.1</v>
      </c>
      <c r="S31">
        <f t="shared" si="20"/>
        <v>21.7</v>
      </c>
      <c r="T31">
        <f t="shared" si="21"/>
        <v>27.192212389380529</v>
      </c>
      <c r="U31">
        <f t="shared" si="10"/>
        <v>27.311911555860274</v>
      </c>
      <c r="V31">
        <f t="shared" si="22"/>
        <v>1.4327890455945574E-2</v>
      </c>
      <c r="Z31">
        <f t="shared" si="13"/>
        <v>3410</v>
      </c>
      <c r="AA31">
        <f t="shared" si="23"/>
        <v>34.1</v>
      </c>
      <c r="AB31">
        <f t="shared" si="24"/>
        <v>21.7</v>
      </c>
      <c r="AC31">
        <f t="shared" si="25"/>
        <v>27.192212389380529</v>
      </c>
      <c r="AD31">
        <f t="shared" si="26"/>
        <v>27.041105351420704</v>
      </c>
      <c r="AE31">
        <f t="shared" si="27"/>
        <v>2.2833336920992042E-2</v>
      </c>
    </row>
    <row r="32" spans="1:34" x14ac:dyDescent="0.25">
      <c r="A32">
        <v>36.200000000000003</v>
      </c>
      <c r="B32">
        <f t="shared" si="3"/>
        <v>3620.0000000000005</v>
      </c>
      <c r="C32">
        <v>21.8</v>
      </c>
      <c r="D32">
        <f>C32*'Isotherm List'!$G$4/'Isotherm List'!$G$28</f>
        <v>27.317522123893809</v>
      </c>
      <c r="H32">
        <f t="shared" si="4"/>
        <v>3620.0000000000005</v>
      </c>
      <c r="I32">
        <f t="shared" si="5"/>
        <v>21.8</v>
      </c>
      <c r="J32">
        <f t="shared" si="6"/>
        <v>27.317522123893809</v>
      </c>
      <c r="K32">
        <f t="shared" si="7"/>
        <v>27.89126960799571</v>
      </c>
      <c r="L32">
        <f t="shared" si="8"/>
        <v>0.3291861755132609</v>
      </c>
      <c r="R32">
        <f t="shared" si="19"/>
        <v>36.200000000000003</v>
      </c>
      <c r="S32">
        <f t="shared" si="20"/>
        <v>21.8</v>
      </c>
      <c r="T32">
        <f t="shared" si="21"/>
        <v>27.317522123893809</v>
      </c>
      <c r="U32">
        <f t="shared" si="10"/>
        <v>27.394808967010583</v>
      </c>
      <c r="V32">
        <f t="shared" si="22"/>
        <v>5.9732561189567894E-3</v>
      </c>
      <c r="Z32">
        <f t="shared" si="13"/>
        <v>3620.0000000000005</v>
      </c>
      <c r="AA32">
        <f t="shared" si="23"/>
        <v>36.200000000000003</v>
      </c>
      <c r="AB32">
        <f t="shared" si="24"/>
        <v>21.8</v>
      </c>
      <c r="AC32">
        <f t="shared" si="25"/>
        <v>27.317522123893809</v>
      </c>
      <c r="AD32">
        <f t="shared" si="26"/>
        <v>27.108816658126084</v>
      </c>
      <c r="AE32">
        <f t="shared" si="27"/>
        <v>4.3557971441323021E-2</v>
      </c>
    </row>
    <row r="33" spans="1:31" x14ac:dyDescent="0.25">
      <c r="A33">
        <v>38.200000000000003</v>
      </c>
      <c r="B33">
        <f t="shared" si="3"/>
        <v>3820.0000000000005</v>
      </c>
      <c r="C33">
        <v>21.9</v>
      </c>
      <c r="D33">
        <f>C33*'Isotherm List'!$G$4/'Isotherm List'!$G$28</f>
        <v>27.442831858407079</v>
      </c>
      <c r="H33">
        <f t="shared" si="4"/>
        <v>3820.0000000000005</v>
      </c>
      <c r="I33">
        <f t="shared" si="5"/>
        <v>21.9</v>
      </c>
      <c r="J33">
        <f t="shared" si="6"/>
        <v>27.442831858407079</v>
      </c>
      <c r="K33">
        <f t="shared" si="7"/>
        <v>28.21003908211031</v>
      </c>
      <c r="L33">
        <f t="shared" si="8"/>
        <v>0.58860692410241955</v>
      </c>
      <c r="R33">
        <f t="shared" si="19"/>
        <v>38.200000000000003</v>
      </c>
      <c r="S33">
        <f t="shared" si="20"/>
        <v>21.9</v>
      </c>
      <c r="T33">
        <f t="shared" si="21"/>
        <v>27.442831858407079</v>
      </c>
      <c r="U33">
        <f t="shared" si="10"/>
        <v>27.448773700588859</v>
      </c>
      <c r="V33">
        <f t="shared" si="22"/>
        <v>3.5305488513183534E-5</v>
      </c>
      <c r="Z33">
        <f t="shared" si="13"/>
        <v>3820.0000000000005</v>
      </c>
      <c r="AA33">
        <f t="shared" si="23"/>
        <v>38.200000000000003</v>
      </c>
      <c r="AB33">
        <f t="shared" si="24"/>
        <v>21.9</v>
      </c>
      <c r="AC33">
        <f t="shared" si="25"/>
        <v>27.442831858407079</v>
      </c>
      <c r="AD33">
        <f t="shared" si="26"/>
        <v>27.152044433567152</v>
      </c>
      <c r="AE33">
        <f t="shared" si="27"/>
        <v>8.4557326445036024E-2</v>
      </c>
    </row>
    <row r="34" spans="1:31" x14ac:dyDescent="0.25">
      <c r="A34">
        <v>40.299999999999997</v>
      </c>
      <c r="B34">
        <f t="shared" si="3"/>
        <v>4029.9999999999995</v>
      </c>
      <c r="C34">
        <v>22</v>
      </c>
      <c r="D34">
        <f>C34*'Isotherm List'!$G$4/'Isotherm List'!$G$28</f>
        <v>27.568141592920355</v>
      </c>
      <c r="H34">
        <f t="shared" si="4"/>
        <v>4029.9999999999995</v>
      </c>
      <c r="I34">
        <f t="shared" si="5"/>
        <v>22</v>
      </c>
      <c r="J34">
        <f t="shared" si="6"/>
        <v>27.568141592920355</v>
      </c>
      <c r="K34">
        <f t="shared" si="7"/>
        <v>28.503329995005039</v>
      </c>
      <c r="L34">
        <f t="shared" si="8"/>
        <v>0.87457734739370441</v>
      </c>
      <c r="R34">
        <f t="shared" si="19"/>
        <v>40.299999999999997</v>
      </c>
      <c r="S34">
        <f t="shared" si="20"/>
        <v>22</v>
      </c>
      <c r="T34">
        <f t="shared" si="21"/>
        <v>27.568141592920355</v>
      </c>
      <c r="U34">
        <f t="shared" si="10"/>
        <v>27.487499537179922</v>
      </c>
      <c r="V34">
        <f t="shared" si="22"/>
        <v>6.503141154043217E-3</v>
      </c>
      <c r="Z34">
        <f t="shared" si="13"/>
        <v>4029.9999999999995</v>
      </c>
      <c r="AA34">
        <f t="shared" si="23"/>
        <v>40.299999999999997</v>
      </c>
      <c r="AB34">
        <f t="shared" si="24"/>
        <v>22</v>
      </c>
      <c r="AC34">
        <f t="shared" si="25"/>
        <v>27.568141592920355</v>
      </c>
      <c r="AD34">
        <f t="shared" si="26"/>
        <v>27.182475337699859</v>
      </c>
      <c r="AE34">
        <f t="shared" si="27"/>
        <v>0.14873846041580069</v>
      </c>
    </row>
    <row r="35" spans="1:31" x14ac:dyDescent="0.25">
      <c r="A35">
        <v>42.2</v>
      </c>
      <c r="B35">
        <f t="shared" si="3"/>
        <v>4220</v>
      </c>
      <c r="C35">
        <v>22</v>
      </c>
      <c r="D35">
        <f>C35*'Isotherm List'!$G$4/'Isotherm List'!$G$28</f>
        <v>27.568141592920355</v>
      </c>
      <c r="H35">
        <f t="shared" si="4"/>
        <v>4220</v>
      </c>
      <c r="I35">
        <f t="shared" si="5"/>
        <v>22</v>
      </c>
      <c r="J35">
        <f t="shared" si="6"/>
        <v>27.568141592920355</v>
      </c>
      <c r="K35">
        <f t="shared" si="7"/>
        <v>28.737459244343757</v>
      </c>
      <c r="L35">
        <f t="shared" si="8"/>
        <v>1.3673037699303403</v>
      </c>
      <c r="R35">
        <f t="shared" si="19"/>
        <v>42.2</v>
      </c>
      <c r="S35">
        <f t="shared" si="20"/>
        <v>22</v>
      </c>
      <c r="T35">
        <f t="shared" si="21"/>
        <v>27.568141592920355</v>
      </c>
      <c r="U35">
        <f t="shared" si="10"/>
        <v>27.511606877631795</v>
      </c>
      <c r="V35">
        <f t="shared" si="22"/>
        <v>3.1961740327585424E-3</v>
      </c>
      <c r="Z35">
        <f t="shared" si="13"/>
        <v>4220</v>
      </c>
      <c r="AA35">
        <f t="shared" si="23"/>
        <v>42.2</v>
      </c>
      <c r="AB35">
        <f t="shared" si="24"/>
        <v>22</v>
      </c>
      <c r="AC35">
        <f t="shared" si="25"/>
        <v>27.568141592920355</v>
      </c>
      <c r="AD35">
        <f t="shared" si="26"/>
        <v>27.201066466036551</v>
      </c>
      <c r="AE35">
        <f t="shared" si="27"/>
        <v>0.13474414877676125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49CB-C61D-4FC0-B5D5-6C94C0E78D2F}">
  <dimension ref="A1:AI23"/>
  <sheetViews>
    <sheetView zoomScaleNormal="100" workbookViewId="0">
      <selection activeCell="AA25" sqref="AA25"/>
    </sheetView>
  </sheetViews>
  <sheetFormatPr defaultRowHeight="15" x14ac:dyDescent="0.25"/>
  <cols>
    <col min="4" max="4" width="12.5703125" customWidth="1"/>
    <col min="15" max="15" width="15.140625" customWidth="1"/>
    <col min="25" max="25" width="24.85546875" customWidth="1"/>
  </cols>
  <sheetData>
    <row r="1" spans="1:35" x14ac:dyDescent="0.25">
      <c r="L1" s="1" t="s">
        <v>25</v>
      </c>
      <c r="N1" s="1" t="s">
        <v>26</v>
      </c>
      <c r="O1" s="1" t="s">
        <v>27</v>
      </c>
      <c r="P1" s="1" t="s">
        <v>28</v>
      </c>
      <c r="R1" s="41" t="s">
        <v>169</v>
      </c>
      <c r="V1" s="1" t="s">
        <v>25</v>
      </c>
      <c r="X1" s="1" t="s">
        <v>170</v>
      </c>
      <c r="Y1" s="1" t="s">
        <v>171</v>
      </c>
      <c r="AA1" s="41" t="s">
        <v>180</v>
      </c>
      <c r="AE1" s="1" t="s">
        <v>25</v>
      </c>
      <c r="AG1" s="1" t="s">
        <v>170</v>
      </c>
      <c r="AH1" s="1" t="s">
        <v>171</v>
      </c>
      <c r="AI1" s="1" t="s">
        <v>178</v>
      </c>
    </row>
    <row r="2" spans="1:35" x14ac:dyDescent="0.25">
      <c r="L2">
        <f>SUM(L4:L11)</f>
        <v>20.820827148777198</v>
      </c>
      <c r="N2">
        <v>26.122302890445454</v>
      </c>
      <c r="O2">
        <v>7.7869558776406484E-7</v>
      </c>
      <c r="P2">
        <v>1.9287007088033796</v>
      </c>
      <c r="V2">
        <f>SUM(V4:V11)</f>
        <v>1.0603918633917091</v>
      </c>
      <c r="X2">
        <v>2.9926934813397102E-2</v>
      </c>
      <c r="Y2">
        <v>0.23084492914458851</v>
      </c>
      <c r="AE2">
        <f>SUM(AE4:AE11)</f>
        <v>0.71776426780768154</v>
      </c>
      <c r="AG2">
        <v>2.7846517311972623E-2</v>
      </c>
      <c r="AH2">
        <v>0.25133468199026238</v>
      </c>
      <c r="AI2">
        <v>24.003699238561268</v>
      </c>
    </row>
    <row r="3" spans="1:35" x14ac:dyDescent="0.25">
      <c r="A3" t="s">
        <v>41</v>
      </c>
      <c r="B3" t="s">
        <v>31</v>
      </c>
      <c r="C3" t="s">
        <v>55</v>
      </c>
      <c r="D3" t="s">
        <v>43</v>
      </c>
      <c r="E3" s="1" t="s">
        <v>80</v>
      </c>
      <c r="H3" s="1" t="s">
        <v>31</v>
      </c>
      <c r="I3" s="1" t="s">
        <v>43</v>
      </c>
      <c r="J3" s="1" t="s">
        <v>80</v>
      </c>
      <c r="K3" s="1" t="s">
        <v>29</v>
      </c>
      <c r="L3" s="1" t="s">
        <v>30</v>
      </c>
      <c r="M3" s="1"/>
      <c r="N3" s="9" t="s">
        <v>31</v>
      </c>
      <c r="O3" s="10" t="s">
        <v>32</v>
      </c>
      <c r="R3" s="1" t="s">
        <v>41</v>
      </c>
      <c r="S3" s="1" t="s">
        <v>43</v>
      </c>
      <c r="T3" s="1" t="s">
        <v>80</v>
      </c>
      <c r="U3" s="1" t="s">
        <v>172</v>
      </c>
      <c r="V3" s="1" t="s">
        <v>30</v>
      </c>
      <c r="W3" s="1"/>
      <c r="X3" s="9" t="s">
        <v>31</v>
      </c>
      <c r="Y3" s="10" t="s">
        <v>173</v>
      </c>
      <c r="Z3" s="1" t="s">
        <v>31</v>
      </c>
      <c r="AA3" s="1" t="s">
        <v>41</v>
      </c>
      <c r="AB3" s="1" t="s">
        <v>43</v>
      </c>
      <c r="AC3" s="1" t="s">
        <v>80</v>
      </c>
      <c r="AD3" s="1" t="s">
        <v>172</v>
      </c>
      <c r="AE3" s="1" t="s">
        <v>30</v>
      </c>
      <c r="AF3" s="1"/>
      <c r="AG3" s="9" t="s">
        <v>31</v>
      </c>
      <c r="AH3" s="10" t="s">
        <v>173</v>
      </c>
    </row>
    <row r="4" spans="1:35" x14ac:dyDescent="0.25">
      <c r="A4">
        <v>0</v>
      </c>
      <c r="B4">
        <f>A4*100</f>
        <v>0</v>
      </c>
      <c r="C4">
        <v>0</v>
      </c>
      <c r="D4">
        <f>C4/'Isotherm List'!$C$3</f>
        <v>0</v>
      </c>
      <c r="E4">
        <f>D4*'Isotherm List'!$G$4/'Isotherm List'!$H$31</f>
        <v>0</v>
      </c>
      <c r="H4">
        <f>B4</f>
        <v>0</v>
      </c>
      <c r="I4">
        <f>D4</f>
        <v>0</v>
      </c>
      <c r="J4">
        <f>E4</f>
        <v>0</v>
      </c>
      <c r="K4">
        <f>($N$2*H4)/(((1/$O$2)+H4^$P$2)^(1/$P$2))</f>
        <v>0</v>
      </c>
      <c r="L4">
        <f>(K4-J4)^2</f>
        <v>0</v>
      </c>
      <c r="N4">
        <v>10</v>
      </c>
      <c r="O4">
        <f>($N$2*N4)/(((1/$O$2)+N4^$P$2)^(1/$P$2))</f>
        <v>0.17773376105519242</v>
      </c>
      <c r="R4">
        <f t="shared" ref="R4:R11" si="0">A4</f>
        <v>0</v>
      </c>
      <c r="S4">
        <f>D4</f>
        <v>0</v>
      </c>
      <c r="T4">
        <f>E4</f>
        <v>0</v>
      </c>
      <c r="U4">
        <f>($T$11*(1-EXP(-($X$2+$Y$2)*R4))/(1+$Y$2/$X$2*EXP(-($X$2+$Y$2)*R4)))</f>
        <v>0</v>
      </c>
      <c r="V4">
        <f>(U4-T4)^2</f>
        <v>0</v>
      </c>
      <c r="X4">
        <v>10</v>
      </c>
      <c r="Y4">
        <f>($T$11*(1-EXP(-($X$2+$Y$2)*(X4/100)))/(1+$Y$2/$X$2*EXP(-($X$2+$Y$2)*(X4/100))))</f>
        <v>7.3628453479105738E-2</v>
      </c>
      <c r="Z4">
        <f>B4</f>
        <v>0</v>
      </c>
      <c r="AA4">
        <f>A4</f>
        <v>0</v>
      </c>
      <c r="AB4">
        <f>D4</f>
        <v>0</v>
      </c>
      <c r="AC4">
        <f>E4</f>
        <v>0</v>
      </c>
      <c r="AD4">
        <f>($AI$2*(1-EXP(-($AG$2+$AH$2)*AA4))/(1+$AH$2/$AG$2*EXP(-($AG$2+$AH$2)*AA4)))</f>
        <v>0</v>
      </c>
      <c r="AE4">
        <f>(AD4-AC4)^2</f>
        <v>0</v>
      </c>
      <c r="AG4">
        <v>0</v>
      </c>
      <c r="AH4">
        <v>0</v>
      </c>
    </row>
    <row r="5" spans="1:35" x14ac:dyDescent="0.25">
      <c r="A5">
        <v>4.9065500000000002</v>
      </c>
      <c r="B5">
        <f t="shared" ref="B5:B14" si="1">A5*100</f>
        <v>490.65500000000003</v>
      </c>
      <c r="C5">
        <v>209.35900000000001</v>
      </c>
      <c r="D5">
        <f>C5/'Isotherm List'!$C$3</f>
        <v>4.7571860301302005</v>
      </c>
      <c r="E5">
        <f>D5*'Isotherm List'!$G$4/'Isotherm List'!$H$31</f>
        <v>5.0939015567637353</v>
      </c>
      <c r="H5">
        <f t="shared" ref="H5:H11" si="2">B5</f>
        <v>490.65500000000003</v>
      </c>
      <c r="I5">
        <f t="shared" ref="I5:I11" si="3">D5</f>
        <v>4.7571860301302005</v>
      </c>
      <c r="J5">
        <f t="shared" ref="J5:J11" si="4">E5</f>
        <v>5.0939015567637353</v>
      </c>
      <c r="K5">
        <f t="shared" ref="K5:K11" si="5">($N$2*H5)/(((1/$O$2)+H5^$P$2)^(1/$P$2))</f>
        <v>8.2212372363278927</v>
      </c>
      <c r="L5">
        <f t="shared" ref="L5:L11" si="6">(K5-J5)^2</f>
        <v>9.7802284526750096</v>
      </c>
      <c r="N5">
        <v>30</v>
      </c>
      <c r="O5">
        <f t="shared" ref="O5:O21" si="7">($N$2*N5)/(((1/$O$2)+N5^$P$2)^(1/$P$2))</f>
        <v>0.53306758292036138</v>
      </c>
      <c r="R5">
        <f t="shared" si="0"/>
        <v>4.9065500000000002</v>
      </c>
      <c r="S5">
        <f t="shared" ref="S5:S11" si="8">D5</f>
        <v>4.7571860301302005</v>
      </c>
      <c r="T5">
        <f t="shared" ref="T5:T11" si="9">E5</f>
        <v>5.0939015567637353</v>
      </c>
      <c r="U5">
        <f t="shared" ref="U5:U11" si="10">($T$11*(1-EXP(-($X$2+$Y$2)*R5))/(1+$Y$2/$X$2*EXP(-($X$2+$Y$2)*R5)))</f>
        <v>5.5888990147907363</v>
      </c>
      <c r="V5">
        <f t="shared" ref="V5:V11" si="11">(U5-T5)^2</f>
        <v>0.24502248345319252</v>
      </c>
      <c r="X5">
        <v>30</v>
      </c>
      <c r="Y5">
        <f t="shared" ref="Y5:Y21" si="12">($T$11*(1-EXP(-($X$2+$Y$2)*(X5/100)))/(1+$Y$2/$X$2*EXP(-($X$2+$Y$2)*(X5/100))))</f>
        <v>0.22535566351549249</v>
      </c>
      <c r="Z5">
        <f t="shared" ref="Z5:Z11" si="13">B5</f>
        <v>490.65500000000003</v>
      </c>
      <c r="AA5">
        <f t="shared" ref="AA5:AA11" si="14">A5</f>
        <v>4.9065500000000002</v>
      </c>
      <c r="AB5">
        <f t="shared" ref="AB5:AB11" si="15">D5</f>
        <v>4.7571860301302005</v>
      </c>
      <c r="AC5">
        <f t="shared" ref="AC5:AC11" si="16">E5</f>
        <v>5.0939015567637353</v>
      </c>
      <c r="AD5">
        <f t="shared" ref="AD5:AD11" si="17">($AI$2*(1-EXP(-($AG$2+$AH$2)*AA5))/(1+$AH$2/$AG$2*EXP(-($AG$2+$AH$2)*AA5)))</f>
        <v>5.4351917730305104</v>
      </c>
      <c r="AE5">
        <f t="shared" ref="AE5:AE11" si="18">(AD5-AC5)^2</f>
        <v>0.11647901171942207</v>
      </c>
      <c r="AG5">
        <v>10</v>
      </c>
      <c r="AH5">
        <f>($AI$2*(1-EXP(-($AG$2+$AH$2)*(AG5/100)))/(1+$AH$2/$AG$2*EXP(-($AG$2+$AH$2)*(AG5/100))))</f>
        <v>6.7592862660813463E-2</v>
      </c>
    </row>
    <row r="6" spans="1:35" x14ac:dyDescent="0.25">
      <c r="A6">
        <v>10.160399999999999</v>
      </c>
      <c r="B6">
        <f t="shared" si="1"/>
        <v>1016.04</v>
      </c>
      <c r="C6">
        <v>624.49699999999996</v>
      </c>
      <c r="D6">
        <f>C6/'Isotherm List'!$C$3</f>
        <v>14.190211093185484</v>
      </c>
      <c r="E6">
        <f>D6*'Isotherm List'!$G$4/'Isotherm List'!$H$31</f>
        <v>15.194599900144166</v>
      </c>
      <c r="H6">
        <f t="shared" si="2"/>
        <v>1016.04</v>
      </c>
      <c r="I6">
        <f t="shared" si="3"/>
        <v>14.190211093185484</v>
      </c>
      <c r="J6">
        <f t="shared" si="4"/>
        <v>15.194599900144166</v>
      </c>
      <c r="K6">
        <f t="shared" si="5"/>
        <v>14.682450512313864</v>
      </c>
      <c r="L6">
        <f t="shared" si="6"/>
        <v>0.26229699545495316</v>
      </c>
      <c r="N6">
        <v>50</v>
      </c>
      <c r="O6">
        <f t="shared" si="7"/>
        <v>0.88802133397490046</v>
      </c>
      <c r="R6">
        <f t="shared" si="0"/>
        <v>10.160399999999999</v>
      </c>
      <c r="S6">
        <f t="shared" si="8"/>
        <v>14.190211093185484</v>
      </c>
      <c r="T6">
        <f t="shared" si="9"/>
        <v>15.194599900144166</v>
      </c>
      <c r="U6">
        <f t="shared" si="10"/>
        <v>14.648588045677519</v>
      </c>
      <c r="V6">
        <f t="shared" si="11"/>
        <v>0.29812894521810668</v>
      </c>
      <c r="X6">
        <v>50</v>
      </c>
      <c r="Y6">
        <f t="shared" si="12"/>
        <v>0.38316848581086094</v>
      </c>
      <c r="Z6">
        <f t="shared" si="13"/>
        <v>1016.04</v>
      </c>
      <c r="AA6">
        <f t="shared" si="14"/>
        <v>10.160399999999999</v>
      </c>
      <c r="AB6">
        <f t="shared" si="15"/>
        <v>14.190211093185484</v>
      </c>
      <c r="AC6">
        <f t="shared" si="16"/>
        <v>15.194599900144166</v>
      </c>
      <c r="AD6">
        <f t="shared" si="17"/>
        <v>14.777313506334522</v>
      </c>
      <c r="AE6">
        <f t="shared" si="18"/>
        <v>0.17412793445865679</v>
      </c>
      <c r="AG6">
        <v>30</v>
      </c>
      <c r="AH6">
        <f t="shared" ref="AH6:AH22" si="19">($AI$2*(1-EXP(-($AG$2+$AH$2)*(AG6/100)))/(1+$AH$2/$AG$2*EXP(-($AG$2+$AH$2)*(AG6/100))))</f>
        <v>0.20735586618084142</v>
      </c>
    </row>
    <row r="7" spans="1:35" x14ac:dyDescent="0.25">
      <c r="A7">
        <v>15.3507</v>
      </c>
      <c r="B7">
        <f t="shared" si="1"/>
        <v>1535.07</v>
      </c>
      <c r="C7">
        <v>855.70500000000004</v>
      </c>
      <c r="D7">
        <f>C7/'Isotherm List'!$C$3</f>
        <v>19.443863755140995</v>
      </c>
      <c r="E7">
        <f>D7*'Isotherm List'!$G$4/'Isotherm List'!$H$31</f>
        <v>20.820108195160046</v>
      </c>
      <c r="H7">
        <f t="shared" si="2"/>
        <v>1535.07</v>
      </c>
      <c r="I7">
        <f t="shared" si="3"/>
        <v>19.443863755140995</v>
      </c>
      <c r="J7">
        <f t="shared" si="4"/>
        <v>20.820108195160046</v>
      </c>
      <c r="K7">
        <f t="shared" si="5"/>
        <v>18.628796256531146</v>
      </c>
      <c r="L7">
        <f t="shared" si="6"/>
        <v>4.8018480123775467</v>
      </c>
      <c r="N7">
        <v>70</v>
      </c>
      <c r="O7">
        <f t="shared" si="7"/>
        <v>1.2423646925799081</v>
      </c>
      <c r="R7">
        <f t="shared" si="0"/>
        <v>15.3507</v>
      </c>
      <c r="S7">
        <f t="shared" si="8"/>
        <v>19.443863755140995</v>
      </c>
      <c r="T7">
        <f t="shared" si="9"/>
        <v>20.820108195160046</v>
      </c>
      <c r="U7">
        <f t="shared" si="10"/>
        <v>20.959953931092649</v>
      </c>
      <c r="V7">
        <f t="shared" si="11"/>
        <v>1.9556829858531351E-2</v>
      </c>
      <c r="X7">
        <v>70</v>
      </c>
      <c r="Y7">
        <f t="shared" si="12"/>
        <v>0.54721281984749293</v>
      </c>
      <c r="Z7">
        <f t="shared" si="13"/>
        <v>1535.07</v>
      </c>
      <c r="AA7">
        <f t="shared" si="14"/>
        <v>15.3507</v>
      </c>
      <c r="AB7">
        <f t="shared" si="15"/>
        <v>19.443863755140995</v>
      </c>
      <c r="AC7">
        <f t="shared" si="16"/>
        <v>20.820108195160046</v>
      </c>
      <c r="AD7">
        <f t="shared" si="17"/>
        <v>21.057169830705906</v>
      </c>
      <c r="AE7">
        <f t="shared" si="18"/>
        <v>5.6198219047678216E-2</v>
      </c>
      <c r="AG7">
        <v>50</v>
      </c>
      <c r="AH7">
        <f t="shared" si="19"/>
        <v>0.35338015313563914</v>
      </c>
    </row>
    <row r="8" spans="1:35" x14ac:dyDescent="0.25">
      <c r="A8">
        <v>20.489599999999999</v>
      </c>
      <c r="B8">
        <f t="shared" si="1"/>
        <v>2048.96</v>
      </c>
      <c r="C8">
        <v>938.01599999999996</v>
      </c>
      <c r="D8">
        <f>C8/'Isotherm List'!$C$3</f>
        <v>21.314185734736075</v>
      </c>
      <c r="E8">
        <f>D8*'Isotherm List'!$G$4/'Isotherm List'!$H$31</f>
        <v>22.822812311241893</v>
      </c>
      <c r="H8">
        <f t="shared" si="2"/>
        <v>2048.96</v>
      </c>
      <c r="I8">
        <f t="shared" si="3"/>
        <v>21.314185734736075</v>
      </c>
      <c r="J8">
        <f t="shared" si="4"/>
        <v>22.822812311241893</v>
      </c>
      <c r="K8">
        <f t="shared" si="5"/>
        <v>20.975779702785509</v>
      </c>
      <c r="L8">
        <f t="shared" si="6"/>
        <v>3.4115294567011953</v>
      </c>
      <c r="N8">
        <v>100</v>
      </c>
      <c r="O8">
        <f t="shared" si="7"/>
        <v>1.7722527986576995</v>
      </c>
      <c r="R8">
        <f t="shared" si="0"/>
        <v>20.489599999999999</v>
      </c>
      <c r="S8">
        <f t="shared" si="8"/>
        <v>21.314185734736075</v>
      </c>
      <c r="T8">
        <f t="shared" si="9"/>
        <v>22.822812311241893</v>
      </c>
      <c r="U8">
        <f t="shared" si="10"/>
        <v>23.378364159999826</v>
      </c>
      <c r="V8">
        <f t="shared" si="11"/>
        <v>0.30863785665835697</v>
      </c>
      <c r="X8">
        <v>100</v>
      </c>
      <c r="Y8">
        <f t="shared" si="12"/>
        <v>0.80526786720698185</v>
      </c>
      <c r="Z8">
        <f t="shared" si="13"/>
        <v>2048.96</v>
      </c>
      <c r="AA8">
        <f t="shared" si="14"/>
        <v>20.489599999999999</v>
      </c>
      <c r="AB8">
        <f t="shared" si="15"/>
        <v>21.314185734736075</v>
      </c>
      <c r="AC8">
        <f t="shared" si="16"/>
        <v>22.822812311241893</v>
      </c>
      <c r="AD8">
        <f t="shared" si="17"/>
        <v>23.23734682011332</v>
      </c>
      <c r="AE8">
        <f t="shared" si="18"/>
        <v>0.17183885904527479</v>
      </c>
      <c r="AG8">
        <v>70</v>
      </c>
      <c r="AH8">
        <f t="shared" si="19"/>
        <v>0.50585292552208894</v>
      </c>
    </row>
    <row r="9" spans="1:35" x14ac:dyDescent="0.25">
      <c r="A9">
        <v>25.335699999999999</v>
      </c>
      <c r="B9">
        <f t="shared" si="1"/>
        <v>2533.5699999999997</v>
      </c>
      <c r="C9">
        <v>972.20399999999995</v>
      </c>
      <c r="D9">
        <f>C9/'Isotherm List'!$C$3</f>
        <v>22.091026835420028</v>
      </c>
      <c r="E9">
        <f>D9*'Isotherm List'!$G$4/'Isotherm List'!$H$31</f>
        <v>23.654638535204747</v>
      </c>
      <c r="H9">
        <f t="shared" si="2"/>
        <v>2533.5699999999997</v>
      </c>
      <c r="I9">
        <f t="shared" si="3"/>
        <v>22.091026835420028</v>
      </c>
      <c r="J9">
        <f t="shared" si="4"/>
        <v>23.654638535204747</v>
      </c>
      <c r="K9">
        <f t="shared" si="5"/>
        <v>22.359639326876589</v>
      </c>
      <c r="L9">
        <f t="shared" si="6"/>
        <v>1.6770229495705538</v>
      </c>
      <c r="N9">
        <v>200</v>
      </c>
      <c r="O9">
        <f t="shared" si="7"/>
        <v>3.5160761703342067</v>
      </c>
      <c r="R9">
        <f t="shared" si="0"/>
        <v>25.335699999999999</v>
      </c>
      <c r="S9">
        <f t="shared" si="8"/>
        <v>22.091026835420028</v>
      </c>
      <c r="T9">
        <f t="shared" si="9"/>
        <v>23.654638535204747</v>
      </c>
      <c r="U9">
        <f t="shared" si="10"/>
        <v>24.073179691366221</v>
      </c>
      <c r="V9">
        <f t="shared" si="11"/>
        <v>0.17517669940098357</v>
      </c>
      <c r="X9">
        <v>200</v>
      </c>
      <c r="Y9">
        <f t="shared" si="12"/>
        <v>1.7743128531777133</v>
      </c>
      <c r="Z9">
        <f t="shared" si="13"/>
        <v>2533.5699999999997</v>
      </c>
      <c r="AA9">
        <f t="shared" si="14"/>
        <v>25.335699999999999</v>
      </c>
      <c r="AB9">
        <f t="shared" si="15"/>
        <v>22.091026835420028</v>
      </c>
      <c r="AC9">
        <f t="shared" si="16"/>
        <v>23.654638535204747</v>
      </c>
      <c r="AD9">
        <f t="shared" si="17"/>
        <v>23.801299367784999</v>
      </c>
      <c r="AE9">
        <f t="shared" si="18"/>
        <v>2.1509399813132862E-2</v>
      </c>
      <c r="AG9">
        <v>100</v>
      </c>
      <c r="AH9">
        <f t="shared" si="19"/>
        <v>0.74705213641848522</v>
      </c>
    </row>
    <row r="10" spans="1:35" x14ac:dyDescent="0.25">
      <c r="A10">
        <v>30.453499999999998</v>
      </c>
      <c r="B10">
        <f t="shared" si="1"/>
        <v>3045.35</v>
      </c>
      <c r="C10">
        <v>993.20500000000004</v>
      </c>
      <c r="D10">
        <f>C10/'Isotherm List'!$C$3</f>
        <v>22.568224681315186</v>
      </c>
      <c r="E10">
        <f>D10*'Isotherm List'!$G$4/'Isotherm List'!$H$31</f>
        <v>24.165612635165079</v>
      </c>
      <c r="H10">
        <f t="shared" si="2"/>
        <v>3045.35</v>
      </c>
      <c r="I10">
        <f t="shared" si="3"/>
        <v>22.568224681315186</v>
      </c>
      <c r="J10">
        <f t="shared" si="4"/>
        <v>24.165612635165079</v>
      </c>
      <c r="K10">
        <f t="shared" si="5"/>
        <v>23.313594560201867</v>
      </c>
      <c r="L10">
        <f t="shared" si="6"/>
        <v>0.72593480006401723</v>
      </c>
      <c r="N10">
        <v>300</v>
      </c>
      <c r="O10">
        <f t="shared" si="7"/>
        <v>5.2075811671577155</v>
      </c>
      <c r="R10">
        <f t="shared" si="0"/>
        <v>30.453499999999998</v>
      </c>
      <c r="S10">
        <f t="shared" si="8"/>
        <v>22.568224681315186</v>
      </c>
      <c r="T10">
        <f t="shared" si="9"/>
        <v>24.165612635165079</v>
      </c>
      <c r="U10">
        <f t="shared" si="10"/>
        <v>24.281688702995751</v>
      </c>
      <c r="V10">
        <f t="shared" si="11"/>
        <v>1.3473653523030827E-2</v>
      </c>
      <c r="X10">
        <v>300</v>
      </c>
      <c r="Y10">
        <f t="shared" si="12"/>
        <v>2.9191758699625683</v>
      </c>
      <c r="Z10">
        <f t="shared" si="13"/>
        <v>3045.35</v>
      </c>
      <c r="AA10">
        <f t="shared" si="14"/>
        <v>30.453499999999998</v>
      </c>
      <c r="AB10">
        <f t="shared" si="15"/>
        <v>22.568224681315186</v>
      </c>
      <c r="AC10">
        <f t="shared" si="16"/>
        <v>24.165612635165079</v>
      </c>
      <c r="AD10">
        <f t="shared" si="17"/>
        <v>23.954923126570058</v>
      </c>
      <c r="AE10">
        <f t="shared" si="18"/>
        <v>4.4390069032011287E-2</v>
      </c>
      <c r="AG10">
        <v>200</v>
      </c>
      <c r="AH10">
        <f t="shared" si="19"/>
        <v>1.6661364952938875</v>
      </c>
    </row>
    <row r="11" spans="1:35" x14ac:dyDescent="0.25">
      <c r="A11">
        <v>35.566699999999997</v>
      </c>
      <c r="B11">
        <f t="shared" si="1"/>
        <v>3556.6699999999996</v>
      </c>
      <c r="C11">
        <v>1001.07</v>
      </c>
      <c r="D11">
        <f>C11/'Isotherm List'!$C$3</f>
        <v>22.746938126292349</v>
      </c>
      <c r="E11">
        <f>D11*'Isotherm List'!$G$4/'Isotherm List'!$H$31</f>
        <v>24.356975489133365</v>
      </c>
      <c r="H11">
        <f t="shared" si="2"/>
        <v>3556.6699999999996</v>
      </c>
      <c r="I11">
        <f t="shared" si="3"/>
        <v>22.746938126292349</v>
      </c>
      <c r="J11">
        <f t="shared" si="4"/>
        <v>24.356975489133365</v>
      </c>
      <c r="K11">
        <f t="shared" si="5"/>
        <v>23.954524893489722</v>
      </c>
      <c r="L11">
        <f t="shared" si="6"/>
        <v>0.16196648193392291</v>
      </c>
      <c r="N11">
        <v>400</v>
      </c>
      <c r="O11">
        <f t="shared" si="7"/>
        <v>6.8273038410096731</v>
      </c>
      <c r="R11">
        <f t="shared" si="0"/>
        <v>35.566699999999997</v>
      </c>
      <c r="S11">
        <f t="shared" si="8"/>
        <v>22.746938126292349</v>
      </c>
      <c r="T11">
        <f t="shared" si="9"/>
        <v>24.356975489133365</v>
      </c>
      <c r="U11">
        <f t="shared" si="10"/>
        <v>24.337090940370391</v>
      </c>
      <c r="V11">
        <f t="shared" si="11"/>
        <v>3.9539527950708939E-4</v>
      </c>
      <c r="X11">
        <v>400</v>
      </c>
      <c r="Y11">
        <f t="shared" si="12"/>
        <v>4.2427076964592834</v>
      </c>
      <c r="Z11">
        <f t="shared" si="13"/>
        <v>3556.6699999999996</v>
      </c>
      <c r="AA11">
        <f t="shared" si="14"/>
        <v>35.566699999999997</v>
      </c>
      <c r="AB11">
        <f t="shared" si="15"/>
        <v>22.746938126292349</v>
      </c>
      <c r="AC11">
        <f t="shared" si="16"/>
        <v>24.356975489133365</v>
      </c>
      <c r="AD11">
        <f t="shared" si="17"/>
        <v>23.991981277273087</v>
      </c>
      <c r="AE11">
        <f t="shared" si="18"/>
        <v>0.13322077469150553</v>
      </c>
      <c r="AG11">
        <v>300</v>
      </c>
      <c r="AH11">
        <f t="shared" si="19"/>
        <v>2.7752436969329821</v>
      </c>
    </row>
    <row r="12" spans="1:35" x14ac:dyDescent="0.25">
      <c r="A12" s="44">
        <v>40.811900000000001</v>
      </c>
      <c r="B12" s="44">
        <f t="shared" si="1"/>
        <v>4081.19</v>
      </c>
      <c r="C12" s="44">
        <v>991.39099999999996</v>
      </c>
      <c r="D12" s="44">
        <f>C12/'Isotherm List'!$C$3</f>
        <v>22.527005839714604</v>
      </c>
      <c r="E12" s="44">
        <f>D12*'Isotherm List'!$G$4/'Isotherm List'!$H$31</f>
        <v>24.121476307498394</v>
      </c>
      <c r="N12">
        <v>500</v>
      </c>
      <c r="O12">
        <f t="shared" si="7"/>
        <v>8.3605565766805761</v>
      </c>
      <c r="X12">
        <v>500</v>
      </c>
      <c r="Y12">
        <f t="shared" si="12"/>
        <v>5.7349294264962714</v>
      </c>
      <c r="AG12">
        <v>400</v>
      </c>
      <c r="AH12">
        <f t="shared" si="19"/>
        <v>4.082893618184448</v>
      </c>
    </row>
    <row r="13" spans="1:35" x14ac:dyDescent="0.25">
      <c r="A13" s="44">
        <v>45.641399999999997</v>
      </c>
      <c r="B13" s="44">
        <f t="shared" si="1"/>
        <v>4564.1399999999994</v>
      </c>
      <c r="C13" s="44">
        <v>977.40599999999995</v>
      </c>
      <c r="D13" s="44">
        <f>C13/'Isotherm List'!$C$3</f>
        <v>22.209229930241541</v>
      </c>
      <c r="E13" s="44">
        <f>D13*'Isotherm List'!$G$4/'Isotherm List'!$H$31</f>
        <v>23.781208092273154</v>
      </c>
      <c r="N13">
        <v>600</v>
      </c>
      <c r="O13">
        <f t="shared" si="7"/>
        <v>9.7974567791888738</v>
      </c>
      <c r="X13">
        <v>600</v>
      </c>
      <c r="Y13">
        <f t="shared" si="12"/>
        <v>7.370551193708148</v>
      </c>
      <c r="AG13">
        <v>500</v>
      </c>
      <c r="AH13">
        <f t="shared" si="19"/>
        <v>5.5830127786100485</v>
      </c>
    </row>
    <row r="14" spans="1:35" x14ac:dyDescent="0.25">
      <c r="A14" s="44">
        <v>49.7742</v>
      </c>
      <c r="B14" s="44">
        <f t="shared" si="1"/>
        <v>4977.42</v>
      </c>
      <c r="C14" s="44">
        <v>946.02499999999998</v>
      </c>
      <c r="D14" s="44">
        <f>C14/'Isotherm List'!$C$3</f>
        <v>21.496171237701379</v>
      </c>
      <c r="E14" s="44">
        <f>D14*'Isotherm List'!$G$4/'Isotherm List'!$H$31</f>
        <v>23.01767882076917</v>
      </c>
      <c r="N14">
        <v>700</v>
      </c>
      <c r="O14">
        <f t="shared" si="7"/>
        <v>11.132575101916377</v>
      </c>
      <c r="X14">
        <v>700</v>
      </c>
      <c r="Y14">
        <f t="shared" si="12"/>
        <v>9.1088474566381166</v>
      </c>
      <c r="AG14">
        <v>600</v>
      </c>
      <c r="AH14">
        <f t="shared" si="19"/>
        <v>7.2508525603029268</v>
      </c>
    </row>
    <row r="15" spans="1:35" x14ac:dyDescent="0.25">
      <c r="N15">
        <v>800</v>
      </c>
      <c r="O15">
        <f t="shared" si="7"/>
        <v>12.364310383569732</v>
      </c>
      <c r="X15">
        <v>800</v>
      </c>
      <c r="Y15">
        <f t="shared" si="12"/>
        <v>10.896684962951072</v>
      </c>
      <c r="AG15">
        <v>700</v>
      </c>
      <c r="AH15">
        <f t="shared" si="19"/>
        <v>9.0417972655904446</v>
      </c>
    </row>
    <row r="16" spans="1:35" x14ac:dyDescent="0.25">
      <c r="N16">
        <v>900</v>
      </c>
      <c r="O16">
        <f t="shared" si="7"/>
        <v>13.494126796431152</v>
      </c>
      <c r="X16">
        <v>900</v>
      </c>
      <c r="Y16">
        <f t="shared" si="12"/>
        <v>12.674541209984174</v>
      </c>
      <c r="AG16">
        <v>800</v>
      </c>
      <c r="AH16">
        <f t="shared" si="19"/>
        <v>10.894540515510863</v>
      </c>
    </row>
    <row r="17" spans="14:34" x14ac:dyDescent="0.25">
      <c r="N17">
        <v>1000</v>
      </c>
      <c r="O17">
        <f t="shared" si="7"/>
        <v>14.525771332565958</v>
      </c>
      <c r="X17">
        <v>1000</v>
      </c>
      <c r="Y17">
        <f t="shared" si="12"/>
        <v>14.384201977779188</v>
      </c>
      <c r="AG17">
        <v>900</v>
      </c>
      <c r="AH17">
        <f t="shared" si="19"/>
        <v>12.738729115985695</v>
      </c>
    </row>
    <row r="18" spans="14:34" x14ac:dyDescent="0.25">
      <c r="N18">
        <v>1500</v>
      </c>
      <c r="O18">
        <f t="shared" si="7"/>
        <v>18.42132991975296</v>
      </c>
      <c r="X18">
        <v>1500</v>
      </c>
      <c r="Y18">
        <f t="shared" si="12"/>
        <v>20.678134649543598</v>
      </c>
      <c r="AG18">
        <v>1000</v>
      </c>
      <c r="AH18">
        <f t="shared" si="19"/>
        <v>14.505288741231881</v>
      </c>
    </row>
    <row r="19" spans="14:34" x14ac:dyDescent="0.25">
      <c r="N19">
        <v>2000</v>
      </c>
      <c r="O19">
        <f t="shared" si="7"/>
        <v>20.79879878517837</v>
      </c>
      <c r="X19">
        <v>2000</v>
      </c>
      <c r="Y19">
        <f t="shared" si="12"/>
        <v>23.250454021975369</v>
      </c>
      <c r="AG19">
        <v>1500</v>
      </c>
      <c r="AH19">
        <f t="shared" si="19"/>
        <v>20.790607159763692</v>
      </c>
    </row>
    <row r="20" spans="14:34" x14ac:dyDescent="0.25">
      <c r="N20">
        <v>3000</v>
      </c>
      <c r="O20">
        <f t="shared" si="7"/>
        <v>23.243986970033568</v>
      </c>
      <c r="X20">
        <v>3000</v>
      </c>
      <c r="Y20">
        <f t="shared" si="12"/>
        <v>24.272266541394195</v>
      </c>
      <c r="AG20">
        <v>2000</v>
      </c>
      <c r="AH20">
        <f t="shared" si="19"/>
        <v>23.128782896549229</v>
      </c>
    </row>
    <row r="21" spans="14:34" x14ac:dyDescent="0.25">
      <c r="N21">
        <v>4000</v>
      </c>
      <c r="O21">
        <f t="shared" si="7"/>
        <v>24.351394184819814</v>
      </c>
      <c r="X21">
        <v>4000</v>
      </c>
      <c r="Y21">
        <f t="shared" si="12"/>
        <v>24.350714373089343</v>
      </c>
      <c r="AG21">
        <v>3000</v>
      </c>
      <c r="AH21">
        <f t="shared" si="19"/>
        <v>23.948353344368591</v>
      </c>
    </row>
    <row r="22" spans="14:34" x14ac:dyDescent="0.25">
      <c r="N22">
        <v>5000</v>
      </c>
      <c r="X22">
        <v>5000</v>
      </c>
      <c r="AG22">
        <v>4000</v>
      </c>
      <c r="AH22">
        <f t="shared" si="19"/>
        <v>24.000299356089627</v>
      </c>
    </row>
    <row r="23" spans="14:34" x14ac:dyDescent="0.25">
      <c r="AG23">
        <v>5000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B2E1-0884-41FA-BB64-F01243ED98D5}">
  <dimension ref="A1:AI23"/>
  <sheetViews>
    <sheetView topLeftCell="A4" zoomScaleNormal="100" workbookViewId="0">
      <selection activeCell="Z5" sqref="Z5:Z14"/>
    </sheetView>
  </sheetViews>
  <sheetFormatPr defaultRowHeight="15" x14ac:dyDescent="0.25"/>
  <cols>
    <col min="3" max="3" width="13.85546875" customWidth="1"/>
    <col min="27" max="27" width="20.7109375" customWidth="1"/>
    <col min="28" max="28" width="15.42578125" customWidth="1"/>
    <col min="29" max="29" width="16.42578125" customWidth="1"/>
    <col min="30" max="30" width="18.28515625" customWidth="1"/>
    <col min="31" max="31" width="10.85546875" customWidth="1"/>
    <col min="33" max="33" width="13.140625" customWidth="1"/>
    <col min="34" max="34" width="22.5703125" customWidth="1"/>
  </cols>
  <sheetData>
    <row r="1" spans="1:35" x14ac:dyDescent="0.25">
      <c r="L1" s="1" t="s">
        <v>25</v>
      </c>
      <c r="N1" s="1" t="s">
        <v>26</v>
      </c>
      <c r="O1" s="1" t="s">
        <v>27</v>
      </c>
      <c r="P1" s="1" t="s">
        <v>28</v>
      </c>
      <c r="R1" s="41" t="s">
        <v>169</v>
      </c>
      <c r="V1" s="1" t="s">
        <v>25</v>
      </c>
      <c r="X1" s="1" t="s">
        <v>170</v>
      </c>
      <c r="Y1" s="1" t="s">
        <v>171</v>
      </c>
      <c r="AA1" s="41" t="s">
        <v>180</v>
      </c>
      <c r="AE1" s="1" t="s">
        <v>25</v>
      </c>
      <c r="AG1" s="1" t="s">
        <v>170</v>
      </c>
      <c r="AH1" s="1" t="s">
        <v>171</v>
      </c>
      <c r="AI1" s="1" t="s">
        <v>178</v>
      </c>
    </row>
    <row r="2" spans="1:35" x14ac:dyDescent="0.25">
      <c r="L2">
        <f>SUM(L4:L41)</f>
        <v>13.060929010870725</v>
      </c>
      <c r="N2">
        <v>40.072685402858887</v>
      </c>
      <c r="O2">
        <v>2.1557347634134519E-5</v>
      </c>
      <c r="P2">
        <v>1.3405418467490484</v>
      </c>
      <c r="V2">
        <f>SUM(V4:V14)</f>
        <v>0.32392906263053128</v>
      </c>
      <c r="X2">
        <v>2.9138351528730316E-2</v>
      </c>
      <c r="Y2">
        <v>0.16636469150570662</v>
      </c>
      <c r="AE2">
        <f>SUM(AE5:AE14)</f>
        <v>0.30650939555378681</v>
      </c>
      <c r="AG2">
        <v>2.9496091911094639E-2</v>
      </c>
      <c r="AH2">
        <v>0.16257180428600909</v>
      </c>
      <c r="AI2">
        <v>23.785764139851349</v>
      </c>
    </row>
    <row r="3" spans="1:35" x14ac:dyDescent="0.25">
      <c r="A3" t="s">
        <v>41</v>
      </c>
      <c r="B3" t="s">
        <v>31</v>
      </c>
      <c r="C3" t="s">
        <v>43</v>
      </c>
      <c r="D3" s="1" t="s">
        <v>80</v>
      </c>
      <c r="H3" s="1" t="s">
        <v>31</v>
      </c>
      <c r="I3" s="1" t="s">
        <v>43</v>
      </c>
      <c r="J3" s="1" t="s">
        <v>80</v>
      </c>
      <c r="K3" s="1" t="s">
        <v>29</v>
      </c>
      <c r="L3" s="1" t="s">
        <v>30</v>
      </c>
      <c r="M3" s="1"/>
      <c r="N3" s="9" t="s">
        <v>31</v>
      </c>
      <c r="O3" s="10" t="s">
        <v>32</v>
      </c>
      <c r="R3" s="1" t="s">
        <v>41</v>
      </c>
      <c r="S3" s="1" t="s">
        <v>43</v>
      </c>
      <c r="T3" s="1" t="s">
        <v>80</v>
      </c>
      <c r="U3" s="1" t="s">
        <v>172</v>
      </c>
      <c r="V3" s="1" t="s">
        <v>30</v>
      </c>
      <c r="W3" s="1"/>
      <c r="X3" s="9" t="s">
        <v>31</v>
      </c>
      <c r="Y3" s="10" t="s">
        <v>173</v>
      </c>
      <c r="Z3" s="1" t="s">
        <v>31</v>
      </c>
      <c r="AA3" s="1" t="s">
        <v>41</v>
      </c>
      <c r="AB3" s="1" t="s">
        <v>43</v>
      </c>
      <c r="AC3" s="1" t="s">
        <v>80</v>
      </c>
      <c r="AD3" s="1" t="s">
        <v>172</v>
      </c>
      <c r="AE3" s="1" t="s">
        <v>30</v>
      </c>
      <c r="AF3" s="1"/>
      <c r="AG3" s="9" t="s">
        <v>31</v>
      </c>
      <c r="AH3" s="10" t="s">
        <v>173</v>
      </c>
    </row>
    <row r="4" spans="1:35" x14ac:dyDescent="0.25">
      <c r="A4">
        <v>3.94129</v>
      </c>
      <c r="B4">
        <f>A4*100</f>
        <v>394.12900000000002</v>
      </c>
      <c r="C4">
        <v>3.3471700000000002</v>
      </c>
      <c r="D4">
        <f>C4*'Isotherm List'!$G$4/'Isotherm List'!$G$32</f>
        <v>3.6180097099236641</v>
      </c>
      <c r="H4">
        <f>B4</f>
        <v>394.12900000000002</v>
      </c>
      <c r="I4">
        <f>C4</f>
        <v>3.3471700000000002</v>
      </c>
      <c r="J4">
        <f>D4</f>
        <v>3.6180097099236641</v>
      </c>
      <c r="K4">
        <f>($N$2*H4)/(((1/$O$2)+H4^$P$2)^(1/$P$2))</f>
        <v>4.9784008436651117</v>
      </c>
      <c r="L4">
        <f>(K4-J4)^2</f>
        <v>1.8506640367623413</v>
      </c>
      <c r="N4">
        <v>10</v>
      </c>
      <c r="O4">
        <f>($N$2*N4)/(((1/$O$2)+N4^$P$2)^(1/$P$2))</f>
        <v>0.13234621775923469</v>
      </c>
      <c r="R4">
        <f t="shared" ref="R4:R13" si="0">A4</f>
        <v>3.94129</v>
      </c>
      <c r="S4">
        <f>C4</f>
        <v>3.3471700000000002</v>
      </c>
      <c r="T4">
        <f>D4</f>
        <v>3.6180097099236641</v>
      </c>
      <c r="U4">
        <f>($T$13*(1-EXP(-($X$2+$Y$2)*R4))/(1+$Y$2/$X$2*EXP(-($X$2+$Y$2)*R4)))</f>
        <v>3.4940042547501644</v>
      </c>
      <c r="V4">
        <f>(U4-T4)^2</f>
        <v>1.5377352912786843E-2</v>
      </c>
      <c r="X4">
        <v>10</v>
      </c>
      <c r="Y4">
        <f>($T$13*(1-EXP(-($X$2+$Y$2)*(X4/100)))/(1+$Y$2/$X$2*EXP(-($X$2+$Y$2)*(X4/100))))</f>
        <v>6.9495827552488704E-2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</row>
    <row r="5" spans="1:35" x14ac:dyDescent="0.25">
      <c r="A5">
        <v>5.2347900000000003</v>
      </c>
      <c r="B5">
        <f t="shared" ref="B5:B13" si="1">A5*100</f>
        <v>523.47900000000004</v>
      </c>
      <c r="C5">
        <v>4.5770900000000001</v>
      </c>
      <c r="D5">
        <f>C5*'Isotherm List'!$G$4/'Isotherm List'!$G$32</f>
        <v>4.9474499541984729</v>
      </c>
      <c r="H5">
        <f t="shared" ref="H5:H13" si="2">B5</f>
        <v>523.47900000000004</v>
      </c>
      <c r="I5">
        <f t="shared" ref="I5:I13" si="3">C5</f>
        <v>4.5770900000000001</v>
      </c>
      <c r="J5">
        <f t="shared" ref="J5:J13" si="4">D5</f>
        <v>4.9474499541984729</v>
      </c>
      <c r="K5">
        <f t="shared" ref="K5:K13" si="5">($N$2*H5)/(((1/$O$2)+H5^$P$2)^(1/$P$2))</f>
        <v>6.4761771854643104</v>
      </c>
      <c r="L5">
        <f t="shared" ref="L5:L13" si="6">(K5-J5)^2</f>
        <v>2.3370069476137134</v>
      </c>
      <c r="N5">
        <v>30</v>
      </c>
      <c r="O5">
        <f t="shared" ref="O5:O20" si="7">($N$2*N5)/(((1/$O$2)+N5^$P$2)^(1/$P$2))</f>
        <v>0.39656943878334838</v>
      </c>
      <c r="R5">
        <f t="shared" si="0"/>
        <v>5.2347900000000003</v>
      </c>
      <c r="S5">
        <f t="shared" ref="S5:S13" si="8">C5</f>
        <v>4.5770900000000001</v>
      </c>
      <c r="T5">
        <f t="shared" ref="T5:T13" si="9">D5</f>
        <v>4.9474499541984729</v>
      </c>
      <c r="U5">
        <f t="shared" ref="U5:U13" si="10">($T$13*(1-EXP(-($X$2+$Y$2)*R5))/(1+$Y$2/$X$2*EXP(-($X$2+$Y$2)*R5)))</f>
        <v>4.9724977917805928</v>
      </c>
      <c r="V5">
        <f t="shared" ref="V5:V13" si="11">(U5-T5)^2</f>
        <v>6.2739416754025931E-4</v>
      </c>
      <c r="X5">
        <v>30</v>
      </c>
      <c r="Y5">
        <f t="shared" ref="Y5:Y20" si="12">($T$13*(1-EXP(-($X$2+$Y$2)*(X5/100)))/(1+$Y$2/$X$2*EXP(-($X$2+$Y$2)*(X5/100))))</f>
        <v>0.21135353192799294</v>
      </c>
      <c r="Z5">
        <f>B4</f>
        <v>394.12900000000002</v>
      </c>
      <c r="AA5">
        <f t="shared" ref="AA5:AA14" si="13">A4</f>
        <v>3.94129</v>
      </c>
      <c r="AB5">
        <f t="shared" ref="AB5:AB14" si="14">C4</f>
        <v>3.3471700000000002</v>
      </c>
      <c r="AC5">
        <f t="shared" ref="AC5:AC14" si="15">D4</f>
        <v>3.6180097099236641</v>
      </c>
      <c r="AD5">
        <f>($AI$2*(1-EXP(-($AG$2+$AH$2)*AA5))/(1+$AH$2/$AG$2*EXP(-($AG$2+$AH$2)*AA5)))</f>
        <v>3.5222317388073625</v>
      </c>
      <c r="AE5">
        <f>(AD5-AC5)^2</f>
        <v>9.1734197511551038E-3</v>
      </c>
      <c r="AG5">
        <v>10</v>
      </c>
      <c r="AH5">
        <f>($AI$2*(1-EXP(-($AG$2+$AH$2)*(AG5/100)))/(1+$AH$2/$AG$2*EXP(-($AG$2+$AH$2)*(AG5/100))))</f>
        <v>7.0626470753278367E-2</v>
      </c>
    </row>
    <row r="6" spans="1:35" x14ac:dyDescent="0.25">
      <c r="A6">
        <v>7.6377899999999999</v>
      </c>
      <c r="B6">
        <f t="shared" si="1"/>
        <v>763.779</v>
      </c>
      <c r="C6">
        <v>7.2428400000000002</v>
      </c>
      <c r="D6">
        <f>C6*'Isotherm List'!$G$4/'Isotherm List'!$G$32</f>
        <v>7.8289018625954201</v>
      </c>
      <c r="H6">
        <f t="shared" si="2"/>
        <v>763.779</v>
      </c>
      <c r="I6">
        <f t="shared" si="3"/>
        <v>7.2428400000000002</v>
      </c>
      <c r="J6">
        <f t="shared" si="4"/>
        <v>7.8289018625954201</v>
      </c>
      <c r="K6">
        <f t="shared" si="5"/>
        <v>9.0644313582368703</v>
      </c>
      <c r="L6">
        <f t="shared" si="6"/>
        <v>1.5265331346000164</v>
      </c>
      <c r="N6">
        <v>50</v>
      </c>
      <c r="O6">
        <f t="shared" si="7"/>
        <v>0.65995441228286988</v>
      </c>
      <c r="R6">
        <f t="shared" si="0"/>
        <v>7.6377899999999999</v>
      </c>
      <c r="S6">
        <f t="shared" si="8"/>
        <v>7.2428400000000002</v>
      </c>
      <c r="T6">
        <f t="shared" si="9"/>
        <v>7.8289018625954201</v>
      </c>
      <c r="U6">
        <f t="shared" si="10"/>
        <v>8.0459809568889913</v>
      </c>
      <c r="V6">
        <f t="shared" si="11"/>
        <v>4.7123333179317176E-2</v>
      </c>
      <c r="X6">
        <v>50</v>
      </c>
      <c r="Y6">
        <f t="shared" si="12"/>
        <v>0.35707166652687616</v>
      </c>
      <c r="Z6">
        <f t="shared" ref="Z6:Z14" si="16">B5</f>
        <v>523.47900000000004</v>
      </c>
      <c r="AA6">
        <f t="shared" si="13"/>
        <v>5.2347900000000003</v>
      </c>
      <c r="AB6">
        <f t="shared" si="14"/>
        <v>4.5770900000000001</v>
      </c>
      <c r="AC6">
        <f t="shared" si="15"/>
        <v>4.9474499541984729</v>
      </c>
      <c r="AD6">
        <f t="shared" ref="AD6:AD12" si="17">($AI$2*(1-EXP(-($AG$2+$AH$2)*AA6))/(1+$AH$2/$AG$2*EXP(-($AG$2+$AH$2)*AA6)))</f>
        <v>4.9999202312121733</v>
      </c>
      <c r="AE6">
        <f t="shared" ref="AE6:AE12" si="18">(AD6-AC6)^2</f>
        <v>2.7531299698944607E-3</v>
      </c>
      <c r="AG6">
        <v>30</v>
      </c>
      <c r="AH6">
        <f t="shared" ref="AH6:AH21" si="19">($AI$2*(1-EXP(-($AG$2+$AH$2)*(AG6/100)))/(1+$AH$2/$AG$2*EXP(-($AG$2+$AH$2)*(AG6/100))))</f>
        <v>0.21470247872405177</v>
      </c>
    </row>
    <row r="7" spans="1:35" x14ac:dyDescent="0.25">
      <c r="A7">
        <v>10.411899999999999</v>
      </c>
      <c r="B7">
        <f t="shared" si="1"/>
        <v>1041.1899999999998</v>
      </c>
      <c r="C7">
        <v>11.0036</v>
      </c>
      <c r="D7">
        <f>C7*'Isotherm List'!$G$4/'Isotherm List'!$G$32</f>
        <v>11.893967633587785</v>
      </c>
      <c r="H7">
        <f t="shared" si="2"/>
        <v>1041.1899999999998</v>
      </c>
      <c r="I7">
        <f t="shared" si="3"/>
        <v>11.0036</v>
      </c>
      <c r="J7">
        <f t="shared" si="4"/>
        <v>11.893967633587785</v>
      </c>
      <c r="K7">
        <f t="shared" si="5"/>
        <v>11.746808881904888</v>
      </c>
      <c r="L7">
        <f t="shared" si="6"/>
        <v>2.1655698196868391E-2</v>
      </c>
      <c r="N7">
        <v>70</v>
      </c>
      <c r="O7">
        <f t="shared" si="7"/>
        <v>0.92234140254269581</v>
      </c>
      <c r="R7">
        <f t="shared" si="0"/>
        <v>10.411899999999999</v>
      </c>
      <c r="S7">
        <f t="shared" si="8"/>
        <v>11.0036</v>
      </c>
      <c r="T7">
        <f t="shared" si="9"/>
        <v>11.893967633587785</v>
      </c>
      <c r="U7">
        <f t="shared" si="10"/>
        <v>11.796784994496663</v>
      </c>
      <c r="V7">
        <f t="shared" si="11"/>
        <v>9.4444653407151687E-3</v>
      </c>
      <c r="X7">
        <v>70</v>
      </c>
      <c r="Y7">
        <f t="shared" si="12"/>
        <v>0.50669402009945985</v>
      </c>
      <c r="Z7">
        <f t="shared" si="16"/>
        <v>763.779</v>
      </c>
      <c r="AA7">
        <f t="shared" si="13"/>
        <v>7.6377899999999999</v>
      </c>
      <c r="AB7">
        <f t="shared" si="14"/>
        <v>7.2428400000000002</v>
      </c>
      <c r="AC7">
        <f t="shared" si="15"/>
        <v>7.8289018625954201</v>
      </c>
      <c r="AD7">
        <f t="shared" si="17"/>
        <v>8.0578512996410137</v>
      </c>
      <c r="AE7">
        <f t="shared" si="18"/>
        <v>5.2417844723494207E-2</v>
      </c>
      <c r="AG7">
        <v>50</v>
      </c>
      <c r="AH7">
        <f t="shared" si="19"/>
        <v>0.36257749351406771</v>
      </c>
    </row>
    <row r="8" spans="1:35" x14ac:dyDescent="0.25">
      <c r="A8">
        <v>14.4787</v>
      </c>
      <c r="B8">
        <f t="shared" si="1"/>
        <v>1447.87</v>
      </c>
      <c r="C8">
        <v>15.583399999999999</v>
      </c>
      <c r="D8">
        <f>C8*'Isotherm List'!$G$4/'Isotherm List'!$G$32</f>
        <v>16.844346870229003</v>
      </c>
      <c r="H8">
        <f t="shared" si="2"/>
        <v>1447.87</v>
      </c>
      <c r="I8">
        <f t="shared" si="3"/>
        <v>15.583399999999999</v>
      </c>
      <c r="J8">
        <f t="shared" si="4"/>
        <v>16.844346870229003</v>
      </c>
      <c r="K8">
        <f t="shared" si="5"/>
        <v>15.139222088706253</v>
      </c>
      <c r="L8">
        <f t="shared" si="6"/>
        <v>2.9074505205630063</v>
      </c>
      <c r="N8">
        <v>100</v>
      </c>
      <c r="O8">
        <f t="shared" si="7"/>
        <v>1.3138041443233297</v>
      </c>
      <c r="R8">
        <f t="shared" si="0"/>
        <v>14.4787</v>
      </c>
      <c r="S8">
        <f t="shared" si="8"/>
        <v>15.583399999999999</v>
      </c>
      <c r="T8">
        <f t="shared" si="9"/>
        <v>16.844346870229003</v>
      </c>
      <c r="U8">
        <f t="shared" si="10"/>
        <v>16.675462735981327</v>
      </c>
      <c r="V8">
        <f t="shared" si="11"/>
        <v>2.8521850800587164E-2</v>
      </c>
      <c r="X8">
        <v>100</v>
      </c>
      <c r="Y8">
        <f t="shared" si="12"/>
        <v>0.73853444749065988</v>
      </c>
      <c r="Z8">
        <f t="shared" si="16"/>
        <v>1041.1899999999998</v>
      </c>
      <c r="AA8">
        <f t="shared" si="13"/>
        <v>10.411899999999999</v>
      </c>
      <c r="AB8">
        <f t="shared" si="14"/>
        <v>11.0036</v>
      </c>
      <c r="AC8">
        <f t="shared" si="15"/>
        <v>11.893967633587785</v>
      </c>
      <c r="AD8">
        <f t="shared" si="17"/>
        <v>11.77844342993944</v>
      </c>
      <c r="AE8">
        <f t="shared" si="18"/>
        <v>1.3345841628584296E-2</v>
      </c>
      <c r="AG8">
        <v>70</v>
      </c>
      <c r="AH8">
        <f t="shared" si="19"/>
        <v>0.51429033796938406</v>
      </c>
    </row>
    <row r="9" spans="1:35" x14ac:dyDescent="0.25">
      <c r="A9">
        <v>19.895600000000002</v>
      </c>
      <c r="B9">
        <f t="shared" si="1"/>
        <v>1989.5600000000002</v>
      </c>
      <c r="C9">
        <v>19.0642</v>
      </c>
      <c r="D9">
        <f>C9*'Isotherm List'!$G$4/'Isotherm List'!$G$32</f>
        <v>20.606799389312975</v>
      </c>
      <c r="H9">
        <f t="shared" si="2"/>
        <v>1989.5600000000002</v>
      </c>
      <c r="I9">
        <f t="shared" si="3"/>
        <v>19.0642</v>
      </c>
      <c r="J9">
        <f t="shared" si="4"/>
        <v>20.606799389312975</v>
      </c>
      <c r="K9">
        <f t="shared" si="5"/>
        <v>18.816096877317715</v>
      </c>
      <c r="L9">
        <f t="shared" si="6"/>
        <v>3.2066154864661343</v>
      </c>
      <c r="N9">
        <v>200</v>
      </c>
      <c r="O9">
        <f t="shared" si="7"/>
        <v>2.5972710263177801</v>
      </c>
      <c r="R9">
        <f t="shared" si="0"/>
        <v>19.895600000000002</v>
      </c>
      <c r="S9">
        <f t="shared" si="8"/>
        <v>19.0642</v>
      </c>
      <c r="T9">
        <f t="shared" si="9"/>
        <v>20.606799389312975</v>
      </c>
      <c r="U9">
        <f t="shared" si="10"/>
        <v>20.776776537816819</v>
      </c>
      <c r="V9">
        <f t="shared" si="11"/>
        <v>2.8892231013497586E-2</v>
      </c>
      <c r="X9">
        <v>200</v>
      </c>
      <c r="Y9">
        <f t="shared" si="12"/>
        <v>1.5767594176279645</v>
      </c>
      <c r="Z9">
        <f t="shared" si="16"/>
        <v>1447.87</v>
      </c>
      <c r="AA9">
        <f t="shared" si="13"/>
        <v>14.4787</v>
      </c>
      <c r="AB9">
        <f t="shared" si="14"/>
        <v>15.583399999999999</v>
      </c>
      <c r="AC9">
        <f t="shared" si="15"/>
        <v>16.844346870229003</v>
      </c>
      <c r="AD9">
        <f t="shared" si="17"/>
        <v>16.630124499129867</v>
      </c>
      <c r="AE9">
        <f t="shared" si="18"/>
        <v>4.5891224279336222E-2</v>
      </c>
      <c r="AG9">
        <v>100</v>
      </c>
      <c r="AH9">
        <f t="shared" si="19"/>
        <v>0.74913111995689208</v>
      </c>
    </row>
    <row r="10" spans="1:35" x14ac:dyDescent="0.25">
      <c r="A10">
        <v>25.493200000000002</v>
      </c>
      <c r="B10">
        <f t="shared" si="1"/>
        <v>2549.3200000000002</v>
      </c>
      <c r="C10">
        <v>20.6952</v>
      </c>
      <c r="D10">
        <f>C10*'Isotherm List'!$G$4/'Isotherm List'!$G$32</f>
        <v>22.369773435114503</v>
      </c>
      <c r="H10">
        <f t="shared" si="2"/>
        <v>2549.3200000000002</v>
      </c>
      <c r="I10">
        <f t="shared" si="3"/>
        <v>20.6952</v>
      </c>
      <c r="J10">
        <f t="shared" si="4"/>
        <v>22.369773435114503</v>
      </c>
      <c r="K10">
        <f t="shared" si="5"/>
        <v>21.820765334362246</v>
      </c>
      <c r="L10">
        <f t="shared" si="6"/>
        <v>0.30140989469160029</v>
      </c>
      <c r="N10">
        <v>300</v>
      </c>
      <c r="O10">
        <f t="shared" si="7"/>
        <v>3.8431849151761734</v>
      </c>
      <c r="R10">
        <f t="shared" si="0"/>
        <v>25.493200000000002</v>
      </c>
      <c r="S10">
        <f t="shared" si="8"/>
        <v>20.6952</v>
      </c>
      <c r="T10">
        <f t="shared" si="9"/>
        <v>22.369773435114503</v>
      </c>
      <c r="U10">
        <f t="shared" si="10"/>
        <v>22.640209760358832</v>
      </c>
      <c r="V10">
        <f t="shared" si="11"/>
        <v>7.3135806011656701E-2</v>
      </c>
      <c r="X10">
        <v>300</v>
      </c>
      <c r="Y10">
        <f t="shared" si="12"/>
        <v>2.5169903668918163</v>
      </c>
      <c r="Z10">
        <f t="shared" si="16"/>
        <v>1989.5600000000002</v>
      </c>
      <c r="AA10">
        <f t="shared" si="13"/>
        <v>19.895600000000002</v>
      </c>
      <c r="AB10">
        <f t="shared" si="14"/>
        <v>19.0642</v>
      </c>
      <c r="AC10">
        <f t="shared" si="15"/>
        <v>20.606799389312975</v>
      </c>
      <c r="AD10">
        <f t="shared" si="17"/>
        <v>20.759228676927233</v>
      </c>
      <c r="AE10">
        <f t="shared" si="18"/>
        <v>2.3234687722590019E-2</v>
      </c>
      <c r="AG10">
        <v>200</v>
      </c>
      <c r="AH10">
        <f t="shared" si="19"/>
        <v>1.5959836024861553</v>
      </c>
    </row>
    <row r="11" spans="1:35" x14ac:dyDescent="0.25">
      <c r="A11">
        <v>28.691500000000001</v>
      </c>
      <c r="B11">
        <f t="shared" si="1"/>
        <v>2869.15</v>
      </c>
      <c r="C11">
        <v>21.441299999999998</v>
      </c>
      <c r="D11">
        <f>C11*'Isotherm List'!$G$4/'Isotherm List'!$G$32</f>
        <v>23.176244885496178</v>
      </c>
      <c r="H11">
        <f t="shared" si="2"/>
        <v>2869.15</v>
      </c>
      <c r="I11">
        <f t="shared" si="3"/>
        <v>21.441299999999998</v>
      </c>
      <c r="J11">
        <f t="shared" si="4"/>
        <v>23.176244885496178</v>
      </c>
      <c r="K11">
        <f t="shared" si="5"/>
        <v>23.252329244745116</v>
      </c>
      <c r="L11">
        <f t="shared" si="6"/>
        <v>5.7888297223214532E-3</v>
      </c>
      <c r="N11">
        <v>400</v>
      </c>
      <c r="O11">
        <f t="shared" si="7"/>
        <v>5.0479571053688499</v>
      </c>
      <c r="R11">
        <f t="shared" si="0"/>
        <v>28.691500000000001</v>
      </c>
      <c r="S11">
        <f t="shared" si="8"/>
        <v>21.441299999999998</v>
      </c>
      <c r="T11">
        <f t="shared" si="9"/>
        <v>23.176244885496178</v>
      </c>
      <c r="U11">
        <f t="shared" si="10"/>
        <v>23.117064776747267</v>
      </c>
      <c r="V11">
        <f t="shared" si="11"/>
        <v>3.5022852715330109E-3</v>
      </c>
      <c r="X11">
        <v>400</v>
      </c>
      <c r="Y11">
        <f t="shared" si="12"/>
        <v>3.5578067718146054</v>
      </c>
      <c r="Z11">
        <f t="shared" si="16"/>
        <v>2549.3200000000002</v>
      </c>
      <c r="AA11">
        <f t="shared" si="13"/>
        <v>25.493200000000002</v>
      </c>
      <c r="AB11">
        <f t="shared" si="14"/>
        <v>20.6952</v>
      </c>
      <c r="AC11">
        <f t="shared" si="15"/>
        <v>22.369773435114503</v>
      </c>
      <c r="AD11">
        <f t="shared" si="17"/>
        <v>22.674065698661853</v>
      </c>
      <c r="AE11">
        <f t="shared" si="18"/>
        <v>9.2593781654769614E-2</v>
      </c>
      <c r="AG11">
        <v>300</v>
      </c>
      <c r="AH11">
        <f t="shared" si="19"/>
        <v>2.5422828131365467</v>
      </c>
    </row>
    <row r="12" spans="1:35" x14ac:dyDescent="0.25">
      <c r="A12">
        <v>30.5976</v>
      </c>
      <c r="B12">
        <f t="shared" si="1"/>
        <v>3059.76</v>
      </c>
      <c r="C12">
        <v>21.642499999999998</v>
      </c>
      <c r="D12">
        <f>C12*'Isotherm List'!$G$4/'Isotherm List'!$G$32</f>
        <v>23.393725190839689</v>
      </c>
      <c r="H12">
        <f t="shared" si="2"/>
        <v>3059.76</v>
      </c>
      <c r="I12">
        <f t="shared" si="3"/>
        <v>21.642499999999998</v>
      </c>
      <c r="J12">
        <f t="shared" si="4"/>
        <v>23.393725190839689</v>
      </c>
      <c r="K12">
        <f t="shared" si="5"/>
        <v>24.023327528648039</v>
      </c>
      <c r="L12">
        <f t="shared" si="6"/>
        <v>0.39639910377374016</v>
      </c>
      <c r="N12">
        <v>500</v>
      </c>
      <c r="O12">
        <f t="shared" si="7"/>
        <v>6.2097356016046774</v>
      </c>
      <c r="R12">
        <f t="shared" si="0"/>
        <v>30.5976</v>
      </c>
      <c r="S12">
        <f t="shared" si="8"/>
        <v>21.642499999999998</v>
      </c>
      <c r="T12">
        <f t="shared" si="9"/>
        <v>23.393725190839689</v>
      </c>
      <c r="U12">
        <f t="shared" si="10"/>
        <v>23.291974414869749</v>
      </c>
      <c r="V12">
        <f t="shared" si="11"/>
        <v>1.0353220410484892E-2</v>
      </c>
      <c r="X12">
        <v>500</v>
      </c>
      <c r="Y12">
        <f t="shared" si="12"/>
        <v>4.6932628844105304</v>
      </c>
      <c r="Z12">
        <f t="shared" si="16"/>
        <v>2869.15</v>
      </c>
      <c r="AA12">
        <f t="shared" si="13"/>
        <v>28.691500000000001</v>
      </c>
      <c r="AB12">
        <f t="shared" si="14"/>
        <v>21.441299999999998</v>
      </c>
      <c r="AC12">
        <f t="shared" si="15"/>
        <v>23.176244885496178</v>
      </c>
      <c r="AD12">
        <f t="shared" si="17"/>
        <v>23.17318532814911</v>
      </c>
      <c r="AE12">
        <f t="shared" si="18"/>
        <v>9.3608911600003487E-6</v>
      </c>
      <c r="AG12">
        <v>400</v>
      </c>
      <c r="AH12">
        <f t="shared" si="19"/>
        <v>3.5861210334832019</v>
      </c>
    </row>
    <row r="13" spans="1:35" x14ac:dyDescent="0.25">
      <c r="A13">
        <v>31.581800000000001</v>
      </c>
      <c r="B13">
        <f t="shared" si="1"/>
        <v>3158.1800000000003</v>
      </c>
      <c r="C13">
        <v>21.914200000000001</v>
      </c>
      <c r="D13">
        <f>C13*'Isotherm List'!$G$4/'Isotherm List'!$G$32</f>
        <v>23.687410076335876</v>
      </c>
      <c r="H13">
        <f t="shared" si="2"/>
        <v>3158.1800000000003</v>
      </c>
      <c r="I13">
        <f t="shared" si="3"/>
        <v>21.914200000000001</v>
      </c>
      <c r="J13">
        <f t="shared" si="4"/>
        <v>23.687410076335876</v>
      </c>
      <c r="K13">
        <f t="shared" si="5"/>
        <v>24.399733990353216</v>
      </c>
      <c r="L13">
        <f t="shared" si="6"/>
        <v>0.50740535848098223</v>
      </c>
      <c r="N13">
        <v>600</v>
      </c>
      <c r="O13">
        <f t="shared" si="7"/>
        <v>7.3277516793291708</v>
      </c>
      <c r="R13">
        <f t="shared" si="0"/>
        <v>31.581800000000001</v>
      </c>
      <c r="S13">
        <f t="shared" si="8"/>
        <v>21.914200000000001</v>
      </c>
      <c r="T13">
        <f t="shared" si="9"/>
        <v>23.687410076335876</v>
      </c>
      <c r="U13">
        <f t="shared" si="10"/>
        <v>23.360376250069521</v>
      </c>
      <c r="V13">
        <f t="shared" si="11"/>
        <v>0.10695112352241248</v>
      </c>
      <c r="X13">
        <v>600</v>
      </c>
      <c r="Y13">
        <f t="shared" si="12"/>
        <v>5.9123956168981966</v>
      </c>
      <c r="Z13">
        <f t="shared" si="16"/>
        <v>3059.76</v>
      </c>
      <c r="AA13">
        <f t="shared" si="13"/>
        <v>30.5976</v>
      </c>
      <c r="AB13">
        <f t="shared" si="14"/>
        <v>21.642499999999998</v>
      </c>
      <c r="AC13">
        <f t="shared" si="15"/>
        <v>23.393725190839689</v>
      </c>
      <c r="AD13">
        <f t="shared" ref="AD13:AD14" si="20">($AI$2*(1-EXP(-($AG$2+$AH$2)*AA13))/(1+$AH$2/$AG$2*EXP(-($AG$2+$AH$2)*AA13)))</f>
        <v>23.358123911758057</v>
      </c>
      <c r="AE13">
        <f t="shared" ref="AE13:AE14" si="21">(AD13-AC13)^2</f>
        <v>1.2674510722482655E-3</v>
      </c>
      <c r="AG13">
        <v>500</v>
      </c>
      <c r="AH13">
        <f t="shared" si="19"/>
        <v>4.7212551020506606</v>
      </c>
    </row>
    <row r="14" spans="1:35" x14ac:dyDescent="0.25">
      <c r="N14">
        <v>700</v>
      </c>
      <c r="O14">
        <f t="shared" si="7"/>
        <v>8.4019722583521599</v>
      </c>
      <c r="X14">
        <v>700</v>
      </c>
      <c r="Y14">
        <f t="shared" si="12"/>
        <v>7.1991946845658896</v>
      </c>
      <c r="Z14">
        <f t="shared" si="16"/>
        <v>3158.1800000000003</v>
      </c>
      <c r="AA14">
        <f t="shared" si="13"/>
        <v>31.581800000000001</v>
      </c>
      <c r="AB14">
        <f t="shared" si="14"/>
        <v>21.914200000000001</v>
      </c>
      <c r="AC14">
        <f t="shared" si="15"/>
        <v>23.687410076335876</v>
      </c>
      <c r="AD14">
        <f t="shared" si="20"/>
        <v>23.430850816396667</v>
      </c>
      <c r="AE14">
        <f t="shared" si="21"/>
        <v>6.5822653860554622E-2</v>
      </c>
      <c r="AG14">
        <v>600</v>
      </c>
      <c r="AH14">
        <f t="shared" si="19"/>
        <v>5.9366938809823671</v>
      </c>
    </row>
    <row r="15" spans="1:35" x14ac:dyDescent="0.25">
      <c r="N15">
        <v>800</v>
      </c>
      <c r="O15">
        <f t="shared" si="7"/>
        <v>9.4328812755215399</v>
      </c>
      <c r="X15">
        <v>800</v>
      </c>
      <c r="Y15">
        <f t="shared" si="12"/>
        <v>8.5331503445781127</v>
      </c>
      <c r="AG15">
        <v>700</v>
      </c>
      <c r="AH15">
        <f t="shared" si="19"/>
        <v>7.2167203114803993</v>
      </c>
    </row>
    <row r="16" spans="1:35" x14ac:dyDescent="0.25">
      <c r="N16">
        <v>900</v>
      </c>
      <c r="O16">
        <f t="shared" si="7"/>
        <v>10.421329634276843</v>
      </c>
      <c r="X16">
        <v>900</v>
      </c>
      <c r="Y16">
        <f t="shared" si="12"/>
        <v>9.8903968022609536</v>
      </c>
      <c r="AG16">
        <v>800</v>
      </c>
      <c r="AH16">
        <f t="shared" si="19"/>
        <v>8.5414443477468698</v>
      </c>
    </row>
    <row r="17" spans="14:34" x14ac:dyDescent="0.25">
      <c r="N17">
        <v>1000</v>
      </c>
      <c r="O17">
        <f t="shared" si="7"/>
        <v>11.368427011699529</v>
      </c>
      <c r="X17">
        <v>1000</v>
      </c>
      <c r="Y17">
        <f t="shared" si="12"/>
        <v>11.245344043716537</v>
      </c>
      <c r="AG17">
        <v>900</v>
      </c>
      <c r="AH17">
        <f t="shared" si="19"/>
        <v>9.8878943617341477</v>
      </c>
    </row>
    <row r="18" spans="14:34" x14ac:dyDescent="0.25">
      <c r="N18">
        <v>1500</v>
      </c>
      <c r="O18">
        <f t="shared" si="7"/>
        <v>15.531972972405555</v>
      </c>
      <c r="X18">
        <v>1500</v>
      </c>
      <c r="Y18">
        <f t="shared" si="12"/>
        <v>17.19645134599395</v>
      </c>
      <c r="AG18">
        <v>1000</v>
      </c>
      <c r="AH18">
        <f t="shared" si="19"/>
        <v>11.231543754473556</v>
      </c>
    </row>
    <row r="19" spans="14:34" x14ac:dyDescent="0.25">
      <c r="N19">
        <v>2000</v>
      </c>
      <c r="O19">
        <f t="shared" si="7"/>
        <v>18.878854019860771</v>
      </c>
      <c r="X19">
        <v>2000</v>
      </c>
      <c r="Y19">
        <f t="shared" si="12"/>
        <v>20.829544524911451</v>
      </c>
      <c r="AG19">
        <v>1500</v>
      </c>
      <c r="AH19">
        <f t="shared" si="19"/>
        <v>17.150916660799414</v>
      </c>
    </row>
    <row r="20" spans="14:34" x14ac:dyDescent="0.25">
      <c r="N20">
        <v>3000</v>
      </c>
      <c r="O20">
        <f t="shared" si="7"/>
        <v>23.787723779980272</v>
      </c>
      <c r="X20">
        <v>3000</v>
      </c>
      <c r="Y20">
        <f t="shared" si="12"/>
        <v>23.243748649177981</v>
      </c>
      <c r="AG20">
        <v>2000</v>
      </c>
      <c r="AH20">
        <f t="shared" si="19"/>
        <v>20.812955869644622</v>
      </c>
    </row>
    <row r="21" spans="14:34" x14ac:dyDescent="0.25">
      <c r="N21">
        <v>4000</v>
      </c>
      <c r="X21">
        <v>4000</v>
      </c>
      <c r="AG21">
        <v>3000</v>
      </c>
      <c r="AH21">
        <f t="shared" si="19"/>
        <v>23.306997712572439</v>
      </c>
    </row>
    <row r="22" spans="14:34" x14ac:dyDescent="0.25">
      <c r="N22">
        <v>5000</v>
      </c>
      <c r="X22">
        <v>5000</v>
      </c>
      <c r="AG22">
        <v>4000</v>
      </c>
    </row>
    <row r="23" spans="14:34" x14ac:dyDescent="0.25">
      <c r="AG23">
        <v>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Isotherm List</vt:lpstr>
      <vt:lpstr>Average</vt:lpstr>
      <vt:lpstr>no outliers</vt:lpstr>
      <vt:lpstr>007</vt:lpstr>
      <vt:lpstr>008</vt:lpstr>
      <vt:lpstr>010</vt:lpstr>
      <vt:lpstr>010b</vt:lpstr>
      <vt:lpstr>014</vt:lpstr>
      <vt:lpstr>015</vt:lpstr>
      <vt:lpstr>020</vt:lpstr>
      <vt:lpstr>023</vt:lpstr>
      <vt:lpstr>025</vt:lpstr>
      <vt:lpstr>027</vt:lpstr>
      <vt:lpstr>043</vt:lpstr>
      <vt:lpstr>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Blaney (Student)</dc:creator>
  <cp:lastModifiedBy>Rhys Blaney (Student)</cp:lastModifiedBy>
  <dcterms:created xsi:type="dcterms:W3CDTF">2024-02-22T17:01:41Z</dcterms:created>
  <dcterms:modified xsi:type="dcterms:W3CDTF">2024-04-14T18:39:24Z</dcterms:modified>
</cp:coreProperties>
</file>