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Q1" sheetId="1" r:id="rId1"/>
    <sheet name="Q2" sheetId="2" r:id="rId2"/>
    <sheet name="Q3" sheetId="3" r:id="rId3"/>
    <sheet name="Q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4" i="1" l="1"/>
  <c r="M15" i="1"/>
  <c r="M13" i="1"/>
  <c r="E23" i="2" l="1"/>
  <c r="D23" i="2"/>
  <c r="E22" i="2"/>
  <c r="E25" i="2" s="1"/>
  <c r="D22" i="2"/>
  <c r="D25" i="2" s="1"/>
  <c r="E16" i="2"/>
  <c r="D16" i="2"/>
  <c r="E13" i="2"/>
  <c r="E14" i="2"/>
  <c r="D14" i="2"/>
  <c r="D13" i="2"/>
  <c r="L13" i="1"/>
  <c r="O13" i="1"/>
  <c r="N13" i="1"/>
  <c r="P13" i="1" s="1"/>
  <c r="K13" i="1"/>
  <c r="J13" i="1"/>
  <c r="I13" i="1"/>
  <c r="G13" i="1"/>
  <c r="J11" i="4" l="1" a="1"/>
  <c r="J11" i="4" s="1"/>
  <c r="H17" i="4" s="1"/>
  <c r="H11" i="4" a="1"/>
  <c r="H11" i="4" s="1"/>
  <c r="P8" i="4"/>
  <c r="O7" i="4"/>
  <c r="N6" i="4"/>
  <c r="L6" i="4"/>
  <c r="J8" i="4"/>
  <c r="L7" i="4"/>
  <c r="K8" i="4"/>
  <c r="K6" i="4"/>
  <c r="J7" i="4"/>
  <c r="L8" i="4"/>
  <c r="K7" i="4"/>
  <c r="J6" i="4"/>
  <c r="H6" i="4"/>
  <c r="B8" i="4"/>
  <c r="B7" i="4"/>
  <c r="B6" i="4"/>
  <c r="J12" i="4" l="1"/>
  <c r="L11" i="4"/>
  <c r="L12" i="4"/>
  <c r="K11" i="4"/>
  <c r="K13" i="4"/>
  <c r="J13" i="4"/>
  <c r="L13" i="4"/>
  <c r="H19" i="4" s="1"/>
  <c r="K12" i="4"/>
  <c r="H18" i="4" s="1"/>
  <c r="H13" i="4"/>
  <c r="H12" i="4"/>
  <c r="Q13" i="1"/>
  <c r="R13" i="1" s="1"/>
  <c r="K15" i="1"/>
  <c r="K14" i="1"/>
  <c r="J15" i="1"/>
  <c r="J14" i="1"/>
  <c r="I14" i="1"/>
  <c r="L14" i="1" s="1"/>
  <c r="H13" i="1"/>
  <c r="H15" i="1"/>
  <c r="H14" i="1"/>
  <c r="G14" i="1"/>
  <c r="G15" i="1"/>
  <c r="L17" i="4" l="1"/>
  <c r="K18" i="4" s="1"/>
  <c r="K19" i="4"/>
  <c r="M17" i="4" s="1"/>
  <c r="L19" i="4"/>
  <c r="M18" i="4" s="1"/>
  <c r="N14" i="1"/>
  <c r="O14" i="1"/>
  <c r="Q14" i="1" s="1"/>
  <c r="I15" i="1"/>
  <c r="L15" i="1" s="1"/>
  <c r="P14" i="1" l="1"/>
  <c r="O15" i="1"/>
  <c r="Q15" i="1" s="1"/>
  <c r="N15" i="1"/>
  <c r="P15" i="1" s="1"/>
  <c r="R14" i="1"/>
  <c r="R15" i="1" l="1"/>
</calcChain>
</file>

<file path=xl/sharedStrings.xml><?xml version="1.0" encoding="utf-8"?>
<sst xmlns="http://schemas.openxmlformats.org/spreadsheetml/2006/main" count="78" uniqueCount="55">
  <si>
    <t>Company</t>
  </si>
  <si>
    <t>alpha</t>
  </si>
  <si>
    <t>TM</t>
  </si>
  <si>
    <t>Insignificant</t>
  </si>
  <si>
    <t>MH</t>
  </si>
  <si>
    <t>Adjusted Closing Prices (INR)</t>
  </si>
  <si>
    <t>Date</t>
  </si>
  <si>
    <t>Market Index</t>
  </si>
  <si>
    <t>Actual Returns</t>
  </si>
  <si>
    <t>SMB</t>
  </si>
  <si>
    <t>HML</t>
  </si>
  <si>
    <t>Rm-Rf</t>
  </si>
  <si>
    <t>Returns</t>
  </si>
  <si>
    <t>Value stocks</t>
  </si>
  <si>
    <t>Neutral stocks</t>
  </si>
  <si>
    <t>Growth stocks</t>
  </si>
  <si>
    <t>Small size</t>
  </si>
  <si>
    <t>Big size</t>
  </si>
  <si>
    <t>Expected returns</t>
  </si>
  <si>
    <t>Abnormal returns</t>
  </si>
  <si>
    <t>CAR</t>
  </si>
  <si>
    <t>CAAR</t>
  </si>
  <si>
    <t>ALPHA</t>
  </si>
  <si>
    <t>B</t>
  </si>
  <si>
    <t>OMEGA</t>
  </si>
  <si>
    <t>MU</t>
  </si>
  <si>
    <t>CLIMATE</t>
  </si>
  <si>
    <t>POLICY</t>
  </si>
  <si>
    <t>GEOPOLITICAL</t>
  </si>
  <si>
    <t>sigh</t>
  </si>
  <si>
    <t>E®</t>
  </si>
  <si>
    <t>VAR-COV</t>
  </si>
  <si>
    <t>CORRELATION</t>
  </si>
  <si>
    <t xml:space="preserve">The Cumulative average abnormal return has been 2.09% and hence there is positive impact of sports' celebrity's performance on stock returns of the associated companies </t>
  </si>
  <si>
    <t>He can short sell 15000 shares of XYZ Company at 75$ per share.</t>
  </si>
  <si>
    <t>XYZ co. short at 75$ per share</t>
  </si>
  <si>
    <t>It is called pairs trading</t>
  </si>
  <si>
    <t>4 marks</t>
  </si>
  <si>
    <t>XYZ</t>
  </si>
  <si>
    <t xml:space="preserve">So he has 15000 shares of XYZ Co. long  and 15000 shares of </t>
  </si>
  <si>
    <t>Long position</t>
  </si>
  <si>
    <t>Short position</t>
  </si>
  <si>
    <t>Total gain (pre-tax)</t>
  </si>
  <si>
    <t>Price</t>
  </si>
  <si>
    <t>If someone has used short term capital gain for short sold number of shares, that is also fine</t>
  </si>
  <si>
    <t>Total gain (after-tax)</t>
  </si>
  <si>
    <t>Alternate solution</t>
  </si>
  <si>
    <t>Annualized return</t>
  </si>
  <si>
    <t>Annualized STANDARD DEVIATION</t>
  </si>
  <si>
    <t>3 marks</t>
  </si>
  <si>
    <t>1 mark</t>
  </si>
  <si>
    <t>As some correlations are negative, there can be diversification achieved.</t>
  </si>
  <si>
    <t>Handwritten</t>
  </si>
  <si>
    <t>Marks you get for this comment only if your CAAR values are correct</t>
  </si>
  <si>
    <t>You get marks for the comment only if you have the correlation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</si>
</sst>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9">
    <xf numFmtId="0" fontId="0" fillId="0" borderId="0" xfId="0"/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/>
    </xf>
    <xf numFmtId="0" fontId="4" fillId="0" borderId="3" xfId="0" applyFont="1" applyBorder="1" applyAlignment="1">
      <alignment horizontal="justify" vertical="center"/>
    </xf>
    <xf numFmtId="0" fontId="4" fillId="0" borderId="4" xfId="0" applyFont="1" applyBorder="1" applyAlignment="1">
      <alignment horizontal="justify" vertical="center"/>
    </xf>
    <xf numFmtId="14" fontId="4" fillId="0" borderId="3" xfId="0" applyNumberFormat="1" applyFont="1" applyBorder="1" applyAlignment="1">
      <alignment horizontal="justify" vertical="center"/>
    </xf>
    <xf numFmtId="0" fontId="4" fillId="0" borderId="8" xfId="0" applyFont="1" applyFill="1" applyBorder="1" applyAlignment="1">
      <alignment horizontal="justify" vertical="center"/>
    </xf>
    <xf numFmtId="0" fontId="4" fillId="0" borderId="0" xfId="0" applyFont="1" applyFill="1" applyBorder="1" applyAlignment="1">
      <alignment horizontal="justify" vertical="center"/>
    </xf>
    <xf numFmtId="9" fontId="0" fillId="0" borderId="0" xfId="1" applyFont="1"/>
    <xf numFmtId="10" fontId="0" fillId="0" borderId="0" xfId="1" applyNumberFormat="1" applyFont="1"/>
    <xf numFmtId="10" fontId="0" fillId="0" borderId="0" xfId="0" applyNumberFormat="1"/>
    <xf numFmtId="10" fontId="3" fillId="0" borderId="4" xfId="0" applyNumberFormat="1" applyFont="1" applyBorder="1" applyAlignment="1">
      <alignment horizontal="justify" vertical="center" wrapText="1"/>
    </xf>
    <xf numFmtId="9" fontId="0" fillId="0" borderId="0" xfId="0" applyNumberForma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2" fillId="2" borderId="0" xfId="0" applyFont="1" applyFill="1"/>
    <xf numFmtId="0" fontId="2" fillId="0" borderId="9" xfId="0" applyFont="1" applyBorder="1"/>
    <xf numFmtId="10" fontId="2" fillId="0" borderId="10" xfId="1" applyNumberFormat="1" applyFont="1" applyBorder="1"/>
    <xf numFmtId="10" fontId="2" fillId="0" borderId="3" xfId="1" applyNumberFormat="1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10" fontId="2" fillId="0" borderId="7" xfId="1" applyNumberFormat="1" applyFont="1" applyBorder="1"/>
    <xf numFmtId="10" fontId="2" fillId="0" borderId="0" xfId="1" applyNumberFormat="1" applyFont="1" applyBorder="1"/>
    <xf numFmtId="10" fontId="2" fillId="0" borderId="8" xfId="1" applyNumberFormat="1" applyFont="1" applyBorder="1"/>
    <xf numFmtId="10" fontId="2" fillId="0" borderId="14" xfId="1" applyNumberFormat="1" applyFont="1" applyBorder="1"/>
    <xf numFmtId="10" fontId="2" fillId="0" borderId="15" xfId="1" applyNumberFormat="1" applyFont="1" applyBorder="1"/>
    <xf numFmtId="10" fontId="2" fillId="0" borderId="4" xfId="1" applyNumberFormat="1" applyFont="1" applyBorder="1"/>
    <xf numFmtId="2" fontId="2" fillId="0" borderId="7" xfId="0" applyNumberFormat="1" applyFont="1" applyBorder="1"/>
    <xf numFmtId="2" fontId="2" fillId="0" borderId="0" xfId="0" applyNumberFormat="1" applyFont="1" applyBorder="1"/>
    <xf numFmtId="2" fontId="2" fillId="0" borderId="8" xfId="0" applyNumberFormat="1" applyFont="1" applyBorder="1"/>
    <xf numFmtId="2" fontId="2" fillId="0" borderId="14" xfId="0" applyNumberFormat="1" applyFont="1" applyBorder="1"/>
    <xf numFmtId="2" fontId="2" fillId="0" borderId="15" xfId="0" applyNumberFormat="1" applyFont="1" applyBorder="1"/>
    <xf numFmtId="2" fontId="2" fillId="0" borderId="4" xfId="0" applyNumberFormat="1" applyFont="1" applyBorder="1"/>
    <xf numFmtId="0" fontId="2" fillId="3" borderId="0" xfId="0" applyFont="1" applyFill="1"/>
    <xf numFmtId="10" fontId="7" fillId="0" borderId="0" xfId="1" applyNumberFormat="1" applyFont="1"/>
    <xf numFmtId="0" fontId="7" fillId="0" borderId="0" xfId="0" applyFont="1"/>
    <xf numFmtId="0" fontId="8" fillId="0" borderId="0" xfId="0" applyFont="1"/>
    <xf numFmtId="0" fontId="0" fillId="0" borderId="0" xfId="0" applyAlignment="1">
      <alignment horizontal="center"/>
    </xf>
    <xf numFmtId="0" fontId="4" fillId="0" borderId="6" xfId="0" applyFont="1" applyBorder="1" applyAlignment="1">
      <alignment horizontal="justify" vertical="center"/>
    </xf>
    <xf numFmtId="0" fontId="4" fillId="0" borderId="5" xfId="0" applyFont="1" applyBorder="1" applyAlignment="1">
      <alignment horizontal="justify" vertical="center"/>
    </xf>
    <xf numFmtId="0" fontId="4" fillId="0" borderId="2" xfId="0" applyFont="1" applyBorder="1" applyAlignment="1">
      <alignment horizontal="justify" vertical="center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3</xdr:col>
      <xdr:colOff>180975</xdr:colOff>
      <xdr:row>2</xdr:row>
      <xdr:rowOff>180975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0525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2</xdr:row>
      <xdr:rowOff>0</xdr:rowOff>
    </xdr:from>
    <xdr:to>
      <xdr:col>4</xdr:col>
      <xdr:colOff>180975</xdr:colOff>
      <xdr:row>2</xdr:row>
      <xdr:rowOff>180975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90525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</xdr:row>
      <xdr:rowOff>0</xdr:rowOff>
    </xdr:from>
    <xdr:to>
      <xdr:col>5</xdr:col>
      <xdr:colOff>180975</xdr:colOff>
      <xdr:row>2</xdr:row>
      <xdr:rowOff>180975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90525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19050</xdr:colOff>
      <xdr:row>0</xdr:row>
      <xdr:rowOff>0</xdr:rowOff>
    </xdr:from>
    <xdr:to>
      <xdr:col>18</xdr:col>
      <xdr:colOff>257175</xdr:colOff>
      <xdr:row>13</xdr:row>
      <xdr:rowOff>152400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5450" y="0"/>
          <a:ext cx="5724525" cy="262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9"/>
  <sheetViews>
    <sheetView tabSelected="1" topLeftCell="A4" workbookViewId="0">
      <selection activeCell="J18" sqref="J18"/>
    </sheetView>
  </sheetViews>
  <sheetFormatPr defaultRowHeight="15" x14ac:dyDescent="0.25"/>
  <cols>
    <col min="3" max="3" width="11.85546875" bestFit="1" customWidth="1"/>
    <col min="12" max="12" width="12.7109375" bestFit="1" customWidth="1"/>
  </cols>
  <sheetData>
    <row r="2" spans="2:18" ht="15.75" thickBot="1" x14ac:dyDescent="0.3"/>
    <row r="3" spans="2:18" ht="32.25" customHeight="1" thickBot="1" x14ac:dyDescent="0.3">
      <c r="C3" s="1" t="s">
        <v>0</v>
      </c>
      <c r="D3" s="2"/>
      <c r="E3" s="2"/>
      <c r="F3" s="2"/>
      <c r="G3" s="3" t="s">
        <v>1</v>
      </c>
      <c r="K3" s="1" t="s">
        <v>12</v>
      </c>
      <c r="L3" s="3" t="s">
        <v>13</v>
      </c>
      <c r="M3" s="3" t="s">
        <v>14</v>
      </c>
      <c r="N3" s="3" t="s">
        <v>15</v>
      </c>
    </row>
    <row r="4" spans="2:18" ht="32.25" thickBot="1" x14ac:dyDescent="0.3">
      <c r="C4" s="4" t="s">
        <v>2</v>
      </c>
      <c r="D4" s="5">
        <v>0.3</v>
      </c>
      <c r="E4" s="5">
        <v>-0.1</v>
      </c>
      <c r="F4" s="5">
        <v>-0.7</v>
      </c>
      <c r="G4" s="5" t="s">
        <v>3</v>
      </c>
      <c r="K4" s="4" t="s">
        <v>16</v>
      </c>
      <c r="L4" s="15">
        <v>4.1000000000000003E-3</v>
      </c>
      <c r="M4" s="15">
        <v>2.8E-3</v>
      </c>
      <c r="N4" s="15">
        <v>2.2000000000000001E-3</v>
      </c>
    </row>
    <row r="5" spans="2:18" ht="32.25" thickBot="1" x14ac:dyDescent="0.3">
      <c r="C5" s="4" t="s">
        <v>4</v>
      </c>
      <c r="D5" s="5">
        <v>0.7</v>
      </c>
      <c r="E5" s="5">
        <v>-0.2</v>
      </c>
      <c r="F5" s="5">
        <v>0.2</v>
      </c>
      <c r="G5" s="5" t="s">
        <v>3</v>
      </c>
      <c r="K5" s="4" t="s">
        <v>17</v>
      </c>
      <c r="L5" s="15">
        <v>1.1999999999999999E-3</v>
      </c>
      <c r="M5" s="15">
        <v>2.3999999999999998E-3</v>
      </c>
      <c r="N5" s="15">
        <v>2.3999999999999998E-3</v>
      </c>
    </row>
    <row r="8" spans="2:18" ht="15.75" thickBot="1" x14ac:dyDescent="0.3">
      <c r="G8" s="17">
        <v>1</v>
      </c>
      <c r="H8" s="17">
        <v>1</v>
      </c>
      <c r="I8" s="17">
        <v>1.5</v>
      </c>
      <c r="J8" s="17">
        <v>1.5</v>
      </c>
      <c r="K8" s="17">
        <v>1</v>
      </c>
      <c r="L8" s="17">
        <v>2</v>
      </c>
      <c r="M8" s="17">
        <v>2</v>
      </c>
      <c r="N8" s="17">
        <v>1</v>
      </c>
      <c r="O8" s="17">
        <v>1</v>
      </c>
      <c r="P8" s="17">
        <v>2</v>
      </c>
      <c r="Q8" s="17">
        <v>2</v>
      </c>
      <c r="R8" s="17">
        <v>2</v>
      </c>
    </row>
    <row r="9" spans="2:18" ht="16.5" thickBot="1" x14ac:dyDescent="0.3">
      <c r="C9" s="6"/>
      <c r="D9" s="44" t="s">
        <v>5</v>
      </c>
      <c r="E9" s="45"/>
      <c r="F9" s="46"/>
      <c r="G9" s="47" t="s">
        <v>8</v>
      </c>
      <c r="H9" s="48"/>
      <c r="I9" s="43"/>
      <c r="J9" s="43"/>
      <c r="L9" s="43" t="s">
        <v>18</v>
      </c>
      <c r="M9" s="43"/>
      <c r="N9" s="43" t="s">
        <v>19</v>
      </c>
      <c r="O9" s="43"/>
      <c r="P9" s="43" t="s">
        <v>20</v>
      </c>
      <c r="Q9" s="43"/>
      <c r="R9" t="s">
        <v>21</v>
      </c>
    </row>
    <row r="10" spans="2:18" ht="32.25" thickBot="1" x14ac:dyDescent="0.3">
      <c r="C10" s="7" t="s">
        <v>6</v>
      </c>
      <c r="D10" s="8" t="s">
        <v>2</v>
      </c>
      <c r="E10" s="8" t="s">
        <v>4</v>
      </c>
      <c r="F10" s="8" t="s">
        <v>7</v>
      </c>
      <c r="G10" s="10" t="s">
        <v>2</v>
      </c>
      <c r="H10" s="10" t="s">
        <v>4</v>
      </c>
      <c r="I10" s="11" t="s">
        <v>9</v>
      </c>
      <c r="J10" s="11" t="s">
        <v>10</v>
      </c>
      <c r="K10" s="11" t="s">
        <v>11</v>
      </c>
      <c r="L10" s="11" t="s">
        <v>2</v>
      </c>
      <c r="M10" s="11" t="s">
        <v>4</v>
      </c>
      <c r="N10" s="11" t="s">
        <v>2</v>
      </c>
      <c r="O10" s="11" t="s">
        <v>4</v>
      </c>
      <c r="P10" s="11" t="s">
        <v>2</v>
      </c>
      <c r="Q10" s="11" t="s">
        <v>4</v>
      </c>
    </row>
    <row r="11" spans="2:18" ht="16.5" thickBot="1" x14ac:dyDescent="0.3">
      <c r="C11" s="9">
        <v>44853</v>
      </c>
      <c r="D11" s="8">
        <v>83149</v>
      </c>
      <c r="E11" s="8">
        <v>2541</v>
      </c>
      <c r="F11" s="8">
        <v>17512</v>
      </c>
    </row>
    <row r="12" spans="2:18" ht="16.5" thickBot="1" x14ac:dyDescent="0.3">
      <c r="C12" s="9">
        <v>44854</v>
      </c>
      <c r="D12" s="8">
        <v>84172</v>
      </c>
      <c r="E12" s="8">
        <v>2566</v>
      </c>
      <c r="F12" s="8">
        <v>17564</v>
      </c>
    </row>
    <row r="13" spans="2:18" ht="16.5" thickBot="1" x14ac:dyDescent="0.3">
      <c r="B13">
        <v>-1</v>
      </c>
      <c r="C13" s="9">
        <v>44855</v>
      </c>
      <c r="D13" s="8">
        <v>86225</v>
      </c>
      <c r="E13" s="8">
        <v>2570</v>
      </c>
      <c r="F13" s="8">
        <v>17576</v>
      </c>
      <c r="G13" s="13">
        <f>LN(D13/D12)</f>
        <v>2.4097834446527647E-2</v>
      </c>
      <c r="H13" s="13">
        <f>LN(E13/E12)</f>
        <v>1.5576327136836792E-3</v>
      </c>
      <c r="I13" s="14">
        <f>(AVERAGE(L4:N4) - AVERAGE(L5:N5))</f>
        <v>1.0333333333333336E-3</v>
      </c>
      <c r="J13" s="14">
        <f>(AVERAGE(L4:L5)-AVERAGE(N4:N5))</f>
        <v>3.5000000000000005E-4</v>
      </c>
      <c r="K13" s="13">
        <f>(LN(F13/F12))-0.02%</f>
        <v>4.8298238283808346E-4</v>
      </c>
      <c r="L13" s="13">
        <f>0.02% + $D$4*(K13) + $E$4*I13+$F$4*J13</f>
        <v>-3.4386184819084047E-6</v>
      </c>
      <c r="M13" s="13">
        <f>0.02% + $D$5*(K13) + $E$5*I13+$F$5*J13</f>
        <v>4.014210013199917E-4</v>
      </c>
      <c r="N13" s="14">
        <f>G13-L13</f>
        <v>2.4101273065009556E-2</v>
      </c>
      <c r="O13" s="14">
        <f>H13-M13</f>
        <v>1.1562117123636874E-3</v>
      </c>
      <c r="P13" s="14">
        <f>N13</f>
        <v>2.4101273065009556E-2</v>
      </c>
      <c r="Q13" s="14">
        <f>O13</f>
        <v>1.1562117123636874E-3</v>
      </c>
      <c r="R13" s="14">
        <f>AVERAGE(P13:Q13)</f>
        <v>1.2628742388686621E-2</v>
      </c>
    </row>
    <row r="14" spans="2:18" ht="16.5" thickBot="1" x14ac:dyDescent="0.3">
      <c r="B14">
        <v>0</v>
      </c>
      <c r="C14" s="9">
        <v>44858</v>
      </c>
      <c r="D14" s="8">
        <v>86292</v>
      </c>
      <c r="E14" s="8">
        <v>2582</v>
      </c>
      <c r="F14" s="8">
        <v>17731</v>
      </c>
      <c r="G14" s="13">
        <f>LN(D14/D13)</f>
        <v>7.767350854526433E-4</v>
      </c>
      <c r="H14" s="13">
        <f>LN(E14/E13)</f>
        <v>4.6583935173223102E-3</v>
      </c>
      <c r="I14" s="14">
        <f>I13</f>
        <v>1.0333333333333336E-3</v>
      </c>
      <c r="J14" s="14">
        <f>J13</f>
        <v>3.5000000000000005E-4</v>
      </c>
      <c r="K14" s="13">
        <f>(LN(F14/F13))-0.02%</f>
        <v>8.5801849925423723E-3</v>
      </c>
      <c r="L14" s="13">
        <f t="shared" ref="L14:L15" si="0">0.02% + $D$4*(K14) + $E$4*I14+$F$4*J14</f>
        <v>2.4257221644293785E-3</v>
      </c>
      <c r="M14" s="13">
        <f t="shared" ref="M14:M15" si="1">0.02% + $D$5*(K14) + $E$5*I14+$F$5*J14</f>
        <v>6.0694628281129934E-3</v>
      </c>
      <c r="N14" s="14">
        <f t="shared" ref="N14:N15" si="2">G14-L14</f>
        <v>-1.6489870789767351E-3</v>
      </c>
      <c r="O14" s="14">
        <f t="shared" ref="O14:O15" si="3">H14-M14</f>
        <v>-1.4110693107906832E-3</v>
      </c>
      <c r="P14" s="14">
        <f>N14+P13</f>
        <v>2.245228598603282E-2</v>
      </c>
      <c r="Q14" s="14">
        <f>O14+Q13</f>
        <v>-2.5485759842699572E-4</v>
      </c>
      <c r="R14" s="14">
        <f t="shared" ref="R14:R15" si="4">AVERAGE(P14:Q14)</f>
        <v>1.1098714193802912E-2</v>
      </c>
    </row>
    <row r="15" spans="2:18" ht="16.5" thickBot="1" x14ac:dyDescent="0.3">
      <c r="B15">
        <v>1</v>
      </c>
      <c r="C15" s="9">
        <v>44859</v>
      </c>
      <c r="D15" s="8">
        <v>87343</v>
      </c>
      <c r="E15" s="8">
        <v>2586</v>
      </c>
      <c r="F15" s="8">
        <v>17656</v>
      </c>
      <c r="G15" s="13">
        <f t="shared" ref="G15:H15" si="5">LN(D15/D14)</f>
        <v>1.210600208217417E-2</v>
      </c>
      <c r="H15" s="13">
        <f t="shared" si="5"/>
        <v>1.5479879252149533E-3</v>
      </c>
      <c r="I15" s="14">
        <f>I14</f>
        <v>1.0333333333333336E-3</v>
      </c>
      <c r="J15" s="14">
        <f>J14</f>
        <v>3.5000000000000005E-4</v>
      </c>
      <c r="K15" s="13">
        <f>(LN(F15/F14))-0.02%</f>
        <v>-4.4388511204162028E-3</v>
      </c>
      <c r="L15" s="13">
        <f t="shared" si="0"/>
        <v>-1.479988669458194E-3</v>
      </c>
      <c r="M15" s="13">
        <f t="shared" si="1"/>
        <v>-3.043862450958008E-3</v>
      </c>
      <c r="N15" s="14">
        <f t="shared" si="2"/>
        <v>1.3585990751632363E-2</v>
      </c>
      <c r="O15" s="14">
        <f t="shared" si="3"/>
        <v>4.5918503761729615E-3</v>
      </c>
      <c r="P15" s="14">
        <f>N15+P14</f>
        <v>3.6038276737665187E-2</v>
      </c>
      <c r="Q15" s="14">
        <f>O15+Q14</f>
        <v>4.3369927777459662E-3</v>
      </c>
      <c r="R15" s="14">
        <f t="shared" si="4"/>
        <v>2.0187634757705575E-2</v>
      </c>
    </row>
    <row r="16" spans="2:18" ht="16.5" thickBot="1" x14ac:dyDescent="0.3">
      <c r="C16" s="9">
        <v>44861</v>
      </c>
      <c r="D16" s="8">
        <v>87363</v>
      </c>
      <c r="E16" s="8">
        <v>2611</v>
      </c>
      <c r="F16" s="8">
        <v>17737</v>
      </c>
      <c r="J16" s="14"/>
      <c r="N16" s="14"/>
      <c r="O16" s="14"/>
      <c r="R16" s="14"/>
    </row>
    <row r="17" spans="7:11" x14ac:dyDescent="0.25">
      <c r="G17" s="13"/>
      <c r="J17" s="17">
        <v>2</v>
      </c>
      <c r="K17" t="s">
        <v>33</v>
      </c>
    </row>
    <row r="18" spans="7:11" x14ac:dyDescent="0.25">
      <c r="G18" s="13"/>
      <c r="J18" s="41" t="s">
        <v>53</v>
      </c>
    </row>
    <row r="19" spans="7:11" x14ac:dyDescent="0.25">
      <c r="G19" s="13"/>
    </row>
  </sheetData>
  <mergeCells count="6">
    <mergeCell ref="P9:Q9"/>
    <mergeCell ref="D9:F9"/>
    <mergeCell ref="G9:H9"/>
    <mergeCell ref="I9:J9"/>
    <mergeCell ref="L9:M9"/>
    <mergeCell ref="N9:O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26"/>
  <sheetViews>
    <sheetView workbookViewId="0">
      <selection activeCell="C4" sqref="C4"/>
    </sheetView>
  </sheetViews>
  <sheetFormatPr defaultRowHeight="15" x14ac:dyDescent="0.25"/>
  <cols>
    <col min="3" max="3" width="58" bestFit="1" customWidth="1"/>
  </cols>
  <sheetData>
    <row r="4" spans="2:5" x14ac:dyDescent="0.25">
      <c r="C4" s="19" t="s">
        <v>37</v>
      </c>
    </row>
    <row r="5" spans="2:5" x14ac:dyDescent="0.25">
      <c r="B5">
        <v>2.1</v>
      </c>
      <c r="C5" t="s">
        <v>34</v>
      </c>
    </row>
    <row r="6" spans="2:5" x14ac:dyDescent="0.25">
      <c r="C6" t="s">
        <v>39</v>
      </c>
    </row>
    <row r="7" spans="2:5" x14ac:dyDescent="0.25">
      <c r="C7" t="s">
        <v>35</v>
      </c>
      <c r="D7" s="19" t="s">
        <v>49</v>
      </c>
    </row>
    <row r="8" spans="2:5" x14ac:dyDescent="0.25">
      <c r="C8" s="18" t="s">
        <v>36</v>
      </c>
      <c r="D8" s="19" t="s">
        <v>50</v>
      </c>
    </row>
    <row r="10" spans="2:5" x14ac:dyDescent="0.25">
      <c r="B10">
        <v>2.2000000000000002</v>
      </c>
      <c r="C10" t="s">
        <v>38</v>
      </c>
    </row>
    <row r="12" spans="2:5" x14ac:dyDescent="0.25">
      <c r="C12" s="20" t="s">
        <v>43</v>
      </c>
      <c r="D12" s="20">
        <v>100</v>
      </c>
      <c r="E12" s="20">
        <v>30</v>
      </c>
    </row>
    <row r="13" spans="2:5" x14ac:dyDescent="0.25">
      <c r="C13" t="s">
        <v>40</v>
      </c>
      <c r="D13">
        <f>100-50</f>
        <v>50</v>
      </c>
      <c r="E13">
        <f>30-50</f>
        <v>-20</v>
      </c>
    </row>
    <row r="14" spans="2:5" x14ac:dyDescent="0.25">
      <c r="C14" t="s">
        <v>41</v>
      </c>
      <c r="D14">
        <f>75-100</f>
        <v>-25</v>
      </c>
      <c r="E14">
        <f>75-30</f>
        <v>45</v>
      </c>
    </row>
    <row r="16" spans="2:5" x14ac:dyDescent="0.25">
      <c r="C16" s="18" t="s">
        <v>42</v>
      </c>
      <c r="D16" s="18">
        <f>15000*SUM(D13:D14)</f>
        <v>375000</v>
      </c>
      <c r="E16" s="18">
        <f>15000*SUM(E13:E14)</f>
        <v>375000</v>
      </c>
    </row>
    <row r="17" spans="2:5" x14ac:dyDescent="0.25">
      <c r="D17" s="19">
        <v>3</v>
      </c>
      <c r="E17" s="19">
        <v>3</v>
      </c>
    </row>
    <row r="19" spans="2:5" x14ac:dyDescent="0.25">
      <c r="B19" s="39" t="s">
        <v>46</v>
      </c>
      <c r="C19" s="18" t="s">
        <v>44</v>
      </c>
    </row>
    <row r="21" spans="2:5" x14ac:dyDescent="0.25">
      <c r="C21" s="20" t="s">
        <v>43</v>
      </c>
      <c r="D21" s="20">
        <v>100</v>
      </c>
      <c r="E21" s="20">
        <v>30</v>
      </c>
    </row>
    <row r="22" spans="2:5" x14ac:dyDescent="0.25">
      <c r="C22" t="s">
        <v>40</v>
      </c>
      <c r="D22">
        <f>100-50</f>
        <v>50</v>
      </c>
      <c r="E22">
        <f>30-50</f>
        <v>-20</v>
      </c>
    </row>
    <row r="23" spans="2:5" x14ac:dyDescent="0.25">
      <c r="C23" t="s">
        <v>41</v>
      </c>
      <c r="D23">
        <f>75-100</f>
        <v>-25</v>
      </c>
      <c r="E23">
        <f>(75-30)*80%</f>
        <v>36</v>
      </c>
    </row>
    <row r="25" spans="2:5" x14ac:dyDescent="0.25">
      <c r="C25" s="18" t="s">
        <v>45</v>
      </c>
      <c r="D25" s="18">
        <f>15000*SUM(D22:D23)</f>
        <v>375000</v>
      </c>
      <c r="E25" s="18">
        <f>15000*SUM(E22:E23)</f>
        <v>240000</v>
      </c>
    </row>
    <row r="26" spans="2:5" x14ac:dyDescent="0.25">
      <c r="D26" s="19">
        <v>3</v>
      </c>
      <c r="E26" s="19">
        <v>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F10"/>
  <sheetViews>
    <sheetView workbookViewId="0">
      <selection activeCell="F9" sqref="F9:F18"/>
    </sheetView>
  </sheetViews>
  <sheetFormatPr defaultRowHeight="15" x14ac:dyDescent="0.25"/>
  <sheetData>
    <row r="6" spans="4:6" ht="15.75" x14ac:dyDescent="0.25">
      <c r="D6" s="42" t="s">
        <v>52</v>
      </c>
    </row>
    <row r="10" spans="4:6" x14ac:dyDescent="0.25">
      <c r="F10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T25"/>
  <sheetViews>
    <sheetView workbookViewId="0">
      <selection activeCell="I16" sqref="I16"/>
    </sheetView>
  </sheetViews>
  <sheetFormatPr defaultRowHeight="15" x14ac:dyDescent="0.25"/>
  <cols>
    <col min="11" max="13" width="10.5703125" bestFit="1" customWidth="1"/>
  </cols>
  <sheetData>
    <row r="4" spans="2:16" x14ac:dyDescent="0.25">
      <c r="J4" t="s">
        <v>27</v>
      </c>
      <c r="K4" t="s">
        <v>26</v>
      </c>
      <c r="L4" t="s">
        <v>28</v>
      </c>
    </row>
    <row r="5" spans="2:16" ht="15.75" thickBot="1" x14ac:dyDescent="0.3">
      <c r="B5" t="s">
        <v>22</v>
      </c>
      <c r="D5" t="s">
        <v>23</v>
      </c>
      <c r="H5" t="s">
        <v>25</v>
      </c>
      <c r="J5" t="s">
        <v>24</v>
      </c>
      <c r="N5" t="s">
        <v>29</v>
      </c>
    </row>
    <row r="6" spans="2:16" ht="16.5" thickBot="1" x14ac:dyDescent="0.3">
      <c r="B6" s="13">
        <f>0.1%*12</f>
        <v>1.2E-2</v>
      </c>
      <c r="D6" s="1">
        <v>0.3</v>
      </c>
      <c r="E6" s="3">
        <v>0.6</v>
      </c>
      <c r="F6" s="3">
        <v>0.5</v>
      </c>
      <c r="H6" s="12">
        <f>8%</f>
        <v>0.08</v>
      </c>
      <c r="I6" t="s">
        <v>27</v>
      </c>
      <c r="J6" s="13">
        <f>20%*20%</f>
        <v>4.0000000000000008E-2</v>
      </c>
      <c r="K6" s="13">
        <f>-0.2*20%*15%</f>
        <v>-6.000000000000001E-3</v>
      </c>
      <c r="L6" s="13">
        <f>J8</f>
        <v>7.1999999999999998E-3</v>
      </c>
      <c r="N6" s="13">
        <f>1%*1%*12</f>
        <v>1.2000000000000001E-3</v>
      </c>
      <c r="O6" s="13">
        <v>0</v>
      </c>
      <c r="P6" s="13">
        <v>0</v>
      </c>
    </row>
    <row r="7" spans="2:16" ht="16.5" thickBot="1" x14ac:dyDescent="0.3">
      <c r="B7" s="13">
        <f>1.6%*12</f>
        <v>0.192</v>
      </c>
      <c r="D7" s="4">
        <v>0.5</v>
      </c>
      <c r="E7" s="5">
        <v>0.2</v>
      </c>
      <c r="F7" s="5">
        <v>0.6</v>
      </c>
      <c r="H7" s="16">
        <v>0.1</v>
      </c>
      <c r="I7" t="s">
        <v>26</v>
      </c>
      <c r="J7" s="13">
        <f>K6</f>
        <v>-6.000000000000001E-3</v>
      </c>
      <c r="K7" s="13">
        <f>15%*15%</f>
        <v>2.2499999999999999E-2</v>
      </c>
      <c r="L7" s="13">
        <f>K8</f>
        <v>-1.8E-3</v>
      </c>
      <c r="N7" s="13">
        <v>0</v>
      </c>
      <c r="O7" s="13">
        <f>2%*2%*12</f>
        <v>4.8000000000000004E-3</v>
      </c>
      <c r="P7" s="13">
        <v>0</v>
      </c>
    </row>
    <row r="8" spans="2:16" ht="16.5" thickBot="1" x14ac:dyDescent="0.3">
      <c r="B8" s="13">
        <f>0.8%*12</f>
        <v>9.6000000000000002E-2</v>
      </c>
      <c r="D8" s="4">
        <v>-0.7</v>
      </c>
      <c r="E8" s="5">
        <v>0.5</v>
      </c>
      <c r="F8" s="5">
        <v>0.2</v>
      </c>
      <c r="H8" s="16">
        <v>0.12</v>
      </c>
      <c r="I8" t="s">
        <v>28</v>
      </c>
      <c r="J8" s="13">
        <f>0.3*12%*20%</f>
        <v>7.1999999999999998E-3</v>
      </c>
      <c r="K8" s="13">
        <f>-0.1*15%*12%</f>
        <v>-1.8E-3</v>
      </c>
      <c r="L8" s="13">
        <f>12%*12%</f>
        <v>1.44E-2</v>
      </c>
      <c r="N8" s="13">
        <v>0</v>
      </c>
      <c r="O8" s="13">
        <v>0</v>
      </c>
      <c r="P8" s="13">
        <f>3%*3%*12</f>
        <v>1.0800000000000001E-2</v>
      </c>
    </row>
    <row r="9" spans="2:16" ht="15.75" thickBot="1" x14ac:dyDescent="0.3"/>
    <row r="10" spans="2:16" x14ac:dyDescent="0.25">
      <c r="G10" s="19" t="s">
        <v>37</v>
      </c>
      <c r="H10" s="21" t="s">
        <v>47</v>
      </c>
      <c r="J10" s="24" t="s">
        <v>31</v>
      </c>
      <c r="K10" s="19" t="s">
        <v>37</v>
      </c>
      <c r="L10" s="26"/>
    </row>
    <row r="11" spans="2:16" x14ac:dyDescent="0.25">
      <c r="F11" t="s">
        <v>30</v>
      </c>
      <c r="H11" s="22">
        <f t="array" ref="H11:H13">B6:B8+MMULT(D6:F8,H6:H8)</f>
        <v>0.156</v>
      </c>
      <c r="J11" s="27">
        <f t="array" ref="J11:L13">MMULT(D6:F8,MMULT(J6:L8,TRANSPOSE(D6:F8)))+N6:P8</f>
        <v>1.542E-2</v>
      </c>
      <c r="K11" s="28">
        <v>1.3128000000000001E-2</v>
      </c>
      <c r="L11" s="29">
        <v>-1.3440000000000008E-3</v>
      </c>
    </row>
    <row r="12" spans="2:16" x14ac:dyDescent="0.25">
      <c r="H12" s="22">
        <v>0.32400000000000001</v>
      </c>
      <c r="J12" s="27">
        <v>1.3128000000000001E-2</v>
      </c>
      <c r="K12" s="28">
        <v>2.3572000000000003E-2</v>
      </c>
      <c r="L12" s="29">
        <v>-1.3598000000000001E-2</v>
      </c>
    </row>
    <row r="13" spans="2:16" ht="15.75" thickBot="1" x14ac:dyDescent="0.3">
      <c r="H13" s="23">
        <v>0.11400000000000002</v>
      </c>
      <c r="J13" s="30">
        <v>-1.3439999999999993E-3</v>
      </c>
      <c r="K13" s="31">
        <v>-1.3598000000000006E-2</v>
      </c>
      <c r="L13" s="32">
        <v>3.8425000000000001E-2</v>
      </c>
    </row>
    <row r="15" spans="2:16" ht="15.75" thickBot="1" x14ac:dyDescent="0.3">
      <c r="H15" s="19" t="s">
        <v>37</v>
      </c>
      <c r="K15" s="19" t="s">
        <v>49</v>
      </c>
    </row>
    <row r="16" spans="2:16" x14ac:dyDescent="0.25">
      <c r="H16" s="21" t="s">
        <v>48</v>
      </c>
      <c r="K16" s="24" t="s">
        <v>32</v>
      </c>
      <c r="L16" s="25"/>
      <c r="M16" s="26"/>
    </row>
    <row r="17" spans="8:20" x14ac:dyDescent="0.25">
      <c r="H17" s="22">
        <f>SQRT(J11)</f>
        <v>0.12417729261020309</v>
      </c>
      <c r="K17" s="33">
        <v>1</v>
      </c>
      <c r="L17" s="34">
        <f>K11/(H17*H18)</f>
        <v>0.68858596255700188</v>
      </c>
      <c r="M17" s="35">
        <f>K19</f>
        <v>-5.5214118599172204E-2</v>
      </c>
    </row>
    <row r="18" spans="8:20" x14ac:dyDescent="0.25">
      <c r="H18" s="22">
        <f>SQRT(K12)</f>
        <v>0.15353175567289004</v>
      </c>
      <c r="K18" s="33">
        <f>L17</f>
        <v>0.68858596255700188</v>
      </c>
      <c r="L18" s="34">
        <v>1</v>
      </c>
      <c r="M18" s="35">
        <f>L19</f>
        <v>-0.45182461014953634</v>
      </c>
    </row>
    <row r="19" spans="8:20" ht="15.75" thickBot="1" x14ac:dyDescent="0.3">
      <c r="H19" s="23">
        <f>SQRT(L13)</f>
        <v>0.1960229578391266</v>
      </c>
      <c r="K19" s="36">
        <f>J13/(H19*H17)</f>
        <v>-5.5214118599172204E-2</v>
      </c>
      <c r="L19" s="37">
        <f>K13/(H19*H18)</f>
        <v>-0.45182461014953634</v>
      </c>
      <c r="M19" s="38">
        <v>1</v>
      </c>
      <c r="T19" s="14"/>
    </row>
    <row r="21" spans="8:20" x14ac:dyDescent="0.25">
      <c r="K21" s="19" t="s">
        <v>50</v>
      </c>
    </row>
    <row r="22" spans="8:20" x14ac:dyDescent="0.25">
      <c r="K22" s="19" t="s">
        <v>51</v>
      </c>
    </row>
    <row r="23" spans="8:20" x14ac:dyDescent="0.25">
      <c r="J23" s="13"/>
      <c r="K23" s="40" t="s">
        <v>54</v>
      </c>
      <c r="L23" s="13"/>
    </row>
    <row r="24" spans="8:20" x14ac:dyDescent="0.25">
      <c r="J24" s="13"/>
      <c r="K24" s="13"/>
      <c r="L24" s="13"/>
    </row>
    <row r="25" spans="8:20" x14ac:dyDescent="0.25">
      <c r="H25">
        <v>4.4000000000000004</v>
      </c>
      <c r="I25" s="18" t="s">
        <v>52</v>
      </c>
      <c r="J25" s="13"/>
      <c r="K25" s="13"/>
      <c r="L2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Q1</vt:lpstr>
      <vt:lpstr>Q2</vt:lpstr>
      <vt:lpstr>Q3</vt:lpstr>
      <vt:lpstr>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2022-11-11T07:43:04Z</dcterms:modified>
</cp:coreProperties>
</file>