
<file path=[Content_Types].xml><?xml version="1.0" encoding="utf-8"?>
<Types xmlns="http://schemas.openxmlformats.org/package/2006/content-types">
  <Default Extension="jfif" ContentType="image/jpeg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Q2.1" sheetId="3" r:id="rId1"/>
    <sheet name="Q2.2" sheetId="6" r:id="rId2"/>
    <sheet name="Q2.3" sheetId="9" r:id="rId3"/>
    <sheet name="Q2.4" sheetId="13" r:id="rId4"/>
    <sheet name="Q2.5" sheetId="12" r:id="rId5"/>
    <sheet name="Q3" sheetId="15" r:id="rId6"/>
    <sheet name="Q4" sheetId="16" r:id="rId7"/>
    <sheet name="Q5" sheetId="18" r:id="rId8"/>
  </sheets>
  <definedNames>
    <definedName name="solver_adj" localSheetId="0" hidden="1">Q2.1!$E$2:$E$3</definedName>
    <definedName name="solver_adj" localSheetId="1" hidden="1">Q2.2!$E$54:$E$55</definedName>
    <definedName name="solver_adj" localSheetId="2" hidden="1">Q2.3!$J$4:$J$5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2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Q2.1!$C$10</definedName>
    <definedName name="solver_lhs1" localSheetId="1" hidden="1">Q2.2!$C$65</definedName>
    <definedName name="solver_lhs1" localSheetId="2" hidden="1">Q2.3!$J$11</definedName>
    <definedName name="solver_lhs2" localSheetId="1" hidden="1">Q2.2!$E$54:$E$55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2</definedName>
    <definedName name="solver_num" localSheetId="2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Q2.1!$C$8</definedName>
    <definedName name="solver_opt" localSheetId="1" hidden="1">Q2.2!$C$63</definedName>
    <definedName name="solver_opt" localSheetId="2" hidden="1">Q2.3!$J$15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2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el2" localSheetId="1" hidden="1">3</definedName>
    <definedName name="solver_rhs1" localSheetId="0" hidden="1">1</definedName>
    <definedName name="solver_rhs1" localSheetId="1" hidden="1">1</definedName>
    <definedName name="solver_rhs1" localSheetId="2" hidden="1">100%</definedName>
    <definedName name="solver_rhs2" localSheetId="1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3</definedName>
    <definedName name="solver_typ" localSheetId="1" hidden="1">2</definedName>
    <definedName name="solver_typ" localSheetId="2" hidden="1">1</definedName>
    <definedName name="solver_val" localSheetId="0" hidden="1">0.07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5" i="18" l="1"/>
  <c r="G15" i="3" l="1"/>
  <c r="F15" i="3"/>
  <c r="J11" i="18" a="1"/>
  <c r="J11" i="18" s="1"/>
  <c r="H8" i="18"/>
  <c r="H7" i="18"/>
  <c r="N6" i="18"/>
  <c r="R14" i="18"/>
  <c r="C42" i="16"/>
  <c r="C41" i="16"/>
  <c r="C24" i="16"/>
  <c r="C23" i="16" a="1"/>
  <c r="C23" i="16" s="1"/>
  <c r="D6" i="16"/>
  <c r="I3" i="16" s="1"/>
  <c r="K13" i="18" l="1"/>
  <c r="J12" i="18"/>
  <c r="L11" i="18"/>
  <c r="L12" i="18"/>
  <c r="K11" i="18"/>
  <c r="J13" i="18"/>
  <c r="L13" i="18"/>
  <c r="K12" i="18"/>
  <c r="K8" i="18"/>
  <c r="J8" i="18"/>
  <c r="K6" i="18"/>
  <c r="P8" i="18"/>
  <c r="O7" i="18"/>
  <c r="J7" i="18"/>
  <c r="L8" i="18"/>
  <c r="K7" i="18"/>
  <c r="J6" i="18"/>
  <c r="B8" i="18"/>
  <c r="B6" i="18"/>
  <c r="B7" i="18"/>
  <c r="L7" i="18" l="1"/>
  <c r="L6" i="18"/>
  <c r="H11" i="18" a="1"/>
  <c r="H13" i="18" l="1"/>
  <c r="H12" i="18"/>
  <c r="H11" i="18"/>
  <c r="H19" i="18"/>
  <c r="H18" i="18"/>
  <c r="H17" i="18"/>
  <c r="L19" i="18" l="1"/>
  <c r="M18" i="18" s="1"/>
  <c r="K19" i="18"/>
  <c r="M17" i="18" s="1"/>
  <c r="L17" i="18"/>
  <c r="K18" i="18" s="1"/>
  <c r="C30" i="16" l="1"/>
  <c r="C29" i="16"/>
  <c r="I5" i="16"/>
  <c r="I4" i="16"/>
  <c r="E21" i="16"/>
  <c r="D20" i="16"/>
  <c r="C19" i="16"/>
  <c r="C31" i="16"/>
  <c r="C21" i="16"/>
  <c r="C20" i="16"/>
  <c r="D19" i="16" s="1"/>
  <c r="C33" i="16" l="1"/>
  <c r="I6" i="16"/>
  <c r="B61" i="15" l="1"/>
  <c r="B62" i="15"/>
  <c r="B64" i="15" s="1"/>
  <c r="B65" i="15" s="1"/>
  <c r="C49" i="15"/>
  <c r="B67" i="15"/>
  <c r="D49" i="15"/>
  <c r="B5" i="15"/>
  <c r="B4" i="15"/>
  <c r="B9" i="15" s="1"/>
  <c r="B12" i="15" l="1"/>
  <c r="B7" i="15"/>
  <c r="C7" i="15"/>
  <c r="D7" i="15" s="1"/>
  <c r="C9" i="15"/>
  <c r="D9" i="15" s="1"/>
  <c r="B11" i="15"/>
  <c r="C12" i="15"/>
  <c r="B8" i="15"/>
  <c r="B10" i="15"/>
  <c r="C11" i="15"/>
  <c r="C8" i="15"/>
  <c r="C10" i="15"/>
  <c r="D12" i="15" l="1"/>
  <c r="D10" i="15"/>
  <c r="D8" i="15"/>
  <c r="D15" i="15" s="1"/>
  <c r="D11" i="15"/>
  <c r="E9" i="15" l="1"/>
  <c r="E12" i="15"/>
  <c r="E7" i="15"/>
  <c r="E10" i="15"/>
  <c r="E11" i="15"/>
  <c r="E8" i="15"/>
  <c r="G11" i="15" l="1"/>
  <c r="F11" i="15"/>
  <c r="F12" i="15"/>
  <c r="G12" i="15"/>
  <c r="G10" i="15"/>
  <c r="F10" i="15"/>
  <c r="G9" i="15"/>
  <c r="F9" i="15"/>
  <c r="G8" i="15"/>
  <c r="F8" i="15"/>
  <c r="F7" i="15"/>
  <c r="G7" i="15"/>
  <c r="G15" i="15" s="1"/>
  <c r="C17" i="15" s="1"/>
  <c r="C20" i="15" s="1"/>
  <c r="F15" i="15" l="1"/>
  <c r="C18" i="12"/>
  <c r="N29" i="13"/>
  <c r="M29" i="13"/>
  <c r="J35" i="13"/>
  <c r="H35" i="13"/>
  <c r="F35" i="13"/>
  <c r="G26" i="13"/>
  <c r="E26" i="13"/>
  <c r="E25" i="13"/>
  <c r="M17" i="13"/>
  <c r="M16" i="13"/>
  <c r="M15" i="13"/>
  <c r="I17" i="13"/>
  <c r="I16" i="13"/>
  <c r="I15" i="13"/>
  <c r="D13" i="12"/>
  <c r="D14" i="12"/>
  <c r="F16" i="15" l="1"/>
  <c r="C19" i="15" s="1"/>
  <c r="C26" i="15" s="1"/>
  <c r="C30" i="15" s="1"/>
  <c r="C16" i="15"/>
  <c r="C51" i="15" s="1"/>
  <c r="K23" i="9"/>
  <c r="J23" i="9"/>
  <c r="I23" i="9"/>
  <c r="K22" i="9"/>
  <c r="J22" i="9"/>
  <c r="I22" i="9"/>
  <c r="J18" i="9"/>
  <c r="J17" i="9"/>
  <c r="J11" i="9"/>
  <c r="M12" i="9"/>
  <c r="N11" i="9"/>
  <c r="N12" i="9"/>
  <c r="M11" i="9"/>
  <c r="J12" i="9" a="1"/>
  <c r="J12" i="9" s="1"/>
  <c r="J14" i="9" a="1"/>
  <c r="J13" i="9" a="1"/>
  <c r="J13" i="9" s="1"/>
  <c r="G15" i="6"/>
  <c r="F15" i="6"/>
  <c r="E15" i="6"/>
  <c r="C12" i="6" a="1"/>
  <c r="C12" i="6" s="1"/>
  <c r="C11" i="6" a="1"/>
  <c r="C11" i="6" s="1"/>
  <c r="C9" i="6"/>
  <c r="C8" i="6"/>
  <c r="C13" i="3" a="1"/>
  <c r="C13" i="3" s="1"/>
  <c r="H6" i="3"/>
  <c r="H7" i="3"/>
  <c r="G6" i="3"/>
  <c r="C7" i="3" a="1"/>
  <c r="C7" i="3" s="1"/>
  <c r="C8" i="3" s="1"/>
  <c r="G7" i="3"/>
  <c r="J14" i="9" l="1"/>
  <c r="J15" i="9" s="1"/>
  <c r="C14" i="6" a="1"/>
  <c r="C14" i="6" s="1"/>
  <c r="H7" i="6"/>
  <c r="G8" i="6"/>
  <c r="H8" i="6"/>
  <c r="G7" i="6"/>
  <c r="C10" i="3" a="1"/>
  <c r="C10" i="3" s="1"/>
</calcChain>
</file>

<file path=xl/sharedStrings.xml><?xml version="1.0" encoding="utf-8"?>
<sst xmlns="http://schemas.openxmlformats.org/spreadsheetml/2006/main" count="243" uniqueCount="178">
  <si>
    <t>Stock</t>
  </si>
  <si>
    <t>A</t>
  </si>
  <si>
    <t>B</t>
  </si>
  <si>
    <t>Set I</t>
  </si>
  <si>
    <t>a</t>
  </si>
  <si>
    <t>CORREL</t>
  </si>
  <si>
    <t>var-cov</t>
  </si>
  <si>
    <t>Variance</t>
  </si>
  <si>
    <t>standard deviation</t>
  </si>
  <si>
    <t>sum of weights</t>
  </si>
  <si>
    <t>E xpected return</t>
  </si>
  <si>
    <t>C</t>
  </si>
  <si>
    <t>RHO</t>
  </si>
  <si>
    <t>W1</t>
  </si>
  <si>
    <t>W2</t>
  </si>
  <si>
    <t>w</t>
  </si>
  <si>
    <t>S</t>
  </si>
  <si>
    <t>VARIANCE</t>
  </si>
  <si>
    <t>STDEV</t>
  </si>
  <si>
    <t>SUM OF WEIGHTS</t>
  </si>
  <si>
    <t>Standard deviation of returns</t>
  </si>
  <si>
    <t>Stock fund</t>
  </si>
  <si>
    <t>Risk free rate</t>
  </si>
  <si>
    <t>Bond fund</t>
  </si>
  <si>
    <t>Sharpe ratio maximization gives</t>
  </si>
  <si>
    <t>Return</t>
  </si>
  <si>
    <t>Risk</t>
  </si>
  <si>
    <t>E(r) of tangent portfolio</t>
  </si>
  <si>
    <t>VARIANCEof tangent portfolio</t>
  </si>
  <si>
    <t>RISK OF TANGENT PORTFOLIO</t>
  </si>
  <si>
    <t>(E(R OF TANGENT PORTFOLIO)-RF)/(A*VARIANCE OF TANGENT PORTFOLIO)</t>
  </si>
  <si>
    <t>Maximizing Utility W=</t>
  </si>
  <si>
    <t>W IN TANGENT PORTFOLIO</t>
  </si>
  <si>
    <t>1-W IN CASH</t>
  </si>
  <si>
    <t>A=</t>
  </si>
  <si>
    <t>Set I &amp; Set III</t>
  </si>
  <si>
    <t>SET I</t>
  </si>
  <si>
    <t>Wa</t>
  </si>
  <si>
    <t>Wb</t>
  </si>
  <si>
    <t>E(RP)</t>
  </si>
  <si>
    <t>wc</t>
  </si>
  <si>
    <t>ws</t>
  </si>
  <si>
    <t>sigma(RP)</t>
  </si>
  <si>
    <t>sharpe ratio</t>
  </si>
  <si>
    <t>maximize</t>
  </si>
  <si>
    <t>W stock (tangent portfolio)</t>
  </si>
  <si>
    <t>W bond (tangent portfolio)</t>
  </si>
  <si>
    <t>W cash (final solution)</t>
  </si>
  <si>
    <t>Returns</t>
  </si>
  <si>
    <t>Stdev of returns</t>
  </si>
  <si>
    <t>beta</t>
  </si>
  <si>
    <t xml:space="preserve">Fund </t>
  </si>
  <si>
    <t>Market index</t>
  </si>
  <si>
    <t>90 day Treasury-bill</t>
  </si>
  <si>
    <t>Rs</t>
  </si>
  <si>
    <t>CML</t>
  </si>
  <si>
    <t>alpha now</t>
  </si>
  <si>
    <t>Justified as compensating for total risk</t>
  </si>
  <si>
    <t>i</t>
  </si>
  <si>
    <t>wbn</t>
  </si>
  <si>
    <t>Rbn</t>
  </si>
  <si>
    <t>wa</t>
  </si>
  <si>
    <t>Ra</t>
  </si>
  <si>
    <t>Excess Ra-Rbn</t>
  </si>
  <si>
    <t>Excess weights wa-wbn</t>
  </si>
  <si>
    <t>Bonds</t>
  </si>
  <si>
    <t>Cash</t>
  </si>
  <si>
    <t>Outperformed benchmark fund</t>
  </si>
  <si>
    <t>Selection</t>
  </si>
  <si>
    <t>Allocation</t>
  </si>
  <si>
    <t>TVA</t>
  </si>
  <si>
    <t>selection is positive</t>
  </si>
  <si>
    <t>allocation is negative</t>
  </si>
  <si>
    <t>Selection Effect (%) upto 2 decimal</t>
  </si>
  <si>
    <t>Allocation Effect (%) upto 2 decimal</t>
  </si>
  <si>
    <t>Alpha %</t>
  </si>
  <si>
    <t>Justified/Not justified</t>
  </si>
  <si>
    <t>Justified</t>
  </si>
  <si>
    <t>Face value</t>
  </si>
  <si>
    <t>Maturity</t>
  </si>
  <si>
    <t>semi-annual periods</t>
  </si>
  <si>
    <t>Bond</t>
  </si>
  <si>
    <t>Time to maturity</t>
  </si>
  <si>
    <t>Coupon rate p.a.</t>
  </si>
  <si>
    <t>Payments</t>
  </si>
  <si>
    <t>Coupon</t>
  </si>
  <si>
    <t>Green bond (G)</t>
  </si>
  <si>
    <t>Semi-Annual</t>
  </si>
  <si>
    <t>ytm</t>
  </si>
  <si>
    <t>3 years</t>
  </si>
  <si>
    <t>t</t>
  </si>
  <si>
    <t>CF</t>
  </si>
  <si>
    <t>PV factor</t>
  </si>
  <si>
    <t>PV of CF</t>
  </si>
  <si>
    <t>PV as % of Price</t>
  </si>
  <si>
    <t>t*Pv as % of price</t>
  </si>
  <si>
    <t>(t^2+t)*PV as a % of Price</t>
  </si>
  <si>
    <t>duration</t>
  </si>
  <si>
    <t>convexity</t>
  </si>
  <si>
    <t>modified duration</t>
  </si>
  <si>
    <t>annual periods</t>
  </si>
  <si>
    <t xml:space="preserve">100 basis points change </t>
  </si>
  <si>
    <t>% Change in Price</t>
  </si>
  <si>
    <t>with convexity adjustment</t>
  </si>
  <si>
    <t>Bond: Green</t>
  </si>
  <si>
    <t>% change in price</t>
  </si>
  <si>
    <t>1 mark</t>
  </si>
  <si>
    <t>2 marks for graph</t>
  </si>
  <si>
    <t>Duration of 3 year zero coupon bond</t>
  </si>
  <si>
    <t>Duration of perpetual bond</t>
  </si>
  <si>
    <t>Duration of Green bond</t>
  </si>
  <si>
    <t>These are Macaulay duration</t>
  </si>
  <si>
    <t>Duration of liability</t>
  </si>
  <si>
    <t>years</t>
  </si>
  <si>
    <t>Matching duration</t>
  </si>
  <si>
    <t>w in Green bond</t>
  </si>
  <si>
    <t>Matching duration of asset with that of liability (Immunization)</t>
  </si>
  <si>
    <t>Green bond</t>
  </si>
  <si>
    <t>given</t>
  </si>
  <si>
    <t>Perpetual bond</t>
  </si>
  <si>
    <t>for 350  basis points increase</t>
  </si>
  <si>
    <t>w in perpetual bond</t>
  </si>
  <si>
    <t>0.8-w</t>
  </si>
  <si>
    <t>2-year zero coupon bond</t>
  </si>
  <si>
    <t>w*12.11+(0.8-w)*(2.7217) + 20%*2  = 7</t>
  </si>
  <si>
    <t>Asset classes in Fund</t>
  </si>
  <si>
    <t>Market value (INR million)</t>
  </si>
  <si>
    <t>Expected Return (%)</t>
  </si>
  <si>
    <t>Standard deviation of returns (%)</t>
  </si>
  <si>
    <t>weights</t>
  </si>
  <si>
    <t>Expected return of fund</t>
  </si>
  <si>
    <t>Correlation matrix</t>
  </si>
  <si>
    <t>Market</t>
  </si>
  <si>
    <t>0</t>
  </si>
  <si>
    <t>Market return</t>
  </si>
  <si>
    <t>standard deviation of return</t>
  </si>
  <si>
    <t>variance covariance matrix</t>
  </si>
  <si>
    <r>
      <t>W</t>
    </r>
    <r>
      <rPr>
        <vertAlign val="superscript"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 sigma W</t>
    </r>
  </si>
  <si>
    <t>STANDARD DEVIATION OF FUND</t>
  </si>
  <si>
    <t>BETA</t>
  </si>
  <si>
    <t>COVARIANCE(Ri, Rm)/(sigma of Rm)^2</t>
  </si>
  <si>
    <t>beta of fund</t>
  </si>
  <si>
    <t>required return</t>
  </si>
  <si>
    <t>jensen alpha</t>
  </si>
  <si>
    <t>ALPHA</t>
  </si>
  <si>
    <t>MU</t>
  </si>
  <si>
    <t>sigh</t>
  </si>
  <si>
    <t>4 marks</t>
  </si>
  <si>
    <t>Annualized return</t>
  </si>
  <si>
    <t>VAR-COV</t>
  </si>
  <si>
    <t>3 marks</t>
  </si>
  <si>
    <t>Annualized STANDARD DEVIATION</t>
  </si>
  <si>
    <t>CORRELATION</t>
  </si>
  <si>
    <t>You get marks for the comment only if you have the correlation values</t>
  </si>
  <si>
    <t>Market risk premium</t>
  </si>
  <si>
    <t>SMB</t>
  </si>
  <si>
    <t>HML</t>
  </si>
  <si>
    <t>Value stocks</t>
  </si>
  <si>
    <t>Neutral stocks</t>
  </si>
  <si>
    <t>Growth stocks</t>
  </si>
  <si>
    <t>Small size</t>
  </si>
  <si>
    <t>Big size</t>
  </si>
  <si>
    <t>Rm-Rf</t>
  </si>
  <si>
    <t>As  correlations are LOW, there can be diversification achieved.</t>
  </si>
  <si>
    <t>any 1 combination of answers is fine</t>
  </si>
  <si>
    <t>OR</t>
  </si>
  <si>
    <t>1 MARK</t>
  </si>
  <si>
    <t>1.5 MARK</t>
  </si>
  <si>
    <t>2 MARKS</t>
  </si>
  <si>
    <t>1 MARKS</t>
  </si>
  <si>
    <t>3 MARKS</t>
  </si>
  <si>
    <t>4 MARKS</t>
  </si>
  <si>
    <r>
      <t>Min W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</rPr>
      <t>∑W</t>
    </r>
  </si>
  <si>
    <t>s.t.</t>
  </si>
  <si>
    <r>
      <t>W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 = 1</t>
    </r>
  </si>
  <si>
    <r>
      <t>W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R&gt;=20%</t>
    </r>
  </si>
  <si>
    <t>EXPECTED RETURN</t>
  </si>
  <si>
    <t>2 marks for justified is given only if the alpha %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</si>
</sst>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%"/>
    <numFmt numFmtId="165" formatCode="0.0000%"/>
    <numFmt numFmtId="166" formatCode="0.00000%"/>
    <numFmt numFmtId="167" formatCode="0.0%"/>
    <numFmt numFmtId="168" formatCode="0.00000000000000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/>
    <xf numFmtId="167" fontId="0" fillId="0" borderId="0" xfId="0" applyNumberFormat="1"/>
    <xf numFmtId="0" fontId="2" fillId="0" borderId="0" xfId="0" applyFont="1"/>
    <xf numFmtId="10" fontId="2" fillId="0" borderId="0" xfId="1" applyNumberFormat="1" applyFont="1"/>
    <xf numFmtId="0" fontId="4" fillId="0" borderId="0" xfId="0" applyFont="1"/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10" fontId="6" fillId="0" borderId="3" xfId="0" applyNumberFormat="1" applyFont="1" applyBorder="1" applyAlignment="1">
      <alignment horizontal="justify" vertical="center" wrapText="1"/>
    </xf>
    <xf numFmtId="10" fontId="6" fillId="0" borderId="4" xfId="0" applyNumberFormat="1" applyFont="1" applyBorder="1" applyAlignment="1">
      <alignment horizontal="justify" vertical="center" wrapText="1"/>
    </xf>
    <xf numFmtId="168" fontId="0" fillId="0" borderId="0" xfId="0" applyNumberFormat="1"/>
    <xf numFmtId="0" fontId="0" fillId="0" borderId="1" xfId="0" applyBorder="1"/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10" fontId="7" fillId="0" borderId="4" xfId="0" applyNumberFormat="1" applyFont="1" applyBorder="1" applyAlignment="1">
      <alignment horizontal="right" vertical="center"/>
    </xf>
    <xf numFmtId="9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0" fillId="0" borderId="4" xfId="0" applyBorder="1"/>
    <xf numFmtId="0" fontId="7" fillId="0" borderId="0" xfId="0" applyFont="1" applyFill="1" applyBorder="1" applyAlignment="1">
      <alignment vertical="center"/>
    </xf>
    <xf numFmtId="10" fontId="0" fillId="2" borderId="0" xfId="1" applyNumberFormat="1" applyFont="1" applyFill="1"/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9" fontId="6" fillId="0" borderId="4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0" xfId="1" applyNumberFormat="1" applyFont="1"/>
    <xf numFmtId="0" fontId="5" fillId="0" borderId="0" xfId="0" applyFont="1"/>
    <xf numFmtId="10" fontId="2" fillId="0" borderId="0" xfId="0" applyNumberFormat="1" applyFont="1"/>
    <xf numFmtId="0" fontId="6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horizontal="right" vertical="center"/>
    </xf>
    <xf numFmtId="9" fontId="8" fillId="0" borderId="4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Alignment="1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10" fontId="2" fillId="0" borderId="8" xfId="1" applyNumberFormat="1" applyFont="1" applyBorder="1"/>
    <xf numFmtId="10" fontId="2" fillId="0" borderId="3" xfId="1" applyNumberFormat="1" applyFont="1" applyBorder="1"/>
    <xf numFmtId="10" fontId="2" fillId="0" borderId="9" xfId="1" applyNumberFormat="1" applyFont="1" applyBorder="1"/>
    <xf numFmtId="10" fontId="2" fillId="0" borderId="0" xfId="1" applyNumberFormat="1" applyFont="1" applyBorder="1"/>
    <xf numFmtId="10" fontId="2" fillId="0" borderId="10" xfId="1" applyNumberFormat="1" applyFont="1" applyBorder="1"/>
    <xf numFmtId="10" fontId="2" fillId="0" borderId="11" xfId="1" applyNumberFormat="1" applyFont="1" applyBorder="1"/>
    <xf numFmtId="10" fontId="2" fillId="0" borderId="12" xfId="1" applyNumberFormat="1" applyFont="1" applyBorder="1"/>
    <xf numFmtId="10" fontId="2" fillId="0" borderId="4" xfId="1" applyNumberFormat="1" applyFont="1" applyBorder="1"/>
    <xf numFmtId="0" fontId="2" fillId="0" borderId="13" xfId="0" applyFont="1" applyBorder="1"/>
    <xf numFmtId="2" fontId="2" fillId="0" borderId="9" xfId="0" applyNumberFormat="1" applyFont="1" applyBorder="1"/>
    <xf numFmtId="2" fontId="2" fillId="0" borderId="0" xfId="0" applyNumberFormat="1" applyFont="1" applyBorder="1"/>
    <xf numFmtId="2" fontId="2" fillId="0" borderId="10" xfId="0" applyNumberFormat="1" applyFont="1" applyBorder="1"/>
    <xf numFmtId="2" fontId="2" fillId="0" borderId="11" xfId="0" applyNumberFormat="1" applyFont="1" applyBorder="1"/>
    <xf numFmtId="2" fontId="2" fillId="0" borderId="12" xfId="0" applyNumberFormat="1" applyFont="1" applyBorder="1"/>
    <xf numFmtId="2" fontId="2" fillId="0" borderId="4" xfId="0" applyNumberFormat="1" applyFont="1" applyBorder="1"/>
    <xf numFmtId="10" fontId="11" fillId="0" borderId="0" xfId="1" applyNumberFormat="1" applyFont="1"/>
    <xf numFmtId="10" fontId="9" fillId="0" borderId="3" xfId="0" applyNumberFormat="1" applyFont="1" applyBorder="1" applyAlignment="1">
      <alignment horizontal="justify" vertical="center" wrapText="1"/>
    </xf>
    <xf numFmtId="10" fontId="9" fillId="0" borderId="4" xfId="0" applyNumberFormat="1" applyFont="1" applyBorder="1" applyAlignment="1">
      <alignment horizontal="justify" vertical="center" wrapText="1"/>
    </xf>
    <xf numFmtId="10" fontId="4" fillId="0" borderId="0" xfId="1" applyNumberFormat="1" applyFont="1"/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png"/><Relationship Id="rId1" Type="http://schemas.openxmlformats.org/officeDocument/2006/relationships/image" Target="../media/image6.jf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180975</xdr:colOff>
      <xdr:row>0</xdr:row>
      <xdr:rowOff>152400</xdr:rowOff>
    </xdr:from>
    <xdr:to>
      <xdr:col>19</xdr:col>
      <xdr:colOff>419100</xdr:colOff>
      <xdr:row>12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52400"/>
          <a:ext cx="5724525" cy="219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333375</xdr:colOff>
      <xdr:row>0</xdr:row>
      <xdr:rowOff>28575</xdr:rowOff>
    </xdr:from>
    <xdr:to>
      <xdr:col>18</xdr:col>
      <xdr:colOff>571500</xdr:colOff>
      <xdr:row>13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28575"/>
          <a:ext cx="5724525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552450</xdr:colOff>
      <xdr:row>0</xdr:row>
      <xdr:rowOff>76200</xdr:rowOff>
    </xdr:from>
    <xdr:to>
      <xdr:col>26</xdr:col>
      <xdr:colOff>180975</xdr:colOff>
      <xdr:row>20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76200"/>
          <a:ext cx="5724525" cy="383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20</xdr:col>
      <xdr:colOff>238125</xdr:colOff>
      <xdr:row>12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572452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466725</xdr:colOff>
      <xdr:row>0</xdr:row>
      <xdr:rowOff>0</xdr:rowOff>
    </xdr:from>
    <xdr:to>
      <xdr:col>20</xdr:col>
      <xdr:colOff>95250</xdr:colOff>
      <xdr:row>16</xdr:row>
      <xdr:rowOff>314325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0"/>
          <a:ext cx="572452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36</xdr:row>
      <xdr:rowOff>66675</xdr:rowOff>
    </xdr:from>
    <xdr:to>
      <xdr:col>6</xdr:col>
      <xdr:colOff>180975</xdr:colOff>
      <xdr:row>45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12334875"/>
          <a:ext cx="2686050" cy="17049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1095375</xdr:colOff>
      <xdr:row>34</xdr:row>
      <xdr:rowOff>108355</xdr:rowOff>
    </xdr:from>
    <xdr:to>
      <xdr:col>11</xdr:col>
      <xdr:colOff>486498</xdr:colOff>
      <xdr:row>46</xdr:row>
      <xdr:rowOff>29935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11995555"/>
          <a:ext cx="3401148" cy="220758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24</xdr:col>
      <xdr:colOff>238125</xdr:colOff>
      <xdr:row>26</xdr:row>
      <xdr:rowOff>104775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7325" y="3086100"/>
          <a:ext cx="5724525" cy="547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</xdr:row>
      <xdr:rowOff>0</xdr:rowOff>
    </xdr:from>
    <xdr:to>
      <xdr:col>32</xdr:col>
      <xdr:colOff>236220</xdr:colOff>
      <xdr:row>43</xdr:row>
      <xdr:rowOff>169545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06550" y="190500"/>
          <a:ext cx="5722620" cy="8770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I14" sqref="I14"/>
    </sheetView>
  </sheetViews>
  <sheetFormatPr defaultRowHeight="15" x14ac:dyDescent="0.25"/>
  <cols>
    <col min="2" max="2" width="17.85546875" bestFit="1" customWidth="1"/>
    <col min="3" max="3" width="9.5703125" bestFit="1" customWidth="1"/>
    <col min="5" max="5" width="10.140625" bestFit="1" customWidth="1"/>
    <col min="7" max="7" width="10.140625" bestFit="1" customWidth="1"/>
    <col min="8" max="8" width="9.85546875" bestFit="1" customWidth="1"/>
  </cols>
  <sheetData>
    <row r="1" spans="1:9" x14ac:dyDescent="0.25">
      <c r="B1" s="11" t="s">
        <v>3</v>
      </c>
    </row>
    <row r="2" spans="1:9" x14ac:dyDescent="0.25">
      <c r="A2" t="s">
        <v>3</v>
      </c>
      <c r="B2" t="s">
        <v>1</v>
      </c>
      <c r="C2" s="1">
        <v>0.04</v>
      </c>
      <c r="D2" s="1">
        <v>0.05</v>
      </c>
      <c r="E2" s="3">
        <v>0.17759748032832101</v>
      </c>
      <c r="F2" s="2">
        <v>1</v>
      </c>
    </row>
    <row r="3" spans="1:9" x14ac:dyDescent="0.25">
      <c r="B3" t="s">
        <v>2</v>
      </c>
      <c r="C3" s="1">
        <v>0.11</v>
      </c>
      <c r="D3" s="1">
        <v>0.09</v>
      </c>
      <c r="E3" s="9">
        <v>0.82240251967167444</v>
      </c>
      <c r="F3" s="2">
        <v>1</v>
      </c>
    </row>
    <row r="5" spans="1:9" x14ac:dyDescent="0.25">
      <c r="B5" t="s">
        <v>5</v>
      </c>
      <c r="C5">
        <v>-0.5</v>
      </c>
      <c r="G5" t="s">
        <v>6</v>
      </c>
    </row>
    <row r="6" spans="1:9" x14ac:dyDescent="0.25">
      <c r="G6" s="4">
        <f>D2*D2</f>
        <v>2.5000000000000005E-3</v>
      </c>
      <c r="H6" s="4">
        <f>C5*D3*D2</f>
        <v>-2.2499999999999998E-3</v>
      </c>
    </row>
    <row r="7" spans="1:9" x14ac:dyDescent="0.25">
      <c r="B7" t="s">
        <v>7</v>
      </c>
      <c r="C7">
        <f t="array" ref="C7">MMULT(TRANSPOSE(E2:E3),MMULT((G6:H7),E2:E3))</f>
        <v>4.8999992189901198E-3</v>
      </c>
      <c r="G7" s="4">
        <f>H6</f>
        <v>-2.2499999999999998E-3</v>
      </c>
      <c r="H7" s="4">
        <f>D3*D3</f>
        <v>8.0999999999999996E-3</v>
      </c>
    </row>
    <row r="8" spans="1:9" x14ac:dyDescent="0.25">
      <c r="B8" t="s">
        <v>8</v>
      </c>
      <c r="C8">
        <f>SQRT(C7)</f>
        <v>6.9999994421357778E-2</v>
      </c>
    </row>
    <row r="10" spans="1:9" x14ac:dyDescent="0.25">
      <c r="B10" t="s">
        <v>9</v>
      </c>
      <c r="C10">
        <f t="array" ref="C10">MMULT(TRANSPOSE(E2:E3),F2:F3)</f>
        <v>0.99999999999999545</v>
      </c>
    </row>
    <row r="12" spans="1:9" x14ac:dyDescent="0.25">
      <c r="E12" s="13" t="s">
        <v>167</v>
      </c>
      <c r="F12" s="13" t="s">
        <v>167</v>
      </c>
      <c r="G12" s="13" t="s">
        <v>166</v>
      </c>
    </row>
    <row r="13" spans="1:9" x14ac:dyDescent="0.25">
      <c r="B13" t="s">
        <v>10</v>
      </c>
      <c r="C13" s="7">
        <f t="array" ref="C13">MMULT(TRANSPOSE(E2:E3),C2:C3)</f>
        <v>9.7568176377017035E-2</v>
      </c>
      <c r="E13" t="s">
        <v>37</v>
      </c>
      <c r="F13" t="s">
        <v>38</v>
      </c>
      <c r="G13" t="s">
        <v>39</v>
      </c>
    </row>
    <row r="14" spans="1:9" x14ac:dyDescent="0.25">
      <c r="E14" s="6">
        <v>0.17760000000000001</v>
      </c>
      <c r="F14" s="6">
        <v>0.82240000000000002</v>
      </c>
      <c r="G14" s="6">
        <v>9.7600000000000006E-2</v>
      </c>
      <c r="I14" s="13" t="s">
        <v>164</v>
      </c>
    </row>
    <row r="15" spans="1:9" x14ac:dyDescent="0.25">
      <c r="D15" t="s">
        <v>165</v>
      </c>
      <c r="E15" s="6">
        <v>1.1932</v>
      </c>
      <c r="F15" s="6">
        <f>100%-E15</f>
        <v>-0.19320000000000004</v>
      </c>
      <c r="G15" s="6">
        <f>E15*C2+F15*C3</f>
        <v>2.6475999999999996E-2</v>
      </c>
    </row>
    <row r="18" spans="2:8" x14ac:dyDescent="0.25">
      <c r="B18" s="11"/>
    </row>
    <row r="19" spans="2:8" x14ac:dyDescent="0.25">
      <c r="C19" s="1"/>
      <c r="D19" s="1"/>
      <c r="E19" s="6"/>
      <c r="F19" s="2"/>
    </row>
    <row r="20" spans="2:8" x14ac:dyDescent="0.25">
      <c r="C20" s="1"/>
      <c r="D20" s="1"/>
      <c r="E20" s="7"/>
      <c r="F20" s="2"/>
    </row>
    <row r="23" spans="2:8" x14ac:dyDescent="0.25">
      <c r="G23" s="4"/>
      <c r="H23" s="4"/>
    </row>
    <row r="24" spans="2:8" x14ac:dyDescent="0.25">
      <c r="G24" s="4"/>
      <c r="H24" s="4"/>
    </row>
    <row r="30" spans="2:8" x14ac:dyDescent="0.25">
      <c r="C30" s="7"/>
    </row>
    <row r="34" spans="2:8" x14ac:dyDescent="0.25">
      <c r="B34" s="11"/>
    </row>
    <row r="35" spans="2:8" x14ac:dyDescent="0.25">
      <c r="C35" s="1"/>
      <c r="D35" s="1"/>
      <c r="E35" s="6"/>
      <c r="F35" s="2"/>
    </row>
    <row r="36" spans="2:8" x14ac:dyDescent="0.25">
      <c r="C36" s="1"/>
      <c r="D36" s="1"/>
      <c r="E36" s="7"/>
      <c r="F36" s="2"/>
    </row>
    <row r="39" spans="2:8" x14ac:dyDescent="0.25">
      <c r="G39" s="4"/>
      <c r="H39" s="4"/>
    </row>
    <row r="40" spans="2:8" x14ac:dyDescent="0.25">
      <c r="G40" s="4"/>
      <c r="H40" s="4"/>
    </row>
    <row r="46" spans="2:8" x14ac:dyDescent="0.25">
      <c r="C46" s="7"/>
    </row>
    <row r="50" spans="2:8" x14ac:dyDescent="0.25">
      <c r="B50" s="11"/>
    </row>
    <row r="51" spans="2:8" x14ac:dyDescent="0.25">
      <c r="C51" s="1"/>
      <c r="D51" s="1"/>
      <c r="E51" s="7"/>
      <c r="F51" s="2"/>
    </row>
    <row r="52" spans="2:8" x14ac:dyDescent="0.25">
      <c r="C52" s="1"/>
      <c r="D52" s="1"/>
      <c r="E52" s="7"/>
      <c r="F52" s="2"/>
    </row>
    <row r="55" spans="2:8" x14ac:dyDescent="0.25">
      <c r="G55" s="4"/>
      <c r="H55" s="4"/>
    </row>
    <row r="56" spans="2:8" x14ac:dyDescent="0.25">
      <c r="G56" s="4"/>
      <c r="H56" s="4"/>
    </row>
    <row r="62" spans="2:8" x14ac:dyDescent="0.25">
      <c r="C62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8"/>
  <sheetViews>
    <sheetView workbookViewId="0">
      <selection activeCell="E13" sqref="E13:G13"/>
    </sheetView>
  </sheetViews>
  <sheetFormatPr defaultRowHeight="15" x14ac:dyDescent="0.25"/>
  <sheetData>
    <row r="2" spans="2:8" x14ac:dyDescent="0.25">
      <c r="B2" t="s">
        <v>36</v>
      </c>
    </row>
    <row r="3" spans="2:8" x14ac:dyDescent="0.25">
      <c r="B3" t="s">
        <v>11</v>
      </c>
      <c r="C3" s="1">
        <v>0.16</v>
      </c>
      <c r="D3" s="1">
        <v>0.08</v>
      </c>
      <c r="E3" s="10">
        <v>0.280898877678251</v>
      </c>
      <c r="F3" s="1">
        <v>1</v>
      </c>
    </row>
    <row r="4" spans="2:8" x14ac:dyDescent="0.25">
      <c r="B4" t="s">
        <v>16</v>
      </c>
      <c r="C4" s="1">
        <v>0.09</v>
      </c>
      <c r="D4" s="1">
        <v>0.05</v>
      </c>
      <c r="E4" s="10">
        <v>0.71910112174672847</v>
      </c>
      <c r="F4" s="1">
        <v>1</v>
      </c>
    </row>
    <row r="6" spans="2:8" x14ac:dyDescent="0.25">
      <c r="B6" t="s">
        <v>12</v>
      </c>
      <c r="C6">
        <v>0</v>
      </c>
    </row>
    <row r="7" spans="2:8" x14ac:dyDescent="0.25">
      <c r="G7" s="3">
        <f>D3*D3</f>
        <v>6.4000000000000003E-3</v>
      </c>
      <c r="H7">
        <f>C6*D4*D3</f>
        <v>0</v>
      </c>
    </row>
    <row r="8" spans="2:8" x14ac:dyDescent="0.25">
      <c r="B8" t="s">
        <v>13</v>
      </c>
      <c r="C8">
        <f>D4*D4/(D3*D3+D4*D4)</f>
        <v>0.2808988764044944</v>
      </c>
      <c r="G8">
        <f>C6*D3*D4</f>
        <v>0</v>
      </c>
      <c r="H8" s="3">
        <f>D4*D4</f>
        <v>2.5000000000000005E-3</v>
      </c>
    </row>
    <row r="9" spans="2:8" x14ac:dyDescent="0.25">
      <c r="B9" t="s">
        <v>14</v>
      </c>
      <c r="C9">
        <f>1-C8</f>
        <v>0.7191011235955056</v>
      </c>
    </row>
    <row r="11" spans="2:8" x14ac:dyDescent="0.25">
      <c r="B11" t="s">
        <v>17</v>
      </c>
      <c r="C11">
        <f t="array" ref="C11">MMULT(TRANSPOSE(E3:E4),MMULT(G7:H8,E3:E4))</f>
        <v>1.7977528069212747E-3</v>
      </c>
    </row>
    <row r="12" spans="2:8" x14ac:dyDescent="0.25">
      <c r="B12" t="s">
        <v>18</v>
      </c>
      <c r="C12">
        <f t="array" ref="C12">SQRT(C11)</f>
        <v>4.2399915175873583E-2</v>
      </c>
    </row>
    <row r="13" spans="2:8" x14ac:dyDescent="0.25">
      <c r="E13" s="13" t="s">
        <v>167</v>
      </c>
      <c r="F13" s="13" t="s">
        <v>167</v>
      </c>
      <c r="G13" s="13" t="s">
        <v>166</v>
      </c>
    </row>
    <row r="14" spans="2:8" x14ac:dyDescent="0.25">
      <c r="B14" t="s">
        <v>19</v>
      </c>
      <c r="C14">
        <f t="array" ref="C14">MMULT(TRANSPOSE(F3:F4),E3:E4)</f>
        <v>0.99999999942497952</v>
      </c>
      <c r="E14" t="s">
        <v>40</v>
      </c>
      <c r="F14" t="s">
        <v>41</v>
      </c>
      <c r="G14" t="s">
        <v>42</v>
      </c>
    </row>
    <row r="15" spans="2:8" x14ac:dyDescent="0.25">
      <c r="E15" s="7">
        <f>C8</f>
        <v>0.2808988764044944</v>
      </c>
      <c r="F15" s="7">
        <f>C9</f>
        <v>0.7191011235955056</v>
      </c>
      <c r="G15" s="7">
        <f>C12</f>
        <v>4.2399915175873583E-2</v>
      </c>
    </row>
    <row r="17" spans="2:8" x14ac:dyDescent="0.25">
      <c r="B17" s="11"/>
    </row>
    <row r="20" spans="2:8" x14ac:dyDescent="0.25">
      <c r="C20" s="1"/>
      <c r="D20" s="1"/>
      <c r="E20" s="10"/>
      <c r="F20" s="1"/>
    </row>
    <row r="21" spans="2:8" x14ac:dyDescent="0.25">
      <c r="C21" s="1"/>
      <c r="D21" s="1"/>
      <c r="E21" s="10"/>
      <c r="F21" s="1"/>
    </row>
    <row r="24" spans="2:8" x14ac:dyDescent="0.25">
      <c r="G24" s="3"/>
    </row>
    <row r="25" spans="2:8" x14ac:dyDescent="0.25">
      <c r="H25" s="3"/>
    </row>
    <row r="34" spans="2:8" x14ac:dyDescent="0.25">
      <c r="B34" s="11"/>
    </row>
    <row r="37" spans="2:8" x14ac:dyDescent="0.25">
      <c r="C37" s="1"/>
      <c r="D37" s="1"/>
      <c r="E37" s="10"/>
      <c r="F37" s="1"/>
    </row>
    <row r="38" spans="2:8" x14ac:dyDescent="0.25">
      <c r="C38" s="1"/>
      <c r="D38" s="1"/>
      <c r="E38" s="10"/>
      <c r="F38" s="1"/>
    </row>
    <row r="41" spans="2:8" x14ac:dyDescent="0.25">
      <c r="G41" s="3"/>
    </row>
    <row r="42" spans="2:8" x14ac:dyDescent="0.25">
      <c r="H42" s="3"/>
    </row>
    <row r="51" spans="2:8" x14ac:dyDescent="0.25">
      <c r="B51" s="11"/>
    </row>
    <row r="54" spans="2:8" x14ac:dyDescent="0.25">
      <c r="C54" s="1"/>
      <c r="D54" s="1"/>
      <c r="E54" s="10"/>
      <c r="F54" s="1"/>
    </row>
    <row r="55" spans="2:8" x14ac:dyDescent="0.25">
      <c r="C55" s="1"/>
      <c r="D55" s="1"/>
      <c r="E55" s="10"/>
      <c r="F55" s="1"/>
    </row>
    <row r="58" spans="2:8" x14ac:dyDescent="0.25">
      <c r="G58" s="3"/>
    </row>
    <row r="59" spans="2:8" x14ac:dyDescent="0.25">
      <c r="H59" s="3"/>
    </row>
    <row r="68" spans="2:2" x14ac:dyDescent="0.25">
      <c r="B68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23"/>
  <sheetViews>
    <sheetView topLeftCell="F6" workbookViewId="0">
      <selection activeCell="I23" sqref="I23"/>
    </sheetView>
  </sheetViews>
  <sheetFormatPr defaultRowHeight="15" x14ac:dyDescent="0.25"/>
  <cols>
    <col min="9" max="9" width="22.42578125" bestFit="1" customWidth="1"/>
    <col min="10" max="10" width="20.42578125" bestFit="1" customWidth="1"/>
  </cols>
  <sheetData>
    <row r="2" spans="6:14" x14ac:dyDescent="0.25">
      <c r="J2" t="s">
        <v>24</v>
      </c>
    </row>
    <row r="3" spans="6:14" x14ac:dyDescent="0.25">
      <c r="F3" s="7"/>
      <c r="J3" t="s">
        <v>15</v>
      </c>
    </row>
    <row r="4" spans="6:14" x14ac:dyDescent="0.25">
      <c r="I4" t="s">
        <v>21</v>
      </c>
      <c r="J4" s="6">
        <v>0.65728644684527526</v>
      </c>
    </row>
    <row r="5" spans="6:14" x14ac:dyDescent="0.25">
      <c r="I5" t="s">
        <v>23</v>
      </c>
      <c r="J5" s="6">
        <v>0.34271355315472479</v>
      </c>
    </row>
    <row r="7" spans="6:14" x14ac:dyDescent="0.25">
      <c r="J7" t="s">
        <v>25</v>
      </c>
      <c r="K7" t="s">
        <v>26</v>
      </c>
    </row>
    <row r="8" spans="6:14" x14ac:dyDescent="0.25">
      <c r="I8" t="s">
        <v>21</v>
      </c>
      <c r="J8" s="1">
        <v>0.16</v>
      </c>
      <c r="K8" s="1">
        <v>0.22</v>
      </c>
    </row>
    <row r="9" spans="6:14" x14ac:dyDescent="0.25">
      <c r="I9" t="s">
        <v>23</v>
      </c>
      <c r="J9" s="1">
        <v>0.1</v>
      </c>
      <c r="K9" s="1">
        <v>0.12</v>
      </c>
    </row>
    <row r="10" spans="6:14" x14ac:dyDescent="0.25">
      <c r="I10" t="s">
        <v>22</v>
      </c>
      <c r="J10" s="1">
        <v>0.08</v>
      </c>
      <c r="M10" t="s">
        <v>6</v>
      </c>
    </row>
    <row r="11" spans="6:14" x14ac:dyDescent="0.25">
      <c r="I11" t="s">
        <v>9</v>
      </c>
      <c r="J11" s="6">
        <f>J4+J5</f>
        <v>1</v>
      </c>
      <c r="M11" s="7">
        <f>K8*K8</f>
        <v>4.8399999999999999E-2</v>
      </c>
      <c r="N11" s="7">
        <f>M12</f>
        <v>5.28E-3</v>
      </c>
    </row>
    <row r="12" spans="6:14" x14ac:dyDescent="0.25">
      <c r="I12" t="s">
        <v>27</v>
      </c>
      <c r="J12" s="4">
        <f t="array" ref="J12">J4*J8+J5*J9</f>
        <v>0.13943718681071651</v>
      </c>
      <c r="M12" s="7">
        <f>0.2*K8*K9</f>
        <v>5.28E-3</v>
      </c>
      <c r="N12" s="7">
        <f>K9*K9</f>
        <v>1.44E-2</v>
      </c>
    </row>
    <row r="13" spans="6:14" x14ac:dyDescent="0.25">
      <c r="I13" t="s">
        <v>28</v>
      </c>
      <c r="J13">
        <f t="array" ref="J13">MMULT(TRANSPOSE(J4:J5),MMULT((M11:N12),J4:J5))</f>
        <v>2.4980105929849058E-2</v>
      </c>
    </row>
    <row r="14" spans="6:14" x14ac:dyDescent="0.25">
      <c r="I14" t="s">
        <v>29</v>
      </c>
      <c r="J14" s="7">
        <f t="array" ref="J14">SQRT(J13)</f>
        <v>0.15805095991435503</v>
      </c>
    </row>
    <row r="15" spans="6:14" x14ac:dyDescent="0.25">
      <c r="I15" t="s">
        <v>43</v>
      </c>
      <c r="J15">
        <f>(J12-J10)/J14</f>
        <v>0.37606343449558582</v>
      </c>
      <c r="K15" t="s">
        <v>44</v>
      </c>
    </row>
    <row r="16" spans="6:14" x14ac:dyDescent="0.25">
      <c r="H16" s="11" t="s">
        <v>35</v>
      </c>
      <c r="I16" t="s">
        <v>31</v>
      </c>
      <c r="J16" t="s">
        <v>30</v>
      </c>
    </row>
    <row r="17" spans="7:12" x14ac:dyDescent="0.25">
      <c r="G17" t="s">
        <v>34</v>
      </c>
      <c r="H17">
        <v>3</v>
      </c>
      <c r="I17" t="s">
        <v>32</v>
      </c>
      <c r="J17" s="7">
        <f>($J$12-$J$10)/(H17*$J$13)</f>
        <v>0.79312696508216474</v>
      </c>
    </row>
    <row r="18" spans="7:12" x14ac:dyDescent="0.25">
      <c r="I18" s="11" t="s">
        <v>33</v>
      </c>
      <c r="J18" s="12">
        <f>1-J17</f>
        <v>0.20687303491783526</v>
      </c>
      <c r="K18" s="11" t="s">
        <v>11</v>
      </c>
    </row>
    <row r="20" spans="7:12" ht="15.75" thickBot="1" x14ac:dyDescent="0.3">
      <c r="H20" s="11"/>
      <c r="I20" s="13" t="s">
        <v>167</v>
      </c>
      <c r="J20" s="13" t="s">
        <v>167</v>
      </c>
      <c r="K20" s="13" t="s">
        <v>166</v>
      </c>
    </row>
    <row r="21" spans="7:12" ht="45.75" thickBot="1" x14ac:dyDescent="0.3">
      <c r="I21" s="14" t="s">
        <v>45</v>
      </c>
      <c r="J21" s="15" t="s">
        <v>46</v>
      </c>
      <c r="K21" s="15" t="s">
        <v>47</v>
      </c>
    </row>
    <row r="22" spans="7:12" ht="15.75" thickBot="1" x14ac:dyDescent="0.3">
      <c r="I22" s="72">
        <f>J4</f>
        <v>0.65728644684527526</v>
      </c>
      <c r="J22" s="73">
        <f>J5</f>
        <v>0.34271355315472479</v>
      </c>
      <c r="K22" s="73">
        <f>J18</f>
        <v>0.20687303491783526</v>
      </c>
      <c r="L22" s="13"/>
    </row>
    <row r="23" spans="7:12" x14ac:dyDescent="0.25">
      <c r="I23" s="22">
        <f>J17*I22</f>
        <v>0.52131160477603278</v>
      </c>
      <c r="J23" s="22">
        <f>J22*J17</f>
        <v>0.27181536030613201</v>
      </c>
      <c r="K23" s="6">
        <f>K22</f>
        <v>0.20687303491783526</v>
      </c>
      <c r="L23" s="1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N38"/>
  <sheetViews>
    <sheetView topLeftCell="A26" workbookViewId="0">
      <selection activeCell="M27" sqref="M27:N27"/>
    </sheetView>
  </sheetViews>
  <sheetFormatPr defaultRowHeight="15" x14ac:dyDescent="0.25"/>
  <sheetData>
    <row r="14" spans="3:13" x14ac:dyDescent="0.25">
      <c r="C14" t="s">
        <v>58</v>
      </c>
      <c r="D14" t="s">
        <v>59</v>
      </c>
      <c r="E14" t="s">
        <v>60</v>
      </c>
      <c r="G14" t="s">
        <v>61</v>
      </c>
      <c r="H14" t="s">
        <v>62</v>
      </c>
      <c r="I14" t="s">
        <v>63</v>
      </c>
      <c r="M14" t="s">
        <v>64</v>
      </c>
    </row>
    <row r="15" spans="3:13" x14ac:dyDescent="0.25">
      <c r="C15" t="s">
        <v>0</v>
      </c>
      <c r="D15">
        <v>0.7</v>
      </c>
      <c r="E15" s="1">
        <v>0.04</v>
      </c>
      <c r="G15">
        <v>0.5</v>
      </c>
      <c r="H15" s="1">
        <v>0.08</v>
      </c>
      <c r="I15" s="1">
        <f>H15-E15</f>
        <v>0.04</v>
      </c>
      <c r="K15" s="1"/>
      <c r="L15" s="1"/>
      <c r="M15">
        <f>G15-D15</f>
        <v>-0.19999999999999996</v>
      </c>
    </row>
    <row r="16" spans="3:13" x14ac:dyDescent="0.25">
      <c r="C16" t="s">
        <v>65</v>
      </c>
      <c r="D16">
        <v>0.2</v>
      </c>
      <c r="E16" s="6">
        <v>3.5000000000000003E-2</v>
      </c>
      <c r="G16">
        <v>0.3</v>
      </c>
      <c r="H16" s="6">
        <v>0.05</v>
      </c>
      <c r="I16" s="1">
        <f>H16-E16</f>
        <v>1.4999999999999999E-2</v>
      </c>
      <c r="K16" s="6"/>
      <c r="L16" s="1"/>
      <c r="M16">
        <f>G16-D16</f>
        <v>9.9999999999999978E-2</v>
      </c>
    </row>
    <row r="17" spans="3:14" x14ac:dyDescent="0.25">
      <c r="C17" t="s">
        <v>66</v>
      </c>
      <c r="D17">
        <v>0.1</v>
      </c>
      <c r="E17" s="6">
        <v>3.0000000000000001E-3</v>
      </c>
      <c r="G17">
        <v>0.2</v>
      </c>
      <c r="H17" s="6">
        <v>3.0000000000000001E-3</v>
      </c>
      <c r="I17" s="1">
        <f>H17-E17</f>
        <v>0</v>
      </c>
      <c r="K17" s="6"/>
      <c r="L17" s="1"/>
      <c r="M17">
        <f>G17-D17</f>
        <v>0.1</v>
      </c>
    </row>
    <row r="25" spans="3:14" x14ac:dyDescent="0.25">
      <c r="C25">
        <v>1</v>
      </c>
      <c r="D25" t="s">
        <v>60</v>
      </c>
      <c r="E25" s="31">
        <f>SUMPRODUCT(D15:D17,E15:E17)</f>
        <v>3.5299999999999998E-2</v>
      </c>
    </row>
    <row r="26" spans="3:14" x14ac:dyDescent="0.25">
      <c r="C26">
        <v>2</v>
      </c>
      <c r="D26" t="s">
        <v>62</v>
      </c>
      <c r="E26" s="7">
        <f>SUMPRODUCT(G15:G17,H15:H17)</f>
        <v>5.5600000000000004E-2</v>
      </c>
      <c r="G26" s="2">
        <f>E26-E25</f>
        <v>2.0300000000000006E-2</v>
      </c>
      <c r="H26" t="s">
        <v>67</v>
      </c>
    </row>
    <row r="27" spans="3:14" ht="15.75" thickBot="1" x14ac:dyDescent="0.3">
      <c r="E27" s="7"/>
      <c r="G27" s="6"/>
      <c r="M27" s="13" t="s">
        <v>168</v>
      </c>
      <c r="N27" s="13" t="s">
        <v>168</v>
      </c>
    </row>
    <row r="28" spans="3:14" ht="60.75" thickBot="1" x14ac:dyDescent="0.3">
      <c r="M28" s="14" t="s">
        <v>73</v>
      </c>
      <c r="N28" s="15" t="s">
        <v>74</v>
      </c>
    </row>
    <row r="29" spans="3:14" ht="15.75" thickBot="1" x14ac:dyDescent="0.3">
      <c r="M29" s="20">
        <f>F35</f>
        <v>2.4500000000000001E-2</v>
      </c>
      <c r="N29" s="21">
        <f>H35</f>
        <v>-4.1999999999999997E-3</v>
      </c>
    </row>
    <row r="35" spans="3:10" x14ac:dyDescent="0.25">
      <c r="C35">
        <v>1</v>
      </c>
      <c r="D35" t="s">
        <v>1</v>
      </c>
      <c r="E35" t="s">
        <v>68</v>
      </c>
      <c r="F35" s="7">
        <f>SUMPRODUCT(G15:G17,I15:I17)</f>
        <v>2.4500000000000001E-2</v>
      </c>
      <c r="G35" t="s">
        <v>69</v>
      </c>
      <c r="H35" s="7">
        <f>M15*(E15-E25)+M16*(E16-E25)+M17*(E17-E25)</f>
        <v>-4.1999999999999997E-3</v>
      </c>
      <c r="I35" t="s">
        <v>70</v>
      </c>
      <c r="J35" s="7">
        <f>H35+F35</f>
        <v>2.0300000000000002E-2</v>
      </c>
    </row>
    <row r="36" spans="3:10" x14ac:dyDescent="0.25">
      <c r="F36" s="7"/>
      <c r="H36" s="7"/>
      <c r="J36" s="6"/>
    </row>
    <row r="37" spans="3:10" x14ac:dyDescent="0.25">
      <c r="E37" t="s">
        <v>71</v>
      </c>
    </row>
    <row r="38" spans="3:10" x14ac:dyDescent="0.25">
      <c r="E38" t="s">
        <v>72</v>
      </c>
      <c r="H38" t="s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8"/>
  <sheetViews>
    <sheetView topLeftCell="A2" workbookViewId="0">
      <selection activeCell="E16" sqref="E16"/>
    </sheetView>
  </sheetViews>
  <sheetFormatPr defaultRowHeight="15" x14ac:dyDescent="0.25"/>
  <sheetData>
    <row r="3" spans="3:6" ht="15.75" thickBot="1" x14ac:dyDescent="0.3"/>
    <row r="4" spans="3:6" ht="15.75" thickBot="1" x14ac:dyDescent="0.3">
      <c r="C4" s="23"/>
      <c r="D4" s="24" t="s">
        <v>48</v>
      </c>
      <c r="E4" s="24" t="s">
        <v>49</v>
      </c>
      <c r="F4" s="24" t="s">
        <v>50</v>
      </c>
    </row>
    <row r="5" spans="3:6" ht="15.75" thickBot="1" x14ac:dyDescent="0.3">
      <c r="C5" s="25" t="s">
        <v>51</v>
      </c>
      <c r="D5" s="26">
        <v>0.32</v>
      </c>
      <c r="E5" s="27">
        <v>0.16</v>
      </c>
      <c r="F5" s="28">
        <v>1.5</v>
      </c>
    </row>
    <row r="6" spans="3:6" ht="15.75" thickBot="1" x14ac:dyDescent="0.3">
      <c r="C6" s="25" t="s">
        <v>52</v>
      </c>
      <c r="D6" s="26">
        <v>0.17</v>
      </c>
      <c r="E6" s="27">
        <v>0.14000000000000001</v>
      </c>
      <c r="F6" s="29"/>
    </row>
    <row r="7" spans="3:6" ht="15.75" thickBot="1" x14ac:dyDescent="0.3">
      <c r="C7" s="25" t="s">
        <v>53</v>
      </c>
      <c r="D7" s="26">
        <v>0.06</v>
      </c>
      <c r="E7" s="26">
        <v>0</v>
      </c>
      <c r="F7" s="29"/>
    </row>
    <row r="10" spans="3:6" x14ac:dyDescent="0.25">
      <c r="C10" s="30"/>
    </row>
    <row r="11" spans="3:6" x14ac:dyDescent="0.25">
      <c r="C11" s="30"/>
      <c r="D11" s="6"/>
    </row>
    <row r="13" spans="3:6" x14ac:dyDescent="0.25">
      <c r="C13" t="s">
        <v>54</v>
      </c>
      <c r="D13">
        <f>D7+((D6-D7)*E5/E6)</f>
        <v>0.18571428571428572</v>
      </c>
      <c r="E13" t="s">
        <v>55</v>
      </c>
    </row>
    <row r="14" spans="3:6" x14ac:dyDescent="0.25">
      <c r="C14" t="s">
        <v>56</v>
      </c>
      <c r="D14" s="6">
        <f>D5-D13</f>
        <v>0.13428571428571429</v>
      </c>
    </row>
    <row r="15" spans="3:6" x14ac:dyDescent="0.25">
      <c r="D15" s="11" t="s">
        <v>57</v>
      </c>
    </row>
    <row r="16" spans="3:6" ht="15.75" thickBot="1" x14ac:dyDescent="0.3">
      <c r="C16" s="13" t="s">
        <v>168</v>
      </c>
      <c r="D16" s="13" t="s">
        <v>168</v>
      </c>
      <c r="E16" s="13" t="s">
        <v>177</v>
      </c>
    </row>
    <row r="17" spans="3:4" ht="45.75" thickBot="1" x14ac:dyDescent="0.3">
      <c r="C17" s="14" t="s">
        <v>75</v>
      </c>
      <c r="D17" s="15" t="s">
        <v>76</v>
      </c>
    </row>
    <row r="18" spans="3:4" ht="15.75" thickBot="1" x14ac:dyDescent="0.3">
      <c r="C18" s="20">
        <f>D14</f>
        <v>0.13428571428571429</v>
      </c>
      <c r="D18" s="19" t="s">
        <v>77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47" workbookViewId="0">
      <selection activeCell="C35" sqref="C35"/>
    </sheetView>
  </sheetViews>
  <sheetFormatPr defaultRowHeight="15" x14ac:dyDescent="0.25"/>
  <cols>
    <col min="2" max="2" width="38.140625" customWidth="1"/>
    <col min="5" max="5" width="15" bestFit="1" customWidth="1"/>
    <col min="6" max="6" width="16" bestFit="1" customWidth="1"/>
    <col min="7" max="7" width="23.5703125" bestFit="1" customWidth="1"/>
  </cols>
  <sheetData>
    <row r="1" spans="1:14" x14ac:dyDescent="0.25">
      <c r="A1" t="s">
        <v>104</v>
      </c>
      <c r="F1" s="11"/>
      <c r="G1" s="11"/>
    </row>
    <row r="2" spans="1:14" ht="15.75" thickBot="1" x14ac:dyDescent="0.3">
      <c r="A2" t="s">
        <v>78</v>
      </c>
      <c r="B2">
        <v>1000</v>
      </c>
      <c r="F2" s="11"/>
      <c r="G2" s="38"/>
      <c r="H2" s="13"/>
    </row>
    <row r="3" spans="1:14" ht="30.75" thickBot="1" x14ac:dyDescent="0.3">
      <c r="A3" t="s">
        <v>79</v>
      </c>
      <c r="B3">
        <v>6</v>
      </c>
      <c r="C3" t="s">
        <v>80</v>
      </c>
      <c r="J3" s="32" t="s">
        <v>81</v>
      </c>
      <c r="K3" s="33" t="s">
        <v>82</v>
      </c>
      <c r="L3" s="33" t="s">
        <v>83</v>
      </c>
      <c r="M3" s="33" t="s">
        <v>84</v>
      </c>
    </row>
    <row r="4" spans="1:14" ht="30.75" thickBot="1" x14ac:dyDescent="0.3">
      <c r="A4" t="s">
        <v>85</v>
      </c>
      <c r="B4" s="1">
        <f>L4/2</f>
        <v>0.04</v>
      </c>
      <c r="J4" s="34" t="s">
        <v>86</v>
      </c>
      <c r="K4" s="35" t="s">
        <v>89</v>
      </c>
      <c r="L4" s="36">
        <v>0.08</v>
      </c>
      <c r="M4" s="35" t="s">
        <v>87</v>
      </c>
      <c r="N4" s="1">
        <v>0.09</v>
      </c>
    </row>
    <row r="5" spans="1:14" ht="15.75" thickBot="1" x14ac:dyDescent="0.3">
      <c r="A5" t="s">
        <v>88</v>
      </c>
      <c r="B5" s="10">
        <f>N4/2</f>
        <v>4.4999999999999998E-2</v>
      </c>
      <c r="J5" s="34"/>
      <c r="K5" s="35"/>
      <c r="L5" s="36"/>
      <c r="M5" s="35"/>
      <c r="N5" s="1"/>
    </row>
    <row r="6" spans="1:14" x14ac:dyDescent="0.25">
      <c r="A6" s="37" t="s">
        <v>90</v>
      </c>
      <c r="B6" s="37" t="s">
        <v>91</v>
      </c>
      <c r="C6" s="37" t="s">
        <v>92</v>
      </c>
      <c r="D6" s="37" t="s">
        <v>93</v>
      </c>
      <c r="E6" s="37" t="s">
        <v>94</v>
      </c>
      <c r="F6" s="37" t="s">
        <v>95</v>
      </c>
      <c r="G6" s="37" t="s">
        <v>96</v>
      </c>
    </row>
    <row r="7" spans="1:14" x14ac:dyDescent="0.25">
      <c r="A7">
        <v>1</v>
      </c>
      <c r="B7">
        <f>$B$4*$B$2</f>
        <v>40</v>
      </c>
      <c r="C7">
        <f>1/(1+$B$5)^A7</f>
        <v>0.95693779904306231</v>
      </c>
      <c r="D7">
        <f>B7*C7</f>
        <v>38.277511961722496</v>
      </c>
      <c r="E7">
        <f>D7/$D$15</f>
        <v>3.929079655355875E-2</v>
      </c>
      <c r="F7">
        <f>E7*A7</f>
        <v>3.929079655355875E-2</v>
      </c>
      <c r="G7">
        <f>(A7*A7+A7)*E7</f>
        <v>7.8581593107117501E-2</v>
      </c>
    </row>
    <row r="8" spans="1:14" x14ac:dyDescent="0.25">
      <c r="A8">
        <v>2</v>
      </c>
      <c r="B8">
        <f t="shared" ref="B8:B11" si="0">$B$4*$B$2</f>
        <v>40</v>
      </c>
      <c r="C8">
        <f t="shared" ref="C8:C12" si="1">1/(1+$B$5)^A8</f>
        <v>0.91572995123738021</v>
      </c>
      <c r="D8">
        <f t="shared" ref="D8:D12" si="2">B8*C8</f>
        <v>36.629198049495209</v>
      </c>
      <c r="E8">
        <f t="shared" ref="E8:E12" si="3">D8/$D$15</f>
        <v>3.7598848376611239E-2</v>
      </c>
      <c r="F8">
        <f t="shared" ref="F8:F12" si="4">E8*A8</f>
        <v>7.5197696753222479E-2</v>
      </c>
      <c r="G8">
        <f t="shared" ref="G8:G12" si="5">(A8*A8+A8)*E8</f>
        <v>0.22559309025966745</v>
      </c>
    </row>
    <row r="9" spans="1:14" x14ac:dyDescent="0.25">
      <c r="A9">
        <v>3</v>
      </c>
      <c r="B9">
        <f t="shared" si="0"/>
        <v>40</v>
      </c>
      <c r="C9">
        <f t="shared" si="1"/>
        <v>0.87629660405490928</v>
      </c>
      <c r="D9">
        <f t="shared" si="2"/>
        <v>35.051864162196374</v>
      </c>
      <c r="E9">
        <f t="shared" si="3"/>
        <v>3.5979759212068176E-2</v>
      </c>
      <c r="F9">
        <f t="shared" si="4"/>
        <v>0.10793927763620453</v>
      </c>
      <c r="G9">
        <f t="shared" si="5"/>
        <v>0.43175711054481813</v>
      </c>
    </row>
    <row r="10" spans="1:14" x14ac:dyDescent="0.25">
      <c r="A10">
        <v>4</v>
      </c>
      <c r="B10">
        <f t="shared" si="0"/>
        <v>40</v>
      </c>
      <c r="C10">
        <f t="shared" si="1"/>
        <v>0.83856134359321488</v>
      </c>
      <c r="D10">
        <f t="shared" si="2"/>
        <v>33.542453743728593</v>
      </c>
      <c r="E10">
        <f t="shared" si="3"/>
        <v>3.4430391590495865E-2</v>
      </c>
      <c r="F10">
        <f t="shared" si="4"/>
        <v>0.13772156636198346</v>
      </c>
      <c r="G10">
        <f t="shared" si="5"/>
        <v>0.68860783180991736</v>
      </c>
      <c r="K10" s="5"/>
    </row>
    <row r="11" spans="1:14" x14ac:dyDescent="0.25">
      <c r="A11">
        <v>5</v>
      </c>
      <c r="B11">
        <f t="shared" si="0"/>
        <v>40</v>
      </c>
      <c r="C11">
        <f t="shared" si="1"/>
        <v>0.80245104650068411</v>
      </c>
      <c r="D11">
        <f t="shared" si="2"/>
        <v>32.098041860027365</v>
      </c>
      <c r="E11">
        <f t="shared" si="3"/>
        <v>3.2947743148799877E-2</v>
      </c>
      <c r="F11">
        <f t="shared" si="4"/>
        <v>0.1647387157439994</v>
      </c>
      <c r="G11">
        <f t="shared" si="5"/>
        <v>0.98843229446399627</v>
      </c>
      <c r="K11" s="5"/>
    </row>
    <row r="12" spans="1:14" x14ac:dyDescent="0.25">
      <c r="A12">
        <v>6</v>
      </c>
      <c r="B12">
        <f>$B$4*$B$2+B2</f>
        <v>1040</v>
      </c>
      <c r="C12">
        <f t="shared" si="1"/>
        <v>0.76789573827816682</v>
      </c>
      <c r="D12">
        <f t="shared" si="2"/>
        <v>798.61156780929355</v>
      </c>
      <c r="E12">
        <f t="shared" si="3"/>
        <v>0.81975246111846611</v>
      </c>
      <c r="F12">
        <f t="shared" si="4"/>
        <v>4.9185147667107962</v>
      </c>
      <c r="G12">
        <f t="shared" si="5"/>
        <v>34.429603366975577</v>
      </c>
    </row>
    <row r="15" spans="1:14" x14ac:dyDescent="0.25">
      <c r="D15">
        <f>SUM(D7:D12)</f>
        <v>974.21063758646358</v>
      </c>
      <c r="F15">
        <f>SUM(F7:F12)</f>
        <v>5.4434028197597648</v>
      </c>
      <c r="G15">
        <f>SUM(G7:G12)</f>
        <v>36.842575287161097</v>
      </c>
    </row>
    <row r="16" spans="1:14" x14ac:dyDescent="0.25">
      <c r="B16" t="s">
        <v>97</v>
      </c>
      <c r="C16">
        <f>F15/2</f>
        <v>2.7217014098798824</v>
      </c>
      <c r="F16">
        <f>F15/(1+B5)</f>
        <v>5.2089979136457085</v>
      </c>
    </row>
    <row r="17" spans="2:15" x14ac:dyDescent="0.25">
      <c r="B17" t="s">
        <v>98</v>
      </c>
      <c r="C17">
        <f>G15/(4*(1+B5)^2)</f>
        <v>8.4344624177928864</v>
      </c>
    </row>
    <row r="19" spans="2:15" x14ac:dyDescent="0.25">
      <c r="B19" t="s">
        <v>99</v>
      </c>
      <c r="C19">
        <f>F16/2</f>
        <v>2.6044989568228543</v>
      </c>
      <c r="D19" s="11" t="s">
        <v>100</v>
      </c>
      <c r="F19" s="39" t="s">
        <v>166</v>
      </c>
    </row>
    <row r="20" spans="2:15" x14ac:dyDescent="0.25">
      <c r="B20" t="s">
        <v>98</v>
      </c>
      <c r="C20">
        <f>C17</f>
        <v>8.4344624177928864</v>
      </c>
      <c r="D20" s="11" t="s">
        <v>100</v>
      </c>
      <c r="F20" s="39" t="s">
        <v>166</v>
      </c>
    </row>
    <row r="22" spans="2:15" x14ac:dyDescent="0.25">
      <c r="B22" t="s">
        <v>105</v>
      </c>
      <c r="C22" t="s">
        <v>120</v>
      </c>
    </row>
    <row r="25" spans="2:15" x14ac:dyDescent="0.25">
      <c r="B25" s="11" t="s">
        <v>101</v>
      </c>
    </row>
    <row r="26" spans="2:15" x14ac:dyDescent="0.25">
      <c r="B26" t="s">
        <v>102</v>
      </c>
      <c r="C26" s="8">
        <f>-C19*(350*0.01%)</f>
        <v>-9.1157463488799911E-2</v>
      </c>
    </row>
    <row r="28" spans="2:15" x14ac:dyDescent="0.25">
      <c r="B28" s="11" t="s">
        <v>103</v>
      </c>
      <c r="C28" s="11"/>
    </row>
    <row r="29" spans="2:15" x14ac:dyDescent="0.25">
      <c r="B29" s="11"/>
      <c r="C29" s="11"/>
    </row>
    <row r="30" spans="2:15" x14ac:dyDescent="0.25">
      <c r="B30" s="11" t="s">
        <v>105</v>
      </c>
      <c r="C30" s="38">
        <f>C26+C20*0.5*(350*0.01%*350*0.01%)</f>
        <v>-8.5991355257901775E-2</v>
      </c>
      <c r="F30" s="13" t="s">
        <v>168</v>
      </c>
    </row>
    <row r="32" spans="2:15" x14ac:dyDescent="0.25">
      <c r="B32" s="11"/>
      <c r="O32" s="39"/>
    </row>
    <row r="33" spans="1:5" x14ac:dyDescent="0.25">
      <c r="B33" s="11"/>
      <c r="E33" s="13"/>
    </row>
    <row r="34" spans="1:5" x14ac:dyDescent="0.25">
      <c r="B34" s="11"/>
      <c r="E34" s="13"/>
    </row>
    <row r="35" spans="1:5" x14ac:dyDescent="0.25">
      <c r="A35">
        <v>2.2999999999999998</v>
      </c>
    </row>
    <row r="39" spans="1:5" x14ac:dyDescent="0.25">
      <c r="B39" s="13" t="s">
        <v>107</v>
      </c>
    </row>
    <row r="48" spans="1:5" x14ac:dyDescent="0.25">
      <c r="A48">
        <v>2.4</v>
      </c>
      <c r="B48" t="s">
        <v>108</v>
      </c>
      <c r="C48">
        <v>2</v>
      </c>
      <c r="D48" s="1">
        <v>0.2</v>
      </c>
    </row>
    <row r="49" spans="2:7" x14ac:dyDescent="0.25">
      <c r="B49" t="s">
        <v>109</v>
      </c>
      <c r="C49">
        <f>(1+9%)/(9%)</f>
        <v>12.111111111111112</v>
      </c>
      <c r="D49">
        <f>30%</f>
        <v>0.3</v>
      </c>
      <c r="F49" s="39"/>
    </row>
    <row r="51" spans="2:7" x14ac:dyDescent="0.25">
      <c r="B51" t="s">
        <v>110</v>
      </c>
      <c r="C51">
        <f>C16</f>
        <v>2.7217014098798824</v>
      </c>
    </row>
    <row r="53" spans="2:7" x14ac:dyDescent="0.25">
      <c r="B53" t="s">
        <v>111</v>
      </c>
    </row>
    <row r="54" spans="2:7" x14ac:dyDescent="0.25">
      <c r="B54" t="s">
        <v>112</v>
      </c>
      <c r="C54">
        <v>7</v>
      </c>
      <c r="D54" t="s">
        <v>113</v>
      </c>
    </row>
    <row r="55" spans="2:7" x14ac:dyDescent="0.25">
      <c r="B55" t="s">
        <v>114</v>
      </c>
    </row>
    <row r="56" spans="2:7" x14ac:dyDescent="0.25">
      <c r="B56" t="s">
        <v>121</v>
      </c>
      <c r="C56" t="s">
        <v>15</v>
      </c>
    </row>
    <row r="57" spans="2:7" x14ac:dyDescent="0.25">
      <c r="B57" t="s">
        <v>115</v>
      </c>
      <c r="C57" t="s">
        <v>122</v>
      </c>
    </row>
    <row r="59" spans="2:7" x14ac:dyDescent="0.25">
      <c r="B59" t="s">
        <v>124</v>
      </c>
      <c r="F59" s="39"/>
      <c r="G59" t="s">
        <v>116</v>
      </c>
    </row>
    <row r="61" spans="2:7" x14ac:dyDescent="0.25">
      <c r="B61">
        <f>7-20%*2-0.8*2.7217</f>
        <v>4.4226399999999995</v>
      </c>
    </row>
    <row r="62" spans="2:7" x14ac:dyDescent="0.25">
      <c r="B62">
        <f>B61/(12.11-2.7217)</f>
        <v>0.4710799612283374</v>
      </c>
    </row>
    <row r="64" spans="2:7" x14ac:dyDescent="0.25">
      <c r="B64" s="12">
        <f>B62</f>
        <v>0.4710799612283374</v>
      </c>
      <c r="C64" s="11" t="s">
        <v>15</v>
      </c>
      <c r="D64" s="11" t="s">
        <v>119</v>
      </c>
      <c r="F64" s="13" t="s">
        <v>168</v>
      </c>
      <c r="G64" s="75"/>
    </row>
    <row r="65" spans="2:7" x14ac:dyDescent="0.25">
      <c r="B65" s="40">
        <f>0.8-B64</f>
        <v>0.32892003877166265</v>
      </c>
      <c r="C65" s="11" t="s">
        <v>122</v>
      </c>
      <c r="D65" s="11" t="s">
        <v>117</v>
      </c>
      <c r="F65" s="13" t="s">
        <v>168</v>
      </c>
      <c r="G65" s="75"/>
    </row>
    <row r="66" spans="2:7" x14ac:dyDescent="0.25">
      <c r="B66" s="12"/>
      <c r="C66" s="11"/>
      <c r="D66" s="11"/>
    </row>
    <row r="67" spans="2:7" x14ac:dyDescent="0.25">
      <c r="B67" s="12">
        <f>20%</f>
        <v>0.2</v>
      </c>
      <c r="C67" s="11" t="s">
        <v>118</v>
      </c>
      <c r="D67" s="11" t="s">
        <v>123</v>
      </c>
    </row>
  </sheetData>
  <mergeCells count="1">
    <mergeCell ref="G64:G6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32" workbookViewId="0">
      <selection activeCell="M52" sqref="M52"/>
    </sheetView>
  </sheetViews>
  <sheetFormatPr defaultRowHeight="15" x14ac:dyDescent="0.25"/>
  <cols>
    <col min="2" max="2" width="15.140625" customWidth="1"/>
    <col min="8" max="8" width="22.42578125" bestFit="1" customWidth="1"/>
  </cols>
  <sheetData>
    <row r="1" spans="2:11" ht="15.75" thickBot="1" x14ac:dyDescent="0.3"/>
    <row r="2" spans="2:11" ht="15.75" thickBot="1" x14ac:dyDescent="0.3">
      <c r="C2" s="41" t="s">
        <v>125</v>
      </c>
      <c r="D2" s="42" t="s">
        <v>126</v>
      </c>
      <c r="E2" s="42" t="s">
        <v>127</v>
      </c>
      <c r="F2" s="42" t="s">
        <v>128</v>
      </c>
      <c r="I2" s="43" t="s">
        <v>129</v>
      </c>
    </row>
    <row r="3" spans="2:11" ht="15.75" thickBot="1" x14ac:dyDescent="0.3">
      <c r="C3" s="44" t="s">
        <v>0</v>
      </c>
      <c r="D3" s="45">
        <v>1500</v>
      </c>
      <c r="E3" s="46">
        <v>0.18</v>
      </c>
      <c r="F3" s="46">
        <v>0.25</v>
      </c>
      <c r="I3">
        <f>D3/D6</f>
        <v>0.51724137931034486</v>
      </c>
    </row>
    <row r="4" spans="2:11" ht="15.75" thickBot="1" x14ac:dyDescent="0.3">
      <c r="C4" s="44" t="s">
        <v>81</v>
      </c>
      <c r="D4" s="45">
        <v>800</v>
      </c>
      <c r="E4" s="46">
        <v>0.09</v>
      </c>
      <c r="F4" s="46">
        <v>0.12</v>
      </c>
      <c r="I4">
        <f>D4/D6</f>
        <v>0.27586206896551724</v>
      </c>
    </row>
    <row r="5" spans="2:11" ht="15.75" thickBot="1" x14ac:dyDescent="0.3">
      <c r="C5" s="44" t="s">
        <v>66</v>
      </c>
      <c r="D5" s="45">
        <v>600</v>
      </c>
      <c r="E5" s="46">
        <v>0.06</v>
      </c>
      <c r="F5" s="46">
        <v>0</v>
      </c>
      <c r="I5">
        <f>D5/D6</f>
        <v>0.20689655172413793</v>
      </c>
    </row>
    <row r="6" spans="2:11" x14ac:dyDescent="0.25">
      <c r="D6">
        <f>SUM(D3:D5)</f>
        <v>2900</v>
      </c>
      <c r="G6">
        <v>3.1</v>
      </c>
      <c r="H6" s="11" t="s">
        <v>130</v>
      </c>
      <c r="I6" s="12">
        <f>SUMPRODUCT(I3:I5,E3:E5)</f>
        <v>0.13034482758620691</v>
      </c>
      <c r="K6" s="13" t="s">
        <v>166</v>
      </c>
    </row>
    <row r="7" spans="2:11" ht="15.75" thickBot="1" x14ac:dyDescent="0.3"/>
    <row r="8" spans="2:11" ht="29.25" thickBot="1" x14ac:dyDescent="0.3">
      <c r="B8" s="47" t="s">
        <v>131</v>
      </c>
      <c r="C8" s="33" t="s">
        <v>0</v>
      </c>
      <c r="D8" s="33" t="s">
        <v>81</v>
      </c>
      <c r="E8" s="33" t="s">
        <v>66</v>
      </c>
      <c r="F8" s="33" t="s">
        <v>132</v>
      </c>
    </row>
    <row r="9" spans="2:11" ht="15.75" thickBot="1" x14ac:dyDescent="0.3">
      <c r="B9" s="34" t="s">
        <v>0</v>
      </c>
      <c r="C9" s="35">
        <v>1</v>
      </c>
      <c r="D9" s="35">
        <v>-0.3</v>
      </c>
      <c r="E9" s="35" t="s">
        <v>133</v>
      </c>
      <c r="F9" s="35">
        <v>0.8</v>
      </c>
    </row>
    <row r="10" spans="2:11" ht="15.75" thickBot="1" x14ac:dyDescent="0.3">
      <c r="B10" s="34" t="s">
        <v>81</v>
      </c>
      <c r="C10" s="35">
        <v>-0.3</v>
      </c>
      <c r="D10" s="35">
        <v>1</v>
      </c>
      <c r="E10" s="35">
        <v>0</v>
      </c>
      <c r="F10" s="35">
        <v>0.2</v>
      </c>
    </row>
    <row r="11" spans="2:11" ht="15.75" thickBot="1" x14ac:dyDescent="0.3">
      <c r="B11" s="34" t="s">
        <v>66</v>
      </c>
      <c r="C11" s="35">
        <v>0</v>
      </c>
      <c r="D11" s="35">
        <v>0</v>
      </c>
      <c r="E11" s="35">
        <v>1</v>
      </c>
      <c r="F11" s="35">
        <v>0</v>
      </c>
    </row>
    <row r="12" spans="2:11" ht="15.75" thickBot="1" x14ac:dyDescent="0.3">
      <c r="B12" s="34" t="s">
        <v>132</v>
      </c>
      <c r="C12" s="35">
        <v>0.8</v>
      </c>
      <c r="D12" s="35">
        <v>0.2</v>
      </c>
      <c r="E12" s="35">
        <v>0</v>
      </c>
      <c r="F12" s="35">
        <v>1</v>
      </c>
    </row>
    <row r="14" spans="2:11" x14ac:dyDescent="0.25">
      <c r="B14" s="48" t="s">
        <v>134</v>
      </c>
      <c r="D14" s="1">
        <v>0.08</v>
      </c>
    </row>
    <row r="15" spans="2:11" ht="45" x14ac:dyDescent="0.25">
      <c r="B15" s="48" t="s">
        <v>135</v>
      </c>
      <c r="D15" s="1">
        <v>0.24</v>
      </c>
    </row>
    <row r="17" spans="1:5" ht="43.5" thickBot="1" x14ac:dyDescent="0.3">
      <c r="B17" s="49" t="s">
        <v>20</v>
      </c>
    </row>
    <row r="18" spans="1:5" ht="45.75" thickBot="1" x14ac:dyDescent="0.3">
      <c r="B18" s="48" t="s">
        <v>136</v>
      </c>
      <c r="C18" s="33" t="s">
        <v>0</v>
      </c>
      <c r="D18" s="33" t="s">
        <v>81</v>
      </c>
      <c r="E18" s="33" t="s">
        <v>66</v>
      </c>
    </row>
    <row r="19" spans="1:5" ht="15.75" thickBot="1" x14ac:dyDescent="0.3">
      <c r="B19" s="34" t="s">
        <v>0</v>
      </c>
      <c r="C19" s="7">
        <f>F3*F3</f>
        <v>6.25E-2</v>
      </c>
      <c r="D19" s="7">
        <f>C20</f>
        <v>-8.9999999999999993E-3</v>
      </c>
      <c r="E19" s="7">
        <v>0</v>
      </c>
    </row>
    <row r="20" spans="1:5" ht="15.75" thickBot="1" x14ac:dyDescent="0.3">
      <c r="B20" s="34" t="s">
        <v>81</v>
      </c>
      <c r="C20" s="7">
        <f>C10*F3*F4</f>
        <v>-8.9999999999999993E-3</v>
      </c>
      <c r="D20" s="7">
        <f>F4*F4</f>
        <v>1.44E-2</v>
      </c>
      <c r="E20" s="7">
        <v>0</v>
      </c>
    </row>
    <row r="21" spans="1:5" ht="15.75" thickBot="1" x14ac:dyDescent="0.3">
      <c r="B21" s="34" t="s">
        <v>66</v>
      </c>
      <c r="C21" s="7">
        <f>0</f>
        <v>0</v>
      </c>
      <c r="D21" s="7">
        <v>0</v>
      </c>
      <c r="E21" s="7">
        <f>F5</f>
        <v>0</v>
      </c>
    </row>
    <row r="23" spans="1:5" ht="18" x14ac:dyDescent="0.25">
      <c r="B23" s="48" t="s">
        <v>137</v>
      </c>
      <c r="C23">
        <f t="array" ref="C23">MMULT(MMULT(TRANSPOSE(I3:I5),C19:E21),I3:I5)</f>
        <v>1.5248632580261596E-2</v>
      </c>
    </row>
    <row r="24" spans="1:5" ht="42.75" x14ac:dyDescent="0.25">
      <c r="A24">
        <v>3.1</v>
      </c>
      <c r="B24" s="49" t="s">
        <v>138</v>
      </c>
      <c r="C24" s="12">
        <f>SQRT(C23)</f>
        <v>0.12348535370748061</v>
      </c>
      <c r="E24" s="13" t="s">
        <v>168</v>
      </c>
    </row>
    <row r="27" spans="1:5" x14ac:dyDescent="0.25">
      <c r="A27">
        <v>3.2</v>
      </c>
      <c r="B27" t="s">
        <v>139</v>
      </c>
      <c r="C27" t="s">
        <v>140</v>
      </c>
    </row>
    <row r="29" spans="1:5" x14ac:dyDescent="0.25">
      <c r="B29" t="s">
        <v>0</v>
      </c>
      <c r="C29">
        <f>C12*F3*D15/(D15*D15)</f>
        <v>0.83333333333333337</v>
      </c>
      <c r="E29" s="13" t="s">
        <v>169</v>
      </c>
    </row>
    <row r="30" spans="1:5" x14ac:dyDescent="0.25">
      <c r="B30" t="s">
        <v>81</v>
      </c>
      <c r="C30">
        <f>D12*F4*D15/(D15*D15)</f>
        <v>9.9999999999999992E-2</v>
      </c>
      <c r="E30" s="13" t="s">
        <v>169</v>
      </c>
    </row>
    <row r="31" spans="1:5" x14ac:dyDescent="0.25">
      <c r="B31" t="s">
        <v>66</v>
      </c>
      <c r="C31">
        <f>F11</f>
        <v>0</v>
      </c>
      <c r="E31" s="13" t="s">
        <v>169</v>
      </c>
    </row>
    <row r="32" spans="1:5" x14ac:dyDescent="0.25">
      <c r="E32" s="13"/>
    </row>
    <row r="33" spans="1:7" x14ac:dyDescent="0.25">
      <c r="B33" t="s">
        <v>141</v>
      </c>
      <c r="C33">
        <f>SUMPRODUCT(C29:C31,I3:I5)</f>
        <v>0.45862068965517244</v>
      </c>
      <c r="E33" s="13" t="s">
        <v>169</v>
      </c>
    </row>
    <row r="34" spans="1:7" x14ac:dyDescent="0.25">
      <c r="A34">
        <v>3.3</v>
      </c>
    </row>
    <row r="35" spans="1:7" x14ac:dyDescent="0.25">
      <c r="A35" s="76"/>
      <c r="D35" s="13"/>
      <c r="E35" s="11"/>
      <c r="G35" s="77"/>
    </row>
    <row r="36" spans="1:7" x14ac:dyDescent="0.25">
      <c r="A36" s="76"/>
      <c r="D36" s="13"/>
      <c r="E36" s="11"/>
      <c r="G36" s="77"/>
    </row>
    <row r="38" spans="1:7" x14ac:dyDescent="0.25">
      <c r="A38" s="76"/>
    </row>
    <row r="39" spans="1:7" x14ac:dyDescent="0.25">
      <c r="A39" s="76"/>
    </row>
    <row r="40" spans="1:7" x14ac:dyDescent="0.25">
      <c r="A40" s="50"/>
    </row>
    <row r="41" spans="1:7" x14ac:dyDescent="0.25">
      <c r="B41" t="s">
        <v>142</v>
      </c>
      <c r="C41">
        <f>E5+C33*(D14-E5)</f>
        <v>6.9172413793103446E-2</v>
      </c>
    </row>
    <row r="42" spans="1:7" x14ac:dyDescent="0.25">
      <c r="B42" t="s">
        <v>143</v>
      </c>
      <c r="C42" s="6">
        <f>I6-C41</f>
        <v>6.1172413793103467E-2</v>
      </c>
      <c r="E42" s="13" t="s">
        <v>170</v>
      </c>
    </row>
    <row r="43" spans="1:7" x14ac:dyDescent="0.25">
      <c r="C43" s="6"/>
    </row>
  </sheetData>
  <mergeCells count="3">
    <mergeCell ref="A35:A36"/>
    <mergeCell ref="G35:G36"/>
    <mergeCell ref="A38:A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31"/>
  <sheetViews>
    <sheetView topLeftCell="B22" workbookViewId="0">
      <selection activeCell="R16" sqref="R16"/>
    </sheetView>
  </sheetViews>
  <sheetFormatPr defaultRowHeight="15" x14ac:dyDescent="0.25"/>
  <cols>
    <col min="11" max="13" width="10.5703125" bestFit="1" customWidth="1"/>
  </cols>
  <sheetData>
    <row r="5" spans="1:21" ht="15.75" thickBot="1" x14ac:dyDescent="0.3">
      <c r="B5" t="s">
        <v>144</v>
      </c>
      <c r="D5" t="s">
        <v>2</v>
      </c>
      <c r="H5" t="s">
        <v>145</v>
      </c>
      <c r="J5" t="s">
        <v>162</v>
      </c>
      <c r="K5" t="s">
        <v>155</v>
      </c>
      <c r="L5" t="s">
        <v>156</v>
      </c>
      <c r="N5" t="s">
        <v>146</v>
      </c>
    </row>
    <row r="6" spans="1:21" ht="16.5" thickBot="1" x14ac:dyDescent="0.3">
      <c r="A6" t="s">
        <v>154</v>
      </c>
      <c r="B6" s="7">
        <f>0.2%*12</f>
        <v>2.4E-2</v>
      </c>
      <c r="D6" s="51">
        <v>0.8</v>
      </c>
      <c r="E6" s="52">
        <v>-0.5</v>
      </c>
      <c r="F6" s="52">
        <v>0.2</v>
      </c>
      <c r="H6" s="7">
        <v>0.06</v>
      </c>
      <c r="I6" t="s">
        <v>162</v>
      </c>
      <c r="J6" s="7">
        <f>1.5%*1.5%*12</f>
        <v>2.7000000000000001E-3</v>
      </c>
      <c r="K6" s="7">
        <f>-0.2*1.5%*1.2%*12</f>
        <v>-4.3199999999999998E-4</v>
      </c>
      <c r="L6" s="7">
        <f>J8</f>
        <v>-8.9999999999999998E-4</v>
      </c>
      <c r="N6" s="7">
        <f>0.1%*12</f>
        <v>1.2E-2</v>
      </c>
      <c r="O6" s="7">
        <v>0</v>
      </c>
      <c r="P6" s="7">
        <v>0</v>
      </c>
    </row>
    <row r="7" spans="1:21" ht="16.5" thickBot="1" x14ac:dyDescent="0.3">
      <c r="A7" t="s">
        <v>155</v>
      </c>
      <c r="B7" s="7">
        <f>1.8%*12</f>
        <v>0.21600000000000003</v>
      </c>
      <c r="D7" s="16">
        <v>0.3</v>
      </c>
      <c r="E7" s="18">
        <v>0.2</v>
      </c>
      <c r="F7" s="18">
        <v>0.4</v>
      </c>
      <c r="H7" s="7">
        <f>R14*12</f>
        <v>2.0000000000000004E-2</v>
      </c>
      <c r="I7" t="s">
        <v>155</v>
      </c>
      <c r="J7" s="7">
        <f>K6</f>
        <v>-4.3199999999999998E-4</v>
      </c>
      <c r="K7" s="7">
        <f>1.2%*1.2%*12</f>
        <v>1.7279999999999999E-3</v>
      </c>
      <c r="L7" s="7">
        <f>K8</f>
        <v>8.6399999999999997E-4</v>
      </c>
      <c r="N7" s="7">
        <v>0</v>
      </c>
      <c r="O7" s="7">
        <f>0.04%*12</f>
        <v>4.8000000000000004E-3</v>
      </c>
      <c r="P7" s="7">
        <v>0</v>
      </c>
    </row>
    <row r="8" spans="1:21" ht="16.5" thickBot="1" x14ac:dyDescent="0.3">
      <c r="A8" t="s">
        <v>156</v>
      </c>
      <c r="B8" s="7">
        <f>0.6%*12</f>
        <v>7.2000000000000008E-2</v>
      </c>
      <c r="D8" s="16">
        <v>0.3</v>
      </c>
      <c r="E8" s="18">
        <v>0.4</v>
      </c>
      <c r="F8" s="18">
        <v>0.2</v>
      </c>
      <c r="H8" s="7">
        <f>R15*12</f>
        <v>1.199999999999999E-2</v>
      </c>
      <c r="I8" t="s">
        <v>156</v>
      </c>
      <c r="J8" s="7">
        <f>-0.5*1.5%*1%*12</f>
        <v>-8.9999999999999998E-4</v>
      </c>
      <c r="K8" s="7">
        <f>0.6*1.2%*1%*12</f>
        <v>8.6399999999999997E-4</v>
      </c>
      <c r="L8" s="7">
        <f>1%*1%*12</f>
        <v>1.2000000000000001E-3</v>
      </c>
      <c r="N8" s="7">
        <v>0</v>
      </c>
      <c r="O8" s="7">
        <v>0</v>
      </c>
      <c r="P8" s="7">
        <f>0.01%*12</f>
        <v>1.2000000000000001E-3</v>
      </c>
    </row>
    <row r="9" spans="1:21" ht="15.75" thickBot="1" x14ac:dyDescent="0.3"/>
    <row r="10" spans="1:21" ht="30.75" thickBot="1" x14ac:dyDescent="0.3">
      <c r="G10" s="13" t="s">
        <v>147</v>
      </c>
      <c r="H10" s="53" t="s">
        <v>148</v>
      </c>
      <c r="J10" s="54" t="s">
        <v>149</v>
      </c>
      <c r="K10" s="13" t="s">
        <v>147</v>
      </c>
      <c r="L10" s="55"/>
      <c r="R10" s="14" t="s">
        <v>48</v>
      </c>
      <c r="S10" s="15" t="s">
        <v>157</v>
      </c>
      <c r="T10" s="15" t="s">
        <v>158</v>
      </c>
      <c r="U10" s="15" t="s">
        <v>159</v>
      </c>
    </row>
    <row r="11" spans="1:21" ht="30.75" thickBot="1" x14ac:dyDescent="0.3">
      <c r="F11" t="s">
        <v>176</v>
      </c>
      <c r="H11" s="56">
        <f t="array" ref="H11:H13">B6:B8+MMULT(D6:F8,H6:H8)</f>
        <v>6.4399999999999999E-2</v>
      </c>
      <c r="J11" s="58">
        <f t="array" ref="J11:L13">MMULT(D6:F8,MMULT(J6:L8,TRANSPOSE(D6:F8)))+N6:P8</f>
        <v>1.4092800000000001E-2</v>
      </c>
      <c r="K11" s="59">
        <v>8.6640000000000065E-5</v>
      </c>
      <c r="L11" s="60">
        <v>6.1680000000000101E-5</v>
      </c>
      <c r="R11" s="17" t="s">
        <v>160</v>
      </c>
      <c r="S11" s="21">
        <v>8.0000000000000002E-3</v>
      </c>
      <c r="T11" s="21">
        <v>6.0000000000000001E-3</v>
      </c>
      <c r="U11" s="21">
        <v>4.0000000000000001E-3</v>
      </c>
    </row>
    <row r="12" spans="1:21" ht="15.75" thickBot="1" x14ac:dyDescent="0.3">
      <c r="H12" s="56">
        <v>0.24280000000000002</v>
      </c>
      <c r="J12" s="58">
        <v>8.663999999999997E-5</v>
      </c>
      <c r="K12" s="59">
        <v>5.1745200000000002E-3</v>
      </c>
      <c r="L12" s="60">
        <v>4.1028000000000006E-4</v>
      </c>
      <c r="R12" s="17" t="s">
        <v>161</v>
      </c>
      <c r="S12" s="21">
        <v>3.0000000000000001E-3</v>
      </c>
      <c r="T12" s="21">
        <v>5.0000000000000001E-3</v>
      </c>
      <c r="U12" s="21">
        <v>5.0000000000000001E-3</v>
      </c>
    </row>
    <row r="13" spans="1:21" ht="15.75" thickBot="1" x14ac:dyDescent="0.3">
      <c r="H13" s="57">
        <v>0.10040000000000002</v>
      </c>
      <c r="J13" s="61">
        <v>6.1680000000000019E-5</v>
      </c>
      <c r="K13" s="62">
        <v>4.1028000000000006E-4</v>
      </c>
      <c r="L13" s="63">
        <v>1.6940400000000002E-3</v>
      </c>
    </row>
    <row r="14" spans="1:21" x14ac:dyDescent="0.25">
      <c r="Q14" t="s">
        <v>155</v>
      </c>
      <c r="R14" s="6">
        <f>AVERAGE(S11:U11)-AVERAGE(S12:U12)</f>
        <v>1.666666666666667E-3</v>
      </c>
    </row>
    <row r="15" spans="1:21" ht="15.75" thickBot="1" x14ac:dyDescent="0.3">
      <c r="H15" s="13" t="s">
        <v>147</v>
      </c>
      <c r="K15" s="13" t="s">
        <v>150</v>
      </c>
      <c r="Q15" t="s">
        <v>156</v>
      </c>
      <c r="R15" s="6">
        <f>AVERAGE(S11:S12)-AVERAGE(U11:U12)</f>
        <v>9.9999999999999915E-4</v>
      </c>
    </row>
    <row r="16" spans="1:21" x14ac:dyDescent="0.25">
      <c r="H16" s="53" t="s">
        <v>151</v>
      </c>
      <c r="K16" s="54" t="s">
        <v>152</v>
      </c>
      <c r="L16" s="64"/>
      <c r="M16" s="55"/>
    </row>
    <row r="17" spans="8:20" x14ac:dyDescent="0.25">
      <c r="H17" s="56">
        <f>SQRT(J11)</f>
        <v>0.11871309952991708</v>
      </c>
      <c r="K17" s="65">
        <v>1</v>
      </c>
      <c r="L17" s="66">
        <f>K11/(H17*H18)</f>
        <v>1.0145764195516115E-2</v>
      </c>
      <c r="M17" s="67">
        <f>K19</f>
        <v>1.2623619347544919E-2</v>
      </c>
    </row>
    <row r="18" spans="8:20" x14ac:dyDescent="0.25">
      <c r="H18" s="56">
        <f>SQRT(K12)</f>
        <v>7.193413654170043E-2</v>
      </c>
      <c r="K18" s="65">
        <f>L17</f>
        <v>1.0145764195516115E-2</v>
      </c>
      <c r="L18" s="66">
        <v>1</v>
      </c>
      <c r="M18" s="67">
        <f>L19</f>
        <v>0.13857455145689443</v>
      </c>
    </row>
    <row r="19" spans="8:20" ht="15.75" thickBot="1" x14ac:dyDescent="0.3">
      <c r="H19" s="57">
        <f>SQRT(L13)</f>
        <v>4.1158717181175607E-2</v>
      </c>
      <c r="K19" s="68">
        <f>J13/(H19*H17)</f>
        <v>1.2623619347544919E-2</v>
      </c>
      <c r="L19" s="69">
        <f>K13/(H19*H18)</f>
        <v>0.13857455145689443</v>
      </c>
      <c r="M19" s="70">
        <v>1</v>
      </c>
      <c r="T19" s="6"/>
    </row>
    <row r="21" spans="8:20" x14ac:dyDescent="0.25">
      <c r="K21" s="13" t="s">
        <v>106</v>
      </c>
    </row>
    <row r="22" spans="8:20" x14ac:dyDescent="0.25">
      <c r="K22" s="13" t="s">
        <v>163</v>
      </c>
    </row>
    <row r="23" spans="8:20" x14ac:dyDescent="0.25">
      <c r="J23" s="7"/>
      <c r="K23" s="71" t="s">
        <v>153</v>
      </c>
      <c r="L23" s="7"/>
    </row>
    <row r="24" spans="8:20" x14ac:dyDescent="0.25">
      <c r="J24" s="7"/>
      <c r="K24" s="7"/>
      <c r="L24" s="7"/>
    </row>
    <row r="25" spans="8:20" x14ac:dyDescent="0.25">
      <c r="H25">
        <v>4.4000000000000004</v>
      </c>
      <c r="I25" s="11"/>
      <c r="J25" s="7"/>
      <c r="K25" s="74" t="s">
        <v>171</v>
      </c>
      <c r="L25" s="7"/>
    </row>
    <row r="27" spans="8:20" ht="17.25" x14ac:dyDescent="0.25">
      <c r="I27" t="s">
        <v>172</v>
      </c>
    </row>
    <row r="29" spans="8:20" x14ac:dyDescent="0.25">
      <c r="I29" t="s">
        <v>173</v>
      </c>
    </row>
    <row r="30" spans="8:20" ht="17.25" x14ac:dyDescent="0.25">
      <c r="I30" t="s">
        <v>174</v>
      </c>
    </row>
    <row r="31" spans="8:20" ht="17.25" x14ac:dyDescent="0.25">
      <c r="I31" t="s">
        <v>175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Q2.1</vt:lpstr>
      <vt:lpstr>Q2.2</vt:lpstr>
      <vt:lpstr>Q2.3</vt:lpstr>
      <vt:lpstr>Q2.4</vt:lpstr>
      <vt:lpstr>Q2.5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2022-12-26T09:54:01Z</dcterms:modified>
</cp:coreProperties>
</file>