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116Sn(p,g)117Sb_Analysis\CNA\"/>
    </mc:Choice>
  </mc:AlternateContent>
  <bookViews>
    <workbookView xWindow="0" yWindow="0" windowWidth="16380" windowHeight="7305" tabRatio="668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07" i="8" l="1"/>
  <c r="Q111" i="8" s="1"/>
  <c r="P92" i="8"/>
  <c r="V92" i="8"/>
  <c r="W107" i="8"/>
  <c r="D83" i="8" l="1" a="1"/>
  <c r="E83" i="8" s="1"/>
  <c r="D85" i="8" l="1"/>
  <c r="D83" i="8"/>
  <c r="E86" i="8"/>
  <c r="E84" i="8"/>
  <c r="D86" i="8"/>
  <c r="D84" i="8"/>
  <c r="E85" i="8"/>
  <c r="V111" i="8"/>
  <c r="W111" i="8" s="1"/>
  <c r="P111" i="8"/>
  <c r="K105" i="8"/>
  <c r="K104" i="8"/>
  <c r="K103" i="8"/>
  <c r="K102" i="8"/>
  <c r="K101" i="8"/>
  <c r="K100" i="8"/>
  <c r="V107" i="8"/>
  <c r="T107" i="8"/>
  <c r="P107" i="8"/>
  <c r="N107" i="8"/>
  <c r="J105" i="8"/>
  <c r="J104" i="8"/>
  <c r="J103" i="8"/>
  <c r="J102" i="8"/>
  <c r="D102" i="8" a="1"/>
  <c r="E104" i="8" s="1"/>
  <c r="J101" i="8"/>
  <c r="J100" i="8"/>
  <c r="E103" i="8" l="1"/>
  <c r="E105" i="8"/>
  <c r="D103" i="8"/>
  <c r="D105" i="8"/>
  <c r="D102" i="8"/>
  <c r="D104" i="8"/>
  <c r="E102" i="8"/>
  <c r="K81" i="8"/>
  <c r="V88" i="8"/>
  <c r="T88" i="8"/>
  <c r="W88" i="8" s="1"/>
  <c r="P88" i="8"/>
  <c r="N88" i="8"/>
  <c r="J85" i="8"/>
  <c r="K85" i="8" s="1"/>
  <c r="J84" i="8"/>
  <c r="K84" i="8" s="1"/>
  <c r="J83" i="8"/>
  <c r="K83" i="8" s="1"/>
  <c r="J82" i="8"/>
  <c r="K82" i="8" s="1"/>
  <c r="J81" i="8"/>
  <c r="W50" i="8"/>
  <c r="W69" i="8"/>
  <c r="K67" i="8"/>
  <c r="K66" i="8"/>
  <c r="K65" i="8"/>
  <c r="K64" i="8"/>
  <c r="K63" i="8"/>
  <c r="K62" i="8"/>
  <c r="V69" i="8"/>
  <c r="T69" i="8"/>
  <c r="P69" i="8"/>
  <c r="N69" i="8"/>
  <c r="Q69" i="8" s="1"/>
  <c r="J67" i="8"/>
  <c r="J66" i="8"/>
  <c r="J65" i="8"/>
  <c r="J64" i="8"/>
  <c r="J63" i="8"/>
  <c r="J62" i="8"/>
  <c r="D64" i="8" s="1" a="1"/>
  <c r="Q50" i="8"/>
  <c r="K48" i="8"/>
  <c r="K47" i="8"/>
  <c r="K46" i="8"/>
  <c r="K45" i="8"/>
  <c r="K44" i="8"/>
  <c r="K43" i="8"/>
  <c r="V50" i="8"/>
  <c r="T50" i="8"/>
  <c r="P50" i="8"/>
  <c r="N50" i="8"/>
  <c r="J48" i="8"/>
  <c r="J47" i="8"/>
  <c r="J46" i="8"/>
  <c r="J45" i="8"/>
  <c r="J44" i="8"/>
  <c r="J43" i="8"/>
  <c r="D45" i="8" s="1" a="1"/>
  <c r="W35" i="8"/>
  <c r="Q35" i="8"/>
  <c r="W31" i="8"/>
  <c r="Q31" i="8"/>
  <c r="K29" i="8"/>
  <c r="K28" i="8"/>
  <c r="K27" i="8"/>
  <c r="K26" i="8"/>
  <c r="K25" i="8"/>
  <c r="K24" i="8"/>
  <c r="D26" i="8" a="1"/>
  <c r="D26" i="8" s="1"/>
  <c r="V31" i="8"/>
  <c r="T31" i="8"/>
  <c r="P31" i="8"/>
  <c r="N31" i="8"/>
  <c r="J29" i="8"/>
  <c r="J28" i="8"/>
  <c r="J27" i="8"/>
  <c r="J26" i="8"/>
  <c r="J25" i="8"/>
  <c r="J24" i="8"/>
  <c r="K10" i="8"/>
  <c r="J10" i="8"/>
  <c r="J8" i="8"/>
  <c r="K8" i="8" s="1"/>
  <c r="Q88" i="8" l="1"/>
  <c r="E66" i="8"/>
  <c r="E64" i="8"/>
  <c r="D66" i="8"/>
  <c r="D64" i="8"/>
  <c r="P73" i="8" s="1"/>
  <c r="Q73" i="8" s="1"/>
  <c r="E67" i="8"/>
  <c r="E65" i="8"/>
  <c r="D67" i="8"/>
  <c r="D65" i="8"/>
  <c r="E47" i="8"/>
  <c r="E45" i="8"/>
  <c r="D48" i="8"/>
  <c r="D46" i="8"/>
  <c r="D47" i="8"/>
  <c r="D45" i="8"/>
  <c r="E48" i="8"/>
  <c r="E46" i="8"/>
  <c r="E29" i="8"/>
  <c r="E27" i="8"/>
  <c r="D29" i="8"/>
  <c r="D27" i="8"/>
  <c r="E28" i="8"/>
  <c r="E26" i="8"/>
  <c r="D28" i="8"/>
  <c r="J9" i="8"/>
  <c r="K9" i="8" s="1"/>
  <c r="J7" i="8"/>
  <c r="K7" i="8" s="1"/>
  <c r="J6" i="8"/>
  <c r="K6" i="8" s="1"/>
  <c r="J5" i="8"/>
  <c r="K5" i="8" s="1"/>
  <c r="D7" i="8" s="1" a="1"/>
  <c r="D7" i="8" s="1"/>
  <c r="W92" i="8" l="1"/>
  <c r="Q92" i="8"/>
  <c r="V73" i="8"/>
  <c r="W73" i="8" s="1"/>
  <c r="P54" i="8"/>
  <c r="Q54" i="8" s="1"/>
  <c r="V54" i="8"/>
  <c r="V35" i="8"/>
  <c r="P35" i="8"/>
  <c r="V16" i="8"/>
  <c r="P16" i="8"/>
  <c r="E7" i="8"/>
  <c r="E10" i="8"/>
  <c r="E8" i="8"/>
  <c r="D8" i="8"/>
  <c r="D9" i="8"/>
  <c r="D10" i="8"/>
  <c r="E9" i="8"/>
  <c r="V12" i="8"/>
  <c r="T12" i="8"/>
  <c r="P12" i="8"/>
  <c r="N12" i="8"/>
  <c r="W54" i="8" l="1"/>
  <c r="W12" i="8"/>
  <c r="W16" i="8" s="1"/>
  <c r="Q12" i="8"/>
  <c r="Q16" i="8" s="1"/>
</calcChain>
</file>

<file path=xl/sharedStrings.xml><?xml version="1.0" encoding="utf-8"?>
<sst xmlns="http://schemas.openxmlformats.org/spreadsheetml/2006/main" count="207" uniqueCount="37">
  <si>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</si>
  <si>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</si>
  <si>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</si>
  <si>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</si>
  <si>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</si>
  <si>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</si>
  <si>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</si>
  <si>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</si>
  <si>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</si>
  <si>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</si>
  <si>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</si>
  <si>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</si>
  <si>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</si>
  <si>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</si>
  <si>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</si>
  <si>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</si>
  <si>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</si>
  <si>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</si>
  <si>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</si>
  <si>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</si>
  <si>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</si>
  <si>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</si>
  <si>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</si>
  <si>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C</t>
  </si>
  <si>
    <r>
      <t>(dE/dx)_</t>
    </r>
    <r>
      <rPr>
        <b/>
        <sz val="11"/>
        <color rgb="FFFF0000"/>
        <rFont val="Calibri"/>
        <family val="2"/>
      </rPr>
      <t>in</t>
    </r>
    <r>
      <rPr>
        <b/>
        <sz val="11"/>
        <color rgb="FF0070C0"/>
        <rFont val="Calibri"/>
        <family val="2"/>
      </rPr>
      <t xml:space="preserve"> [E_0] (MeV cm^2 / g)</t>
    </r>
  </si>
  <si>
    <r>
      <t>(dE/dx)_</t>
    </r>
    <r>
      <rPr>
        <b/>
        <sz val="11"/>
        <color rgb="FFFF0000"/>
        <rFont val="Calibri"/>
        <family val="2"/>
      </rPr>
      <t>out</t>
    </r>
    <r>
      <rPr>
        <b/>
        <sz val="11"/>
        <color rgb="FF0070C0"/>
        <rFont val="Calibri"/>
        <family val="2"/>
      </rPr>
      <t xml:space="preserve"> [K * E_0] (MeV cm^2 / g)</t>
    </r>
  </si>
  <si>
    <t>Si</t>
  </si>
  <si>
    <t>Pt</t>
  </si>
  <si>
    <t>Ebeam =</t>
  </si>
  <si>
    <t>MeV</t>
  </si>
  <si>
    <t xml:space="preserve">   </t>
  </si>
  <si>
    <t>116Sn-C3</t>
  </si>
  <si>
    <t>116Sn-C10</t>
  </si>
  <si>
    <t>116Sn-D4</t>
  </si>
  <si>
    <t>116Sn-G1</t>
  </si>
  <si>
    <t>116Sn-D8</t>
  </si>
  <si>
    <t>116Sn-D5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</si>
</sst>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b/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FBDDE"/>
        <bgColor rgb="FFDEEBF7"/>
      </patternFill>
    </fill>
    <fill>
      <patternFill patternType="solid">
        <fgColor rgb="FFFF8F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F8F"/>
        <bgColor rgb="FFDEEBF7"/>
      </patternFill>
    </fill>
    <fill>
      <patternFill patternType="solid">
        <fgColor theme="4" tint="0.59999389629810485"/>
        <bgColor rgb="FFDEEBF7"/>
      </patternFill>
    </fill>
    <fill>
      <patternFill patternType="solid">
        <fgColor theme="0" tint="-0.14999847407452621"/>
        <bgColor rgb="FFDEEBF7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DEEBF7"/>
      </patternFill>
    </fill>
    <fill>
      <patternFill patternType="solid">
        <fgColor theme="7" tint="0.59999389629810485"/>
        <bgColor rgb="FFDEEBF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2" fontId="0" fillId="7" borderId="17" xfId="0" applyNumberForma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6" fontId="0" fillId="7" borderId="18" xfId="0" applyNumberFormat="1" applyFill="1" applyBorder="1" applyAlignment="1">
      <alignment horizontal="center" vertical="center" wrapText="1"/>
    </xf>
    <xf numFmtId="2" fontId="5" fillId="7" borderId="17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7" borderId="18" xfId="0" applyNumberFormat="1" applyFill="1" applyBorder="1" applyAlignment="1">
      <alignment horizontal="center" vertical="center" wrapText="1"/>
    </xf>
    <xf numFmtId="2" fontId="2" fillId="7" borderId="17" xfId="0" applyNumberFormat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2" fontId="0" fillId="7" borderId="21" xfId="0" applyNumberFormat="1" applyFill="1" applyBorder="1" applyAlignment="1">
      <alignment horizontal="center" vertical="center" wrapText="1"/>
    </xf>
    <xf numFmtId="1" fontId="6" fillId="7" borderId="3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" fontId="0" fillId="0" borderId="21" xfId="0" applyNumberForma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1" fontId="0" fillId="8" borderId="19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22" xfId="0" applyBorder="1"/>
    <xf numFmtId="0" fontId="1" fillId="11" borderId="13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165" fontId="0" fillId="10" borderId="0" xfId="0" applyNumberForma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" fontId="0" fillId="4" borderId="19" xfId="0" applyNumberFormat="1" applyFill="1" applyBorder="1" applyAlignment="1">
      <alignment horizontal="center" vertical="center" wrapText="1"/>
    </xf>
    <xf numFmtId="1" fontId="0" fillId="12" borderId="8" xfId="0" applyNumberFormat="1" applyFill="1" applyBorder="1" applyAlignment="1">
      <alignment horizontal="center" vertical="center"/>
    </xf>
    <xf numFmtId="165" fontId="0" fillId="14" borderId="0" xfId="0" applyNumberFormat="1" applyFill="1" applyBorder="1" applyAlignment="1">
      <alignment horizontal="center" vertical="center" wrapText="1"/>
    </xf>
    <xf numFmtId="165" fontId="0" fillId="15" borderId="2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164" fontId="0" fillId="18" borderId="0" xfId="0" applyNumberFormat="1" applyFill="1" applyBorder="1" applyAlignment="1">
      <alignment horizontal="center" vertical="center" wrapText="1"/>
    </xf>
    <xf numFmtId="165" fontId="0" fillId="18" borderId="0" xfId="0" applyNumberFormat="1" applyFill="1" applyBorder="1" applyAlignment="1">
      <alignment horizontal="center" vertical="center" wrapText="1"/>
    </xf>
    <xf numFmtId="1" fontId="0" fillId="18" borderId="19" xfId="0" applyNumberForma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65" fontId="0" fillId="19" borderId="4" xfId="0" applyNumberFormat="1" applyFill="1" applyBorder="1" applyAlignment="1">
      <alignment horizontal="center" vertical="center" wrapText="1"/>
    </xf>
    <xf numFmtId="1" fontId="0" fillId="13" borderId="7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1" fontId="0" fillId="19" borderId="5" xfId="0" applyNumberFormat="1" applyFill="1" applyBorder="1" applyAlignment="1">
      <alignment horizontal="center" vertical="center" wrapText="1"/>
    </xf>
    <xf numFmtId="1" fontId="0" fillId="18" borderId="22" xfId="0" applyNumberFormat="1" applyFill="1" applyBorder="1" applyAlignment="1">
      <alignment horizontal="center" vertical="center" wrapText="1"/>
    </xf>
    <xf numFmtId="1" fontId="0" fillId="9" borderId="22" xfId="0" applyNumberFormat="1" applyFill="1" applyBorder="1" applyAlignment="1">
      <alignment horizontal="center" vertical="center" wrapText="1"/>
    </xf>
    <xf numFmtId="1" fontId="0" fillId="11" borderId="22" xfId="0" applyNumberFormat="1" applyFill="1" applyBorder="1" applyAlignment="1">
      <alignment horizontal="center" vertical="center"/>
    </xf>
    <xf numFmtId="1" fontId="0" fillId="6" borderId="22" xfId="0" applyNumberFormat="1" applyFill="1" applyBorder="1" applyAlignment="1">
      <alignment horizontal="center" vertical="center" wrapText="1"/>
    </xf>
    <xf numFmtId="1" fontId="0" fillId="12" borderId="3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166" fontId="7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8F8F"/>
      <color rgb="FFDCCBB2"/>
      <color rgb="FFC0A072"/>
      <color rgb="FFCEB692"/>
      <color rgb="FFFFFF9B"/>
      <color rgb="FFFFBDDE"/>
      <color rgb="FFFF97BC"/>
      <color rgb="FFFFCCFF"/>
      <color rgb="FFFD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3.2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04155730533684"/>
                  <c:y val="-0.193773330417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targets'!$L$5:$L$10</c:f>
              <c:numCache>
                <c:formatCode>0</c:formatCode>
                <c:ptCount val="6"/>
                <c:pt idx="0">
                  <c:v>317.5</c:v>
                </c:pt>
                <c:pt idx="1">
                  <c:v>346.5</c:v>
                </c:pt>
                <c:pt idx="2">
                  <c:v>376</c:v>
                </c:pt>
                <c:pt idx="3" formatCode="General">
                  <c:v>386.5</c:v>
                </c:pt>
                <c:pt idx="4">
                  <c:v>434</c:v>
                </c:pt>
                <c:pt idx="5">
                  <c:v>442</c:v>
                </c:pt>
              </c:numCache>
            </c:numRef>
          </c:xVal>
          <c:yVal>
            <c:numRef>
              <c:f>'Sn+Al targets'!$K$5:$K$10</c:f>
              <c:numCache>
                <c:formatCode>0</c:formatCode>
                <c:ptCount val="6"/>
                <c:pt idx="0">
                  <c:v>2304.8706081305609</c:v>
                </c:pt>
                <c:pt idx="1">
                  <c:v>2501.9455642234693</c:v>
                </c:pt>
                <c:pt idx="2">
                  <c:v>2765.8578393185967</c:v>
                </c:pt>
                <c:pt idx="3">
                  <c:v>2781.8531330246997</c:v>
                </c:pt>
                <c:pt idx="4">
                  <c:v>3093.350115626873</c:v>
                </c:pt>
                <c:pt idx="5">
                  <c:v>3136.1553016829826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614192"/>
        <c:axId val="1319609840"/>
      </c:scatterChart>
      <c:valAx>
        <c:axId val="131961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09840"/>
        <c:crosses val="autoZero"/>
        <c:crossBetween val="midCat"/>
      </c:valAx>
      <c:valAx>
        <c:axId val="13196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3.5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3.5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targets'!$L$24:$L$29</c:f>
              <c:numCache>
                <c:formatCode>0</c:formatCode>
                <c:ptCount val="6"/>
                <c:pt idx="0">
                  <c:v>350</c:v>
                </c:pt>
                <c:pt idx="1">
                  <c:v>382</c:v>
                </c:pt>
                <c:pt idx="2">
                  <c:v>420</c:v>
                </c:pt>
                <c:pt idx="3" formatCode="General">
                  <c:v>426</c:v>
                </c:pt>
                <c:pt idx="4">
                  <c:v>477</c:v>
                </c:pt>
                <c:pt idx="5">
                  <c:v>486</c:v>
                </c:pt>
              </c:numCache>
            </c:numRef>
          </c:xVal>
          <c:yVal>
            <c:numRef>
              <c:f>'Sn+Al targets'!$K$24:$K$29</c:f>
              <c:numCache>
                <c:formatCode>0</c:formatCode>
                <c:ptCount val="6"/>
                <c:pt idx="0">
                  <c:v>2520.9522276428006</c:v>
                </c:pt>
                <c:pt idx="1">
                  <c:v>2736.5029608694194</c:v>
                </c:pt>
                <c:pt idx="2">
                  <c:v>3025.1570117547149</c:v>
                </c:pt>
                <c:pt idx="3">
                  <c:v>3042.6518642457654</c:v>
                </c:pt>
                <c:pt idx="4">
                  <c:v>3383.3516889668922</c:v>
                </c:pt>
                <c:pt idx="5">
                  <c:v>3430.1698612157625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616368"/>
        <c:axId val="1319611472"/>
      </c:scatterChart>
      <c:valAx>
        <c:axId val="131961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1472"/>
        <c:crosses val="autoZero"/>
        <c:crossBetween val="midCat"/>
      </c:valAx>
      <c:valAx>
        <c:axId val="13196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3.9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3.9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targets'!$L$43:$L$48</c:f>
              <c:numCache>
                <c:formatCode>0</c:formatCode>
                <c:ptCount val="6"/>
                <c:pt idx="0">
                  <c:v>300</c:v>
                </c:pt>
                <c:pt idx="1">
                  <c:v>328</c:v>
                </c:pt>
                <c:pt idx="2">
                  <c:v>356.5</c:v>
                </c:pt>
                <c:pt idx="3" formatCode="General">
                  <c:v>366</c:v>
                </c:pt>
                <c:pt idx="4">
                  <c:v>410</c:v>
                </c:pt>
                <c:pt idx="5">
                  <c:v>418</c:v>
                </c:pt>
              </c:numCache>
            </c:numRef>
          </c:xVal>
          <c:yVal>
            <c:numRef>
              <c:f>'Sn+Al targets'!$K$43:$K$48</c:f>
              <c:numCache>
                <c:formatCode>0</c:formatCode>
                <c:ptCount val="6"/>
                <c:pt idx="0">
                  <c:v>2809.0610536591207</c:v>
                </c:pt>
                <c:pt idx="1">
                  <c:v>3049.2461563973534</c:v>
                </c:pt>
                <c:pt idx="2">
                  <c:v>3370.8892416695394</c:v>
                </c:pt>
                <c:pt idx="3">
                  <c:v>3390.3835058738528</c:v>
                </c:pt>
                <c:pt idx="4">
                  <c:v>3770.0204534202512</c:v>
                </c:pt>
                <c:pt idx="5">
                  <c:v>3822.1892739261352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612016"/>
        <c:axId val="1319614736"/>
      </c:scatterChart>
      <c:valAx>
        <c:axId val="131961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4736"/>
        <c:crosses val="autoZero"/>
        <c:crossBetween val="midCat"/>
      </c:valAx>
      <c:valAx>
        <c:axId val="13196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4.3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4.3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targets'!$L$62:$L$67</c:f>
              <c:numCache>
                <c:formatCode>0</c:formatCode>
                <c:ptCount val="6"/>
                <c:pt idx="0">
                  <c:v>334</c:v>
                </c:pt>
                <c:pt idx="1">
                  <c:v>364</c:v>
                </c:pt>
                <c:pt idx="2">
                  <c:v>397</c:v>
                </c:pt>
                <c:pt idx="3" formatCode="General">
                  <c:v>406</c:v>
                </c:pt>
                <c:pt idx="4">
                  <c:v>454.5</c:v>
                </c:pt>
                <c:pt idx="5">
                  <c:v>462</c:v>
                </c:pt>
              </c:numCache>
            </c:numRef>
          </c:xVal>
          <c:yVal>
            <c:numRef>
              <c:f>'Sn+Al targets'!$K$62:$K$67</c:f>
              <c:numCache>
                <c:formatCode>0</c:formatCode>
                <c:ptCount val="6"/>
                <c:pt idx="0">
                  <c:v>3097.1698796754408</c:v>
                </c:pt>
                <c:pt idx="1">
                  <c:v>3361.9893519252869</c:v>
                </c:pt>
                <c:pt idx="2">
                  <c:v>3716.6214715843644</c:v>
                </c:pt>
                <c:pt idx="3">
                  <c:v>3738.1151475019406</c:v>
                </c:pt>
                <c:pt idx="4">
                  <c:v>4156.6892178736107</c:v>
                </c:pt>
                <c:pt idx="5">
                  <c:v>4214.208686636508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615280"/>
        <c:axId val="1319615824"/>
      </c:scatterChart>
      <c:valAx>
        <c:axId val="13196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5824"/>
        <c:crosses val="autoZero"/>
        <c:crossBetween val="midCat"/>
      </c:valAx>
      <c:valAx>
        <c:axId val="13196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4.7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4.7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203905320490975"/>
                  <c:y val="-0.24307086787793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targets'!$L$81:$L$85</c:f>
              <c:numCache>
                <c:formatCode>0</c:formatCode>
                <c:ptCount val="5"/>
                <c:pt idx="0">
                  <c:v>317.5</c:v>
                </c:pt>
                <c:pt idx="1">
                  <c:v>346.5</c:v>
                </c:pt>
                <c:pt idx="2">
                  <c:v>378</c:v>
                </c:pt>
                <c:pt idx="3">
                  <c:v>434</c:v>
                </c:pt>
              </c:numCache>
            </c:numRef>
          </c:xVal>
          <c:yVal>
            <c:numRef>
              <c:f>'Sn+Al targets'!$K$81:$K$85</c:f>
              <c:numCache>
                <c:formatCode>0</c:formatCode>
                <c:ptCount val="5"/>
                <c:pt idx="0">
                  <c:v>3385.2787056917609</c:v>
                </c:pt>
                <c:pt idx="1">
                  <c:v>3674.7325474532204</c:v>
                </c:pt>
                <c:pt idx="2">
                  <c:v>4062.3537014991889</c:v>
                </c:pt>
                <c:pt idx="3">
                  <c:v>4543.3579823269692</c:v>
                </c:pt>
                <c:pt idx="4">
                  <c:v>4606.2280993468812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616912"/>
        <c:axId val="1319618000"/>
      </c:scatterChart>
      <c:valAx>
        <c:axId val="131961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8000"/>
        <c:crosses val="autoZero"/>
        <c:crossBetween val="midCat"/>
      </c:valAx>
      <c:valAx>
        <c:axId val="13196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5.0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5.0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11547360680142"/>
                  <c:y val="-0.2292478901633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targets'!$L$100:$L$105</c:f>
              <c:numCache>
                <c:formatCode>0</c:formatCode>
                <c:ptCount val="6"/>
                <c:pt idx="0">
                  <c:v>339</c:v>
                </c:pt>
                <c:pt idx="1">
                  <c:v>370.5</c:v>
                </c:pt>
                <c:pt idx="2">
                  <c:v>405</c:v>
                </c:pt>
                <c:pt idx="3" formatCode="General">
                  <c:v>413.5</c:v>
                </c:pt>
                <c:pt idx="4">
                  <c:v>463.5</c:v>
                </c:pt>
                <c:pt idx="5">
                  <c:v>472</c:v>
                </c:pt>
              </c:numCache>
            </c:numRef>
          </c:xVal>
          <c:yVal>
            <c:numRef>
              <c:f>'Sn+Al targets'!$K$100:$K$105</c:f>
              <c:numCache>
                <c:formatCode>0</c:formatCode>
                <c:ptCount val="6"/>
                <c:pt idx="0">
                  <c:v>3601.3603252040011</c:v>
                </c:pt>
                <c:pt idx="1">
                  <c:v>3909.289944099171</c:v>
                </c:pt>
                <c:pt idx="2">
                  <c:v>4321.6528739353071</c:v>
                </c:pt>
                <c:pt idx="3">
                  <c:v>4346.6455203510932</c:v>
                </c:pt>
                <c:pt idx="4">
                  <c:v>4833.3595556669889</c:v>
                </c:pt>
                <c:pt idx="5">
                  <c:v>4900.2426588796607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618544"/>
        <c:axId val="1096201808"/>
      </c:scatterChart>
      <c:valAx>
        <c:axId val="131961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6201808"/>
        <c:crosses val="autoZero"/>
        <c:crossBetween val="midCat"/>
      </c:valAx>
      <c:valAx>
        <c:axId val="109620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61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119062</xdr:rowOff>
    </xdr:from>
    <xdr:to>
      <xdr:col>11</xdr:col>
      <xdr:colOff>390525</xdr:colOff>
      <xdr:row>19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29</xdr:row>
      <xdr:rowOff>119062</xdr:rowOff>
    </xdr:from>
    <xdr:to>
      <xdr:col>11</xdr:col>
      <xdr:colOff>390525</xdr:colOff>
      <xdr:row>38</xdr:row>
      <xdr:rowOff>9525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48</xdr:row>
      <xdr:rowOff>119062</xdr:rowOff>
    </xdr:from>
    <xdr:to>
      <xdr:col>11</xdr:col>
      <xdr:colOff>390525</xdr:colOff>
      <xdr:row>57</xdr:row>
      <xdr:rowOff>9525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67</xdr:row>
      <xdr:rowOff>119062</xdr:rowOff>
    </xdr:from>
    <xdr:to>
      <xdr:col>11</xdr:col>
      <xdr:colOff>390525</xdr:colOff>
      <xdr:row>76</xdr:row>
      <xdr:rowOff>9525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9525</xdr:colOff>
      <xdr:row>86</xdr:row>
      <xdr:rowOff>119062</xdr:rowOff>
    </xdr:from>
    <xdr:to>
      <xdr:col>11</xdr:col>
      <xdr:colOff>390525</xdr:colOff>
      <xdr:row>95</xdr:row>
      <xdr:rowOff>9525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9525</xdr:colOff>
      <xdr:row>105</xdr:row>
      <xdr:rowOff>119062</xdr:rowOff>
    </xdr:from>
    <xdr:to>
      <xdr:col>11</xdr:col>
      <xdr:colOff>390525</xdr:colOff>
      <xdr:row>114</xdr:row>
      <xdr:rowOff>9525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zoomScaleNormal="100" workbookViewId="0">
      <selection activeCell="T112" sqref="T112"/>
    </sheetView>
  </sheetViews>
  <sheetFormatPr defaultColWidth="8.5703125" defaultRowHeight="15" x14ac:dyDescent="0.25"/>
  <cols>
    <col min="1" max="1" width="15.5703125" bestFit="1" customWidth="1"/>
    <col min="4" max="4" width="9.42578125" customWidth="1"/>
    <col min="5" max="5" width="8.5703125" bestFit="1" customWidth="1"/>
    <col min="6" max="6" width="7.42578125" bestFit="1" customWidth="1"/>
    <col min="7" max="7" width="8.42578125" bestFit="1" customWidth="1"/>
    <col min="8" max="8" width="3" bestFit="1" customWidth="1"/>
    <col min="9" max="9" width="7" bestFit="1" customWidth="1"/>
    <col min="10" max="10" width="9.85546875" bestFit="1" customWidth="1"/>
    <col min="11" max="11" width="12.7109375" bestFit="1" customWidth="1"/>
    <col min="12" max="12" width="8" bestFit="1" customWidth="1"/>
    <col min="13" max="13" width="7.85546875" bestFit="1" customWidth="1"/>
    <col min="14" max="14" width="7.7109375" bestFit="1" customWidth="1"/>
    <col min="15" max="15" width="10.5703125" bestFit="1" customWidth="1"/>
    <col min="16" max="16" width="8.28515625" customWidth="1"/>
    <col min="17" max="17" width="9.140625" bestFit="1" customWidth="1"/>
    <col min="18" max="18" width="8.42578125" customWidth="1"/>
    <col min="19" max="19" width="8.7109375" bestFit="1" customWidth="1"/>
    <col min="20" max="20" width="8.140625" customWidth="1"/>
    <col min="22" max="22" width="8.140625" customWidth="1"/>
    <col min="23" max="23" width="8.5703125" customWidth="1"/>
    <col min="24" max="24" width="7.28515625" bestFit="1" customWidth="1"/>
    <col min="25" max="25" width="9.140625" bestFit="1" customWidth="1"/>
    <col min="26" max="26" width="12" customWidth="1"/>
    <col min="27" max="27" width="8.140625" customWidth="1"/>
    <col min="28" max="28" width="11.7109375" customWidth="1"/>
    <col min="29" max="29" width="14.5703125" customWidth="1"/>
    <col min="30" max="30" width="8" bestFit="1" customWidth="1"/>
    <col min="31" max="31" width="10.28515625" customWidth="1"/>
    <col min="32" max="32" width="8.5703125" bestFit="1" customWidth="1"/>
    <col min="33" max="33" width="5.28515625" bestFit="1" customWidth="1"/>
    <col min="34" max="35" width="7.42578125" bestFit="1" customWidth="1"/>
    <col min="37" max="37" width="9.85546875" customWidth="1"/>
    <col min="38" max="39" width="7.42578125" bestFit="1" customWidth="1"/>
    <col min="40" max="40" width="7.28515625" bestFit="1" customWidth="1"/>
    <col min="41" max="41" width="8.140625" customWidth="1"/>
    <col min="42" max="42" width="6.42578125" customWidth="1"/>
    <col min="43" max="44" width="8.42578125" customWidth="1"/>
    <col min="45" max="45" width="7.85546875" bestFit="1" customWidth="1"/>
    <col min="46" max="46" width="6.140625" bestFit="1" customWidth="1"/>
  </cols>
  <sheetData>
    <row r="1" spans="1:24" ht="30.75" thickBot="1" x14ac:dyDescent="0.3">
      <c r="A1" s="61" t="s">
        <v>15</v>
      </c>
      <c r="B1" s="34">
        <v>7.31</v>
      </c>
      <c r="C1" s="35" t="s">
        <v>0</v>
      </c>
      <c r="D1" s="62" t="s">
        <v>22</v>
      </c>
      <c r="E1" s="16">
        <v>2.6989999999999998</v>
      </c>
      <c r="F1" s="17" t="s">
        <v>0</v>
      </c>
    </row>
    <row r="2" spans="1:24" ht="15.75" thickBot="1" x14ac:dyDescent="0.3"/>
    <row r="3" spans="1:24" ht="15.75" thickBot="1" x14ac:dyDescent="0.3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4"/>
    </row>
    <row r="4" spans="1:24" ht="30.75" thickBot="1" x14ac:dyDescent="0.3">
      <c r="B4" s="36"/>
      <c r="C4" s="69" t="s">
        <v>28</v>
      </c>
      <c r="D4" s="70">
        <v>3.2</v>
      </c>
      <c r="E4" s="71" t="s">
        <v>29</v>
      </c>
      <c r="F4" s="37"/>
      <c r="G4" s="33" t="s">
        <v>1</v>
      </c>
      <c r="H4" s="28" t="s">
        <v>2</v>
      </c>
      <c r="I4" s="28" t="s">
        <v>3</v>
      </c>
      <c r="J4" s="28" t="s">
        <v>4</v>
      </c>
      <c r="K4" s="28" t="s">
        <v>5</v>
      </c>
      <c r="L4" s="29" t="s">
        <v>6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8"/>
    </row>
    <row r="5" spans="1:24" x14ac:dyDescent="0.25">
      <c r="B5" s="36"/>
      <c r="C5" s="37"/>
      <c r="D5" s="37"/>
      <c r="E5" s="37"/>
      <c r="F5" s="37"/>
      <c r="G5" s="57" t="s">
        <v>23</v>
      </c>
      <c r="H5" s="58">
        <v>6</v>
      </c>
      <c r="I5" s="58">
        <v>12.010999999999999</v>
      </c>
      <c r="J5" s="59">
        <f>((SQRT(1-(1/I5)^2*SIN(RADIANS(165))^2)+1/I5*COS(RADIANS(165)))/(1+1/I5))^2</f>
        <v>0.72027206504080021</v>
      </c>
      <c r="K5" s="63">
        <f t="shared" ref="K5:K10" si="0">$D$4*1000*J5</f>
        <v>2304.8706081305609</v>
      </c>
      <c r="L5" s="60">
        <v>317.5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8"/>
    </row>
    <row r="6" spans="1:24" x14ac:dyDescent="0.25">
      <c r="B6" s="36"/>
      <c r="C6" s="37"/>
      <c r="D6" s="37"/>
      <c r="E6" s="37"/>
      <c r="F6" s="37"/>
      <c r="G6" s="52" t="s">
        <v>7</v>
      </c>
      <c r="H6" s="53">
        <v>8</v>
      </c>
      <c r="I6" s="54">
        <v>15.999000000000001</v>
      </c>
      <c r="J6" s="55">
        <f t="shared" ref="J6:J8" si="1">((SQRT(1-(1/I6)^2*SIN(RADIANS(165))^2)+1/I6*COS(RADIANS(165)))/(1+1/I6))^2</f>
        <v>0.78185798881983415</v>
      </c>
      <c r="K6" s="64">
        <f t="shared" si="0"/>
        <v>2501.9455642234693</v>
      </c>
      <c r="L6" s="56">
        <v>346.5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/>
    </row>
    <row r="7" spans="1:24" x14ac:dyDescent="0.25">
      <c r="B7" s="36"/>
      <c r="C7" s="37"/>
      <c r="D7" s="37">
        <f t="array" ref="D7:E10">LINEST(K5:K10,L5:L10,TRUE,TRUE)</f>
        <v>6.6688434468726774</v>
      </c>
      <c r="E7" s="37">
        <v>204.83675426380705</v>
      </c>
      <c r="F7" s="37"/>
      <c r="G7" s="31" t="s">
        <v>19</v>
      </c>
      <c r="H7" s="30">
        <v>13</v>
      </c>
      <c r="I7" s="30">
        <v>26.98</v>
      </c>
      <c r="J7" s="51">
        <f t="shared" si="1"/>
        <v>0.86433057478706143</v>
      </c>
      <c r="K7" s="65">
        <f t="shared" si="0"/>
        <v>2765.8578393185967</v>
      </c>
      <c r="L7" s="32">
        <v>376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</row>
    <row r="8" spans="1:24" ht="15.75" customHeight="1" x14ac:dyDescent="0.25">
      <c r="B8" s="36"/>
      <c r="C8" s="37"/>
      <c r="D8" s="37">
        <v>0.27860101229417383</v>
      </c>
      <c r="E8" s="37">
        <v>107.62240569785541</v>
      </c>
      <c r="F8" s="37"/>
      <c r="G8" s="39" t="s">
        <v>26</v>
      </c>
      <c r="H8" s="40">
        <v>14</v>
      </c>
      <c r="I8" s="40">
        <v>28.09</v>
      </c>
      <c r="J8" s="49">
        <f t="shared" si="1"/>
        <v>0.86932910407021868</v>
      </c>
      <c r="K8" s="66">
        <f t="shared" si="0"/>
        <v>2781.8531330246997</v>
      </c>
      <c r="L8" s="41">
        <v>386.5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</row>
    <row r="9" spans="1:24" x14ac:dyDescent="0.25">
      <c r="B9" s="36"/>
      <c r="C9" s="37"/>
      <c r="D9" s="37">
        <v>0.99306729047127862</v>
      </c>
      <c r="E9" s="37">
        <v>30.215528902178129</v>
      </c>
      <c r="F9" s="37"/>
      <c r="G9" s="44" t="s">
        <v>16</v>
      </c>
      <c r="H9" s="42">
        <v>50</v>
      </c>
      <c r="I9" s="42">
        <v>116</v>
      </c>
      <c r="J9" s="43">
        <f>((SQRT(1-(1/I9)^2*SIN(RADIANS(165))^2)+1/I9*COS(RADIANS(165)))/(1+1/I9))^2</f>
        <v>0.96667191113339779</v>
      </c>
      <c r="K9" s="67">
        <f t="shared" si="0"/>
        <v>3093.350115626873</v>
      </c>
      <c r="L9" s="47">
        <v>434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</row>
    <row r="10" spans="1:24" ht="15.75" thickBot="1" x14ac:dyDescent="0.3">
      <c r="B10" s="36"/>
      <c r="C10" s="37"/>
      <c r="D10" s="37">
        <v>572.9749884123155</v>
      </c>
      <c r="E10" s="37">
        <v>4</v>
      </c>
      <c r="F10" s="37"/>
      <c r="G10" s="45" t="s">
        <v>27</v>
      </c>
      <c r="H10" s="46">
        <v>78</v>
      </c>
      <c r="I10" s="46">
        <v>195.1</v>
      </c>
      <c r="J10" s="50">
        <f>((SQRT(1-(1/I10)^2*SIN(RADIANS(165))^2)+1/I10*COS(RADIANS(165)))/(1+1/I10))^2</f>
        <v>0.9800485317759321</v>
      </c>
      <c r="K10" s="68">
        <f t="shared" si="0"/>
        <v>3136.1553016829826</v>
      </c>
      <c r="L10" s="48">
        <v>442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</row>
    <row r="11" spans="1:24" ht="32.25" customHeight="1" thickBot="1" x14ac:dyDescent="0.3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2" t="s">
        <v>9</v>
      </c>
      <c r="N11" s="3" t="s">
        <v>10</v>
      </c>
      <c r="O11" s="2" t="s">
        <v>11</v>
      </c>
      <c r="P11" s="3" t="s">
        <v>12</v>
      </c>
      <c r="Q11" s="4" t="s">
        <v>13</v>
      </c>
      <c r="R11" s="37"/>
      <c r="S11" s="9" t="s">
        <v>24</v>
      </c>
      <c r="T11" s="10" t="s">
        <v>10</v>
      </c>
      <c r="U11" s="9" t="s">
        <v>25</v>
      </c>
      <c r="V11" s="10" t="s">
        <v>12</v>
      </c>
      <c r="W11" s="11" t="s">
        <v>13</v>
      </c>
      <c r="X11" s="38"/>
    </row>
    <row r="12" spans="1:24" x14ac:dyDescent="0.25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6">
        <v>46.15</v>
      </c>
      <c r="N12" s="15">
        <f>M12*$B$1/10</f>
        <v>33.73565</v>
      </c>
      <c r="O12" s="19">
        <v>47.1</v>
      </c>
      <c r="P12" s="6">
        <f>O12*$B$1/10</f>
        <v>34.430099999999996</v>
      </c>
      <c r="Q12" s="18">
        <f>(($J$9/COS(RADIANS(0))*$N$12)+(1/COS(RADIANS(180-165))*$P$12))</f>
        <v>68.255967677964605</v>
      </c>
      <c r="R12" s="37"/>
      <c r="S12" s="26">
        <v>80.72</v>
      </c>
      <c r="T12" s="15">
        <f>S12*$E$1/10</f>
        <v>21.786327999999997</v>
      </c>
      <c r="U12" s="26">
        <v>87.39</v>
      </c>
      <c r="V12" s="6">
        <f>U12*$E$1/10</f>
        <v>23.586560999999996</v>
      </c>
      <c r="W12" s="14">
        <f>(($J$7/COS(RADIANS(0))*T12)+(1/COS(RADIANS(180-165))*V12))</f>
        <v>43.249194183828877</v>
      </c>
      <c r="X12" s="38"/>
    </row>
    <row r="13" spans="1:24" ht="17.25" customHeight="1" x14ac:dyDescent="0.2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</row>
    <row r="14" spans="1:24" ht="15.75" thickBot="1" x14ac:dyDescent="0.3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</row>
    <row r="15" spans="1:24" ht="45.75" thickBot="1" x14ac:dyDescent="0.3"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3" t="s">
        <v>31</v>
      </c>
      <c r="N15" s="1" t="s">
        <v>17</v>
      </c>
      <c r="O15" s="2" t="s">
        <v>18</v>
      </c>
      <c r="P15" s="3" t="s">
        <v>8</v>
      </c>
      <c r="Q15" s="5" t="s">
        <v>14</v>
      </c>
      <c r="R15" s="37"/>
      <c r="S15" s="7"/>
      <c r="T15" s="8" t="s">
        <v>20</v>
      </c>
      <c r="U15" s="9" t="s">
        <v>21</v>
      </c>
      <c r="V15" s="10" t="s">
        <v>8</v>
      </c>
      <c r="W15" s="12" t="s">
        <v>14</v>
      </c>
      <c r="X15" s="38"/>
    </row>
    <row r="16" spans="1:24" ht="15.75" thickBot="1" x14ac:dyDescent="0.3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27"/>
      <c r="N16" s="20">
        <v>434</v>
      </c>
      <c r="O16" s="21">
        <v>420</v>
      </c>
      <c r="P16" s="25">
        <f>(N16-O16)*D7</f>
        <v>93.363808256217482</v>
      </c>
      <c r="Q16" s="23">
        <f>P16*10^3/$Q$12</f>
        <v>1367.8482839290045</v>
      </c>
      <c r="R16" s="37"/>
      <c r="S16" s="24"/>
      <c r="T16" s="20">
        <v>376</v>
      </c>
      <c r="U16" s="21">
        <v>368</v>
      </c>
      <c r="V16" s="22">
        <f>(T16-U16)*D7</f>
        <v>53.350747574981419</v>
      </c>
      <c r="W16" s="23">
        <f>V16*10^3/$W$12</f>
        <v>1233.5662798297772</v>
      </c>
      <c r="X16" s="38"/>
    </row>
    <row r="17" spans="2:24" x14ac:dyDescent="0.25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 t="s">
        <v>30</v>
      </c>
      <c r="Q17" s="37"/>
      <c r="R17" s="37"/>
      <c r="S17" s="37"/>
      <c r="T17" s="37"/>
      <c r="U17" s="37"/>
      <c r="V17" s="37"/>
      <c r="W17" s="37"/>
      <c r="X17" s="38"/>
    </row>
    <row r="18" spans="2:24" x14ac:dyDescent="0.25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8"/>
    </row>
    <row r="19" spans="2:24" x14ac:dyDescent="0.25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8"/>
    </row>
    <row r="20" spans="2:24" ht="15.75" thickBot="1" x14ac:dyDescent="0.3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7"/>
    </row>
    <row r="21" spans="2:24" ht="15.75" thickBot="1" x14ac:dyDescent="0.3"/>
    <row r="22" spans="2:24" ht="15.75" thickBot="1" x14ac:dyDescent="0.3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 spans="2:24" ht="30.75" thickBot="1" x14ac:dyDescent="0.3">
      <c r="B23" s="36"/>
      <c r="C23" s="69" t="s">
        <v>28</v>
      </c>
      <c r="D23" s="70">
        <v>3.5</v>
      </c>
      <c r="E23" s="71" t="s">
        <v>29</v>
      </c>
      <c r="F23" s="37"/>
      <c r="G23" s="33" t="s">
        <v>1</v>
      </c>
      <c r="H23" s="28" t="s">
        <v>2</v>
      </c>
      <c r="I23" s="28" t="s">
        <v>3</v>
      </c>
      <c r="J23" s="28" t="s">
        <v>4</v>
      </c>
      <c r="K23" s="28" t="s">
        <v>5</v>
      </c>
      <c r="L23" s="29" t="s">
        <v>6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8"/>
    </row>
    <row r="24" spans="2:24" x14ac:dyDescent="0.25">
      <c r="B24" s="36"/>
      <c r="C24" s="37"/>
      <c r="D24" s="37"/>
      <c r="E24" s="37"/>
      <c r="F24" s="37"/>
      <c r="G24" s="57" t="s">
        <v>23</v>
      </c>
      <c r="H24" s="58">
        <v>6</v>
      </c>
      <c r="I24" s="58">
        <v>12.010999999999999</v>
      </c>
      <c r="J24" s="59">
        <f>((SQRT(1-(1/I24)^2*SIN(RADIANS(165))^2)+1/I24*COS(RADIANS(165)))/(1+1/I24))^2</f>
        <v>0.72027206504080021</v>
      </c>
      <c r="K24" s="63">
        <f>$D$23*1000*J24</f>
        <v>2520.9522276428006</v>
      </c>
      <c r="L24" s="60">
        <v>350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8"/>
    </row>
    <row r="25" spans="2:24" x14ac:dyDescent="0.25">
      <c r="B25" s="36"/>
      <c r="C25" s="37"/>
      <c r="D25" s="37"/>
      <c r="E25" s="37"/>
      <c r="F25" s="37"/>
      <c r="G25" s="52" t="s">
        <v>7</v>
      </c>
      <c r="H25" s="53">
        <v>8</v>
      </c>
      <c r="I25" s="54">
        <v>15.999000000000001</v>
      </c>
      <c r="J25" s="55">
        <f t="shared" ref="J25:J27" si="2">((SQRT(1-(1/I25)^2*SIN(RADIANS(165))^2)+1/I25*COS(RADIANS(165)))/(1+1/I25))^2</f>
        <v>0.78185798881983415</v>
      </c>
      <c r="K25" s="64">
        <f t="shared" ref="K25:K29" si="3">$D$23*1000*J25</f>
        <v>2736.5029608694194</v>
      </c>
      <c r="L25" s="56">
        <v>382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</row>
    <row r="26" spans="2:24" x14ac:dyDescent="0.25">
      <c r="B26" s="36"/>
      <c r="C26" s="37"/>
      <c r="D26" s="37">
        <f t="array" ref="D26:E29">LINEST(K24:K29,L24:L29,TRUE,TRUE)</f>
        <v>6.7252740680271748</v>
      </c>
      <c r="E26" s="37">
        <v>174.9773679730506</v>
      </c>
      <c r="F26" s="37"/>
      <c r="G26" s="31" t="s">
        <v>19</v>
      </c>
      <c r="H26" s="30">
        <v>13</v>
      </c>
      <c r="I26" s="30">
        <v>26.98</v>
      </c>
      <c r="J26" s="51">
        <f t="shared" si="2"/>
        <v>0.86433057478706143</v>
      </c>
      <c r="K26" s="65">
        <f t="shared" si="3"/>
        <v>3025.1570117547149</v>
      </c>
      <c r="L26" s="32">
        <v>420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8"/>
    </row>
    <row r="27" spans="2:24" x14ac:dyDescent="0.25">
      <c r="B27" s="36"/>
      <c r="C27" s="37"/>
      <c r="D27" s="37">
        <v>0.13109567423964927</v>
      </c>
      <c r="E27" s="37">
        <v>55.876727831054865</v>
      </c>
      <c r="F27" s="37"/>
      <c r="G27" s="39" t="s">
        <v>26</v>
      </c>
      <c r="H27" s="40">
        <v>14</v>
      </c>
      <c r="I27" s="40">
        <v>28.09</v>
      </c>
      <c r="J27" s="49">
        <f t="shared" si="2"/>
        <v>0.86932910407021868</v>
      </c>
      <c r="K27" s="66">
        <f t="shared" si="3"/>
        <v>3042.6518642457654</v>
      </c>
      <c r="L27" s="41">
        <v>426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</row>
    <row r="28" spans="2:24" x14ac:dyDescent="0.25">
      <c r="B28" s="36"/>
      <c r="C28" s="37"/>
      <c r="D28" s="37">
        <v>0.99848240057289417</v>
      </c>
      <c r="E28" s="37">
        <v>15.462344374388723</v>
      </c>
      <c r="F28" s="37"/>
      <c r="G28" s="44" t="s">
        <v>16</v>
      </c>
      <c r="H28" s="42">
        <v>50</v>
      </c>
      <c r="I28" s="42">
        <v>116</v>
      </c>
      <c r="J28" s="43">
        <f>((SQRT(1-(1/I28)^2*SIN(RADIANS(165))^2)+1/I28*COS(RADIANS(165)))/(1+1/I28))^2</f>
        <v>0.96667191113339779</v>
      </c>
      <c r="K28" s="67">
        <f t="shared" si="3"/>
        <v>3383.3516889668922</v>
      </c>
      <c r="L28" s="47">
        <v>477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8"/>
    </row>
    <row r="29" spans="2:24" ht="15.75" thickBot="1" x14ac:dyDescent="0.3">
      <c r="B29" s="36"/>
      <c r="C29" s="37"/>
      <c r="D29" s="37">
        <v>2631.7416381135326</v>
      </c>
      <c r="E29" s="37">
        <v>4</v>
      </c>
      <c r="F29" s="37"/>
      <c r="G29" s="45" t="s">
        <v>27</v>
      </c>
      <c r="H29" s="46">
        <v>78</v>
      </c>
      <c r="I29" s="46">
        <v>195.1</v>
      </c>
      <c r="J29" s="50">
        <f>((SQRT(1-(1/I29)^2*SIN(RADIANS(165))^2)+1/I29*COS(RADIANS(165)))/(1+1/I29))^2</f>
        <v>0.9800485317759321</v>
      </c>
      <c r="K29" s="68">
        <f t="shared" si="3"/>
        <v>3430.1698612157625</v>
      </c>
      <c r="L29" s="48">
        <v>486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8"/>
    </row>
    <row r="30" spans="2:24" ht="15" customHeight="1" thickBot="1" x14ac:dyDescent="0.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2" t="s">
        <v>9</v>
      </c>
      <c r="N30" s="3" t="s">
        <v>10</v>
      </c>
      <c r="O30" s="2" t="s">
        <v>11</v>
      </c>
      <c r="P30" s="3" t="s">
        <v>12</v>
      </c>
      <c r="Q30" s="4" t="s">
        <v>13</v>
      </c>
      <c r="R30" s="37"/>
      <c r="S30" s="9" t="s">
        <v>24</v>
      </c>
      <c r="T30" s="10" t="s">
        <v>10</v>
      </c>
      <c r="U30" s="9" t="s">
        <v>25</v>
      </c>
      <c r="V30" s="10" t="s">
        <v>12</v>
      </c>
      <c r="W30" s="11" t="s">
        <v>13</v>
      </c>
      <c r="X30" s="38"/>
    </row>
    <row r="31" spans="2:24" x14ac:dyDescent="0.2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6">
        <v>43.69</v>
      </c>
      <c r="N31" s="15">
        <f>M31*$B$1/10</f>
        <v>31.937390000000001</v>
      </c>
      <c r="O31" s="19">
        <v>44.61</v>
      </c>
      <c r="P31" s="6">
        <f>O31*$B$1/10</f>
        <v>32.609909999999999</v>
      </c>
      <c r="Q31" s="18">
        <f>(($J$28/COS(RADIANS(0))*$N$31)+(1/COS(RADIANS(180-165))*$P$31))</f>
        <v>64.633240896229239</v>
      </c>
      <c r="R31" s="37"/>
      <c r="S31" s="26">
        <v>75.7</v>
      </c>
      <c r="T31" s="15">
        <f>S31*$E$1/10</f>
        <v>20.431429999999999</v>
      </c>
      <c r="U31" s="26">
        <v>82.01</v>
      </c>
      <c r="V31" s="6">
        <f>U31*$E$1/10</f>
        <v>22.134498999999998</v>
      </c>
      <c r="W31" s="14">
        <f>(($J$26/COS(RADIANS(0))*T31)+(1/COS(RADIANS(180-165))*V31))</f>
        <v>40.574829215632406</v>
      </c>
      <c r="X31" s="38"/>
    </row>
    <row r="32" spans="2:24" x14ac:dyDescent="0.2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8"/>
    </row>
    <row r="33" spans="2:24" ht="15.75" thickBot="1" x14ac:dyDescent="0.3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8"/>
    </row>
    <row r="34" spans="2:24" ht="45.75" thickBot="1" x14ac:dyDescent="0.3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13" t="s">
        <v>32</v>
      </c>
      <c r="N34" s="1" t="s">
        <v>17</v>
      </c>
      <c r="O34" s="2" t="s">
        <v>18</v>
      </c>
      <c r="P34" s="3" t="s">
        <v>8</v>
      </c>
      <c r="Q34" s="5" t="s">
        <v>14</v>
      </c>
      <c r="R34" s="37"/>
      <c r="S34" s="7"/>
      <c r="T34" s="8" t="s">
        <v>20</v>
      </c>
      <c r="U34" s="9" t="s">
        <v>21</v>
      </c>
      <c r="V34" s="10" t="s">
        <v>8</v>
      </c>
      <c r="W34" s="12" t="s">
        <v>14</v>
      </c>
      <c r="X34" s="38"/>
    </row>
    <row r="35" spans="2:24" ht="15.75" thickBot="1" x14ac:dyDescent="0.3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27"/>
      <c r="N35" s="20">
        <v>477</v>
      </c>
      <c r="O35" s="21">
        <v>464</v>
      </c>
      <c r="P35" s="25">
        <f>(N35-O35)*D26</f>
        <v>87.428562884353269</v>
      </c>
      <c r="Q35" s="23">
        <f>P35*10^3/$Q$31</f>
        <v>1352.6872809104941</v>
      </c>
      <c r="R35" s="37"/>
      <c r="S35" s="24"/>
      <c r="T35" s="20">
        <v>414</v>
      </c>
      <c r="U35" s="21">
        <v>407</v>
      </c>
      <c r="V35" s="22">
        <f>(T35-U35)*D26</f>
        <v>47.076918476190222</v>
      </c>
      <c r="W35" s="23">
        <f>V35*10^3/$W$31</f>
        <v>1160.2493315745796</v>
      </c>
      <c r="X35" s="38"/>
    </row>
    <row r="36" spans="2:24" x14ac:dyDescent="0.25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 t="s">
        <v>30</v>
      </c>
      <c r="Q36" s="37"/>
      <c r="R36" s="37"/>
      <c r="S36" s="37"/>
      <c r="T36" s="37"/>
      <c r="U36" s="37"/>
      <c r="V36" s="37"/>
      <c r="W36" s="37"/>
      <c r="X36" s="38"/>
    </row>
    <row r="37" spans="2:24" x14ac:dyDescent="0.25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8"/>
    </row>
    <row r="38" spans="2:24" x14ac:dyDescent="0.25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8"/>
    </row>
    <row r="39" spans="2:24" ht="15.75" thickBot="1" x14ac:dyDescent="0.3">
      <c r="B39" s="75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7"/>
    </row>
    <row r="40" spans="2:24" ht="15.75" thickBot="1" x14ac:dyDescent="0.3"/>
    <row r="41" spans="2:24" ht="15.75" thickBot="1" x14ac:dyDescent="0.3">
      <c r="B41" s="72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4"/>
    </row>
    <row r="42" spans="2:24" ht="30.75" thickBot="1" x14ac:dyDescent="0.3">
      <c r="B42" s="36"/>
      <c r="C42" s="69" t="s">
        <v>28</v>
      </c>
      <c r="D42" s="70">
        <v>3.9</v>
      </c>
      <c r="E42" s="71" t="s">
        <v>29</v>
      </c>
      <c r="F42" s="37"/>
      <c r="G42" s="33" t="s">
        <v>1</v>
      </c>
      <c r="H42" s="28" t="s">
        <v>2</v>
      </c>
      <c r="I42" s="28" t="s">
        <v>3</v>
      </c>
      <c r="J42" s="28" t="s">
        <v>4</v>
      </c>
      <c r="K42" s="28" t="s">
        <v>5</v>
      </c>
      <c r="L42" s="29" t="s">
        <v>6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8"/>
    </row>
    <row r="43" spans="2:24" x14ac:dyDescent="0.25">
      <c r="B43" s="36"/>
      <c r="C43" s="37"/>
      <c r="D43" s="37"/>
      <c r="E43" s="37"/>
      <c r="F43" s="37"/>
      <c r="G43" s="57" t="s">
        <v>23</v>
      </c>
      <c r="H43" s="58">
        <v>6</v>
      </c>
      <c r="I43" s="58">
        <v>12.010999999999999</v>
      </c>
      <c r="J43" s="59">
        <f>((SQRT(1-(1/I43)^2*SIN(RADIANS(165))^2)+1/I43*COS(RADIANS(165)))/(1+1/I43))^2</f>
        <v>0.72027206504080021</v>
      </c>
      <c r="K43" s="63">
        <f>$D$42*1000*J43</f>
        <v>2809.0610536591207</v>
      </c>
      <c r="L43" s="60">
        <v>300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</row>
    <row r="44" spans="2:24" x14ac:dyDescent="0.25">
      <c r="B44" s="36"/>
      <c r="C44" s="37"/>
      <c r="D44" s="37"/>
      <c r="E44" s="37"/>
      <c r="F44" s="37"/>
      <c r="G44" s="52" t="s">
        <v>7</v>
      </c>
      <c r="H44" s="53">
        <v>8</v>
      </c>
      <c r="I44" s="54">
        <v>15.999000000000001</v>
      </c>
      <c r="J44" s="55">
        <f t="shared" ref="J44:J46" si="4">((SQRT(1-(1/I44)^2*SIN(RADIANS(165))^2)+1/I44*COS(RADIANS(165)))/(1+1/I44))^2</f>
        <v>0.78185798881983415</v>
      </c>
      <c r="K44" s="64">
        <f t="shared" ref="K44:K48" si="5">$D$42*1000*J44</f>
        <v>3049.2461563973534</v>
      </c>
      <c r="L44" s="56">
        <v>328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8"/>
    </row>
    <row r="45" spans="2:24" x14ac:dyDescent="0.25">
      <c r="B45" s="36"/>
      <c r="C45" s="37"/>
      <c r="D45" s="37">
        <f t="array" ref="D45:E48">LINEST(K43:K48,L43:L48,TRUE,TRUE)</f>
        <v>8.6163917435189159</v>
      </c>
      <c r="E45" s="37">
        <v>240.16337861504917</v>
      </c>
      <c r="F45" s="37"/>
      <c r="G45" s="31" t="s">
        <v>19</v>
      </c>
      <c r="H45" s="30">
        <v>13</v>
      </c>
      <c r="I45" s="30">
        <v>26.98</v>
      </c>
      <c r="J45" s="51">
        <f t="shared" si="4"/>
        <v>0.86433057478706143</v>
      </c>
      <c r="K45" s="65">
        <f t="shared" si="5"/>
        <v>3370.8892416695394</v>
      </c>
      <c r="L45" s="32">
        <v>356.5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8"/>
    </row>
    <row r="46" spans="2:24" x14ac:dyDescent="0.25">
      <c r="B46" s="36"/>
      <c r="C46" s="37"/>
      <c r="D46" s="37">
        <v>0.32518562881215768</v>
      </c>
      <c r="E46" s="37">
        <v>118.8490265802717</v>
      </c>
      <c r="F46" s="37"/>
      <c r="G46" s="39" t="s">
        <v>26</v>
      </c>
      <c r="H46" s="40">
        <v>14</v>
      </c>
      <c r="I46" s="40">
        <v>28.09</v>
      </c>
      <c r="J46" s="49">
        <f t="shared" si="4"/>
        <v>0.86932910407021868</v>
      </c>
      <c r="K46" s="66">
        <f t="shared" si="5"/>
        <v>3390.3835058738528</v>
      </c>
      <c r="L46" s="41">
        <v>366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8"/>
    </row>
    <row r="47" spans="2:24" x14ac:dyDescent="0.25">
      <c r="B47" s="36"/>
      <c r="C47" s="37"/>
      <c r="D47" s="37">
        <v>0.99433494007238665</v>
      </c>
      <c r="E47" s="37">
        <v>33.288603894552338</v>
      </c>
      <c r="F47" s="37"/>
      <c r="G47" s="44" t="s">
        <v>16</v>
      </c>
      <c r="H47" s="42">
        <v>50</v>
      </c>
      <c r="I47" s="42">
        <v>116</v>
      </c>
      <c r="J47" s="43">
        <f>((SQRT(1-(1/I47)^2*SIN(RADIANS(165))^2)+1/I47*COS(RADIANS(165)))/(1+1/I47))^2</f>
        <v>0.96667191113339779</v>
      </c>
      <c r="K47" s="67">
        <f t="shared" si="5"/>
        <v>3770.0204534202512</v>
      </c>
      <c r="L47" s="47">
        <v>410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8"/>
    </row>
    <row r="48" spans="2:24" ht="15.75" thickBot="1" x14ac:dyDescent="0.3">
      <c r="B48" s="36"/>
      <c r="C48" s="37"/>
      <c r="D48" s="37">
        <v>702.08255713282642</v>
      </c>
      <c r="E48" s="37">
        <v>4</v>
      </c>
      <c r="F48" s="37"/>
      <c r="G48" s="45" t="s">
        <v>27</v>
      </c>
      <c r="H48" s="46">
        <v>78</v>
      </c>
      <c r="I48" s="46">
        <v>195.1</v>
      </c>
      <c r="J48" s="50">
        <f>((SQRT(1-(1/I48)^2*SIN(RADIANS(165))^2)+1/I48*COS(RADIANS(165)))/(1+1/I48))^2</f>
        <v>0.9800485317759321</v>
      </c>
      <c r="K48" s="68">
        <f t="shared" si="5"/>
        <v>3822.1892739261352</v>
      </c>
      <c r="L48" s="48">
        <v>418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8"/>
    </row>
    <row r="49" spans="2:24" ht="14.25" customHeight="1" thickBot="1" x14ac:dyDescent="0.3"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2" t="s">
        <v>9</v>
      </c>
      <c r="N49" s="3" t="s">
        <v>10</v>
      </c>
      <c r="O49" s="2" t="s">
        <v>11</v>
      </c>
      <c r="P49" s="3" t="s">
        <v>12</v>
      </c>
      <c r="Q49" s="4" t="s">
        <v>13</v>
      </c>
      <c r="R49" s="37"/>
      <c r="S49" s="9" t="s">
        <v>24</v>
      </c>
      <c r="T49" s="10" t="s">
        <v>10</v>
      </c>
      <c r="U49" s="9" t="s">
        <v>25</v>
      </c>
      <c r="V49" s="10" t="s">
        <v>12</v>
      </c>
      <c r="W49" s="11" t="s">
        <v>13</v>
      </c>
      <c r="X49" s="38"/>
    </row>
    <row r="50" spans="2:24" x14ac:dyDescent="0.25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6">
        <v>40.86</v>
      </c>
      <c r="N50" s="15">
        <f>M50*$B$1/10</f>
        <v>29.868659999999998</v>
      </c>
      <c r="O50" s="19">
        <v>41.73</v>
      </c>
      <c r="P50" s="6">
        <f>O50*$B$1/10</f>
        <v>30.504629999999999</v>
      </c>
      <c r="Q50" s="18">
        <f>(($J$47/COS(RADIANS(0))*$N$50)+(1/COS(RADIANS(180-165))*$P$50))</f>
        <v>60.453911476416494</v>
      </c>
      <c r="R50" s="37"/>
      <c r="S50" s="26">
        <v>70.010000000000005</v>
      </c>
      <c r="T50" s="15">
        <f>S50*$E$1/10</f>
        <v>18.895699</v>
      </c>
      <c r="U50" s="26">
        <v>75.900000000000006</v>
      </c>
      <c r="V50" s="6">
        <f>U50*$E$1/10</f>
        <v>20.485410000000002</v>
      </c>
      <c r="W50" s="14">
        <f>(($J$45/COS(RADIANS(0))*T50)+(1/COS(RADIANS(180-165))*V50))</f>
        <v>37.54018739660782</v>
      </c>
      <c r="X50" s="38"/>
    </row>
    <row r="51" spans="2:24" x14ac:dyDescent="0.25"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</row>
    <row r="52" spans="2:24" ht="15.75" thickBot="1" x14ac:dyDescent="0.3"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8"/>
    </row>
    <row r="53" spans="2:24" ht="45.75" thickBot="1" x14ac:dyDescent="0.3"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3" t="s">
        <v>33</v>
      </c>
      <c r="N53" s="1" t="s">
        <v>17</v>
      </c>
      <c r="O53" s="2" t="s">
        <v>18</v>
      </c>
      <c r="P53" s="3" t="s">
        <v>8</v>
      </c>
      <c r="Q53" s="5" t="s">
        <v>14</v>
      </c>
      <c r="R53" s="37"/>
      <c r="S53" s="7"/>
      <c r="T53" s="8" t="s">
        <v>20</v>
      </c>
      <c r="U53" s="9" t="s">
        <v>21</v>
      </c>
      <c r="V53" s="10" t="s">
        <v>8</v>
      </c>
      <c r="W53" s="12" t="s">
        <v>14</v>
      </c>
      <c r="X53" s="38"/>
    </row>
    <row r="54" spans="2:24" ht="15.75" thickBot="1" x14ac:dyDescent="0.3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27"/>
      <c r="N54" s="20">
        <v>410</v>
      </c>
      <c r="O54" s="21">
        <v>401</v>
      </c>
      <c r="P54" s="25">
        <f>(N54-O54)*D45</f>
        <v>77.547525691670245</v>
      </c>
      <c r="Q54" s="23">
        <f>P54*10^3/$Q$50</f>
        <v>1282.7544785406003</v>
      </c>
      <c r="R54" s="37"/>
      <c r="S54" s="24"/>
      <c r="T54" s="20">
        <v>356.5</v>
      </c>
      <c r="U54" s="21">
        <v>352.5</v>
      </c>
      <c r="V54" s="22">
        <f>(T54-U54)*D45</f>
        <v>34.465566974075664</v>
      </c>
      <c r="W54" s="23">
        <f>V54*10^3/$W$50</f>
        <v>918.09789359735635</v>
      </c>
      <c r="X54" s="38"/>
    </row>
    <row r="55" spans="2:24" x14ac:dyDescent="0.25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 t="s">
        <v>30</v>
      </c>
      <c r="Q55" s="37"/>
      <c r="R55" s="37"/>
      <c r="S55" s="37"/>
      <c r="T55" s="37"/>
      <c r="U55" s="37"/>
      <c r="V55" s="37"/>
      <c r="W55" s="37"/>
      <c r="X55" s="38"/>
    </row>
    <row r="56" spans="2:24" x14ac:dyDescent="0.2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8"/>
    </row>
    <row r="57" spans="2:24" x14ac:dyDescent="0.25"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8"/>
    </row>
    <row r="58" spans="2:24" ht="15.75" thickBot="1" x14ac:dyDescent="0.3">
      <c r="B58" s="75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 spans="2:24" ht="15.75" thickBot="1" x14ac:dyDescent="0.3"/>
    <row r="60" spans="2:24" ht="15.75" thickBot="1" x14ac:dyDescent="0.3">
      <c r="B60" s="72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4"/>
    </row>
    <row r="61" spans="2:24" ht="30.75" thickBot="1" x14ac:dyDescent="0.3">
      <c r="B61" s="36"/>
      <c r="C61" s="69" t="s">
        <v>28</v>
      </c>
      <c r="D61" s="70">
        <v>4.3</v>
      </c>
      <c r="E61" s="71" t="s">
        <v>29</v>
      </c>
      <c r="F61" s="37"/>
      <c r="G61" s="33" t="s">
        <v>1</v>
      </c>
      <c r="H61" s="28" t="s">
        <v>2</v>
      </c>
      <c r="I61" s="28" t="s">
        <v>3</v>
      </c>
      <c r="J61" s="28" t="s">
        <v>4</v>
      </c>
      <c r="K61" s="28" t="s">
        <v>5</v>
      </c>
      <c r="L61" s="29" t="s">
        <v>6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8"/>
    </row>
    <row r="62" spans="2:24" x14ac:dyDescent="0.25">
      <c r="B62" s="36"/>
      <c r="C62" s="37"/>
      <c r="D62" s="37"/>
      <c r="E62" s="37"/>
      <c r="F62" s="37"/>
      <c r="G62" s="57" t="s">
        <v>23</v>
      </c>
      <c r="H62" s="58">
        <v>6</v>
      </c>
      <c r="I62" s="58">
        <v>12.010999999999999</v>
      </c>
      <c r="J62" s="59">
        <f>((SQRT(1-(1/I62)^2*SIN(RADIANS(165))^2)+1/I62*COS(RADIANS(165)))/(1+1/I62))^2</f>
        <v>0.72027206504080021</v>
      </c>
      <c r="K62" s="63">
        <f>$D$61*1000*J62</f>
        <v>3097.1698796754408</v>
      </c>
      <c r="L62" s="60">
        <v>334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8"/>
    </row>
    <row r="63" spans="2:24" x14ac:dyDescent="0.25">
      <c r="B63" s="36"/>
      <c r="C63" s="37"/>
      <c r="D63" s="37"/>
      <c r="E63" s="37"/>
      <c r="F63" s="37"/>
      <c r="G63" s="52" t="s">
        <v>7</v>
      </c>
      <c r="H63" s="53">
        <v>8</v>
      </c>
      <c r="I63" s="54">
        <v>15.999000000000001</v>
      </c>
      <c r="J63" s="55">
        <f t="shared" ref="J63:J65" si="6">((SQRT(1-(1/I63)^2*SIN(RADIANS(165))^2)+1/I63*COS(RADIANS(165)))/(1+1/I63))^2</f>
        <v>0.78185798881983415</v>
      </c>
      <c r="K63" s="64">
        <f t="shared" ref="K63:K67" si="7">$D$61*1000*J63</f>
        <v>3361.9893519252869</v>
      </c>
      <c r="L63" s="56">
        <v>364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8"/>
    </row>
    <row r="64" spans="2:24" x14ac:dyDescent="0.25">
      <c r="B64" s="36"/>
      <c r="C64" s="37"/>
      <c r="D64" s="37">
        <f t="array" ref="D64:E67">LINEST(K62:K67,L62:L67,TRUE,TRUE)</f>
        <v>8.7203344167160974</v>
      </c>
      <c r="E64" s="37">
        <v>200.56421713099689</v>
      </c>
      <c r="F64" s="37"/>
      <c r="G64" s="31" t="s">
        <v>19</v>
      </c>
      <c r="H64" s="30">
        <v>13</v>
      </c>
      <c r="I64" s="30">
        <v>26.98</v>
      </c>
      <c r="J64" s="51">
        <f t="shared" si="6"/>
        <v>0.86433057478706143</v>
      </c>
      <c r="K64" s="65">
        <f t="shared" si="7"/>
        <v>3716.6214715843644</v>
      </c>
      <c r="L64" s="32">
        <v>397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8"/>
    </row>
    <row r="65" spans="2:24" x14ac:dyDescent="0.25">
      <c r="B65" s="36"/>
      <c r="C65" s="37"/>
      <c r="D65" s="37">
        <v>0.27004832371656518</v>
      </c>
      <c r="E65" s="37">
        <v>109.50069653454334</v>
      </c>
      <c r="F65" s="37"/>
      <c r="G65" s="39" t="s">
        <v>26</v>
      </c>
      <c r="H65" s="40">
        <v>14</v>
      </c>
      <c r="I65" s="40">
        <v>28.09</v>
      </c>
      <c r="J65" s="49">
        <f t="shared" si="6"/>
        <v>0.86932910407021868</v>
      </c>
      <c r="K65" s="66">
        <f t="shared" si="7"/>
        <v>3738.1151475019406</v>
      </c>
      <c r="L65" s="41">
        <v>406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8"/>
    </row>
    <row r="66" spans="2:24" x14ac:dyDescent="0.25">
      <c r="B66" s="36"/>
      <c r="C66" s="37"/>
      <c r="D66" s="37">
        <v>0.99617867545651317</v>
      </c>
      <c r="E66" s="37">
        <v>30.144226036304268</v>
      </c>
      <c r="F66" s="37"/>
      <c r="G66" s="44" t="s">
        <v>16</v>
      </c>
      <c r="H66" s="42">
        <v>50</v>
      </c>
      <c r="I66" s="42">
        <v>116</v>
      </c>
      <c r="J66" s="43">
        <f>((SQRT(1-(1/I66)^2*SIN(RADIANS(165))^2)+1/I66*COS(RADIANS(165)))/(1+1/I66))^2</f>
        <v>0.96667191113339779</v>
      </c>
      <c r="K66" s="67">
        <f t="shared" si="7"/>
        <v>4156.6892178736107</v>
      </c>
      <c r="L66" s="47">
        <v>454.5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8"/>
    </row>
    <row r="67" spans="2:24" ht="15.75" thickBot="1" x14ac:dyDescent="0.3">
      <c r="B67" s="36"/>
      <c r="C67" s="37"/>
      <c r="D67" s="37">
        <v>1042.7574670718977</v>
      </c>
      <c r="E67" s="37">
        <v>4</v>
      </c>
      <c r="F67" s="37"/>
      <c r="G67" s="45" t="s">
        <v>27</v>
      </c>
      <c r="H67" s="46">
        <v>78</v>
      </c>
      <c r="I67" s="46">
        <v>195.1</v>
      </c>
      <c r="J67" s="50">
        <f>((SQRT(1-(1/I67)^2*SIN(RADIANS(165))^2)+1/I67*COS(RADIANS(165)))/(1+1/I67))^2</f>
        <v>0.9800485317759321</v>
      </c>
      <c r="K67" s="68">
        <f t="shared" si="7"/>
        <v>4214.208686636508</v>
      </c>
      <c r="L67" s="48">
        <v>462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8"/>
    </row>
    <row r="68" spans="2:24" ht="14.25" customHeight="1" thickBot="1" x14ac:dyDescent="0.3"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2" t="s">
        <v>9</v>
      </c>
      <c r="N68" s="3" t="s">
        <v>10</v>
      </c>
      <c r="O68" s="2" t="s">
        <v>11</v>
      </c>
      <c r="P68" s="3" t="s">
        <v>12</v>
      </c>
      <c r="Q68" s="4" t="s">
        <v>13</v>
      </c>
      <c r="R68" s="37"/>
      <c r="S68" s="9" t="s">
        <v>24</v>
      </c>
      <c r="T68" s="10" t="s">
        <v>10</v>
      </c>
      <c r="U68" s="9" t="s">
        <v>25</v>
      </c>
      <c r="V68" s="10" t="s">
        <v>12</v>
      </c>
      <c r="W68" s="11" t="s">
        <v>13</v>
      </c>
      <c r="X68" s="38"/>
    </row>
    <row r="69" spans="2:24" x14ac:dyDescent="0.25"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6">
        <v>38.450000000000003</v>
      </c>
      <c r="N69" s="15">
        <f>M69*$B$1/10</f>
        <v>28.106950000000001</v>
      </c>
      <c r="O69" s="19">
        <v>39.270000000000003</v>
      </c>
      <c r="P69" s="6">
        <f>O69*$B$1/10</f>
        <v>28.70637</v>
      </c>
      <c r="Q69" s="18">
        <f>(($J$47/COS(RADIANS(0))*$N$69)+(1/COS(RADIANS(180-165))*$P$69))</f>
        <v>56.889220159669449</v>
      </c>
      <c r="R69" s="37"/>
      <c r="S69" s="26">
        <v>65.209999999999994</v>
      </c>
      <c r="T69" s="15">
        <f>S69*$E$1/10</f>
        <v>17.600178999999997</v>
      </c>
      <c r="U69" s="26">
        <v>70.73</v>
      </c>
      <c r="V69" s="6">
        <f>U69*$E$1/10</f>
        <v>19.090026999999999</v>
      </c>
      <c r="W69" s="14">
        <f>(($J$45/COS(RADIANS(0))*T69)+(1/COS(RADIANS(180-165))*V69))</f>
        <v>34.975823067910518</v>
      </c>
      <c r="X69" s="38"/>
    </row>
    <row r="70" spans="2:24" x14ac:dyDescent="0.25"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8"/>
    </row>
    <row r="71" spans="2:24" ht="15.75" thickBot="1" x14ac:dyDescent="0.3"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8"/>
    </row>
    <row r="72" spans="2:24" ht="45.75" thickBot="1" x14ac:dyDescent="0.3"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13" t="s">
        <v>34</v>
      </c>
      <c r="N72" s="1" t="s">
        <v>17</v>
      </c>
      <c r="O72" s="2" t="s">
        <v>18</v>
      </c>
      <c r="P72" s="3" t="s">
        <v>8</v>
      </c>
      <c r="Q72" s="5" t="s">
        <v>14</v>
      </c>
      <c r="R72" s="37"/>
      <c r="S72" s="7"/>
      <c r="T72" s="8" t="s">
        <v>20</v>
      </c>
      <c r="U72" s="9" t="s">
        <v>21</v>
      </c>
      <c r="V72" s="10" t="s">
        <v>8</v>
      </c>
      <c r="W72" s="12" t="s">
        <v>14</v>
      </c>
      <c r="X72" s="38"/>
    </row>
    <row r="73" spans="2:24" ht="15.75" thickBot="1" x14ac:dyDescent="0.3">
      <c r="B73" s="36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27"/>
      <c r="N73" s="20">
        <v>454.5</v>
      </c>
      <c r="O73" s="21">
        <v>446.5</v>
      </c>
      <c r="P73" s="25">
        <f>(N73-O73)*D64</f>
        <v>69.762675333728779</v>
      </c>
      <c r="Q73" s="23">
        <f>P73*10^3/$Q$69</f>
        <v>1226.2898865185311</v>
      </c>
      <c r="R73" s="37"/>
      <c r="S73" s="24"/>
      <c r="T73" s="20">
        <v>397</v>
      </c>
      <c r="U73" s="21">
        <v>392</v>
      </c>
      <c r="V73" s="22">
        <f>(T73-U73)*D64</f>
        <v>43.601672083580489</v>
      </c>
      <c r="W73" s="23">
        <f>V73*10^3/$W$69</f>
        <v>1246.6231887930603</v>
      </c>
      <c r="X73" s="38"/>
    </row>
    <row r="74" spans="2:24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 t="s">
        <v>30</v>
      </c>
      <c r="Q74" s="37"/>
      <c r="R74" s="37"/>
      <c r="S74" s="37"/>
      <c r="T74" s="37"/>
      <c r="U74" s="37"/>
      <c r="V74" s="37"/>
      <c r="W74" s="37"/>
      <c r="X74" s="38"/>
    </row>
    <row r="75" spans="2:24" x14ac:dyDescent="0.25"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8"/>
    </row>
    <row r="76" spans="2:24" x14ac:dyDescent="0.25">
      <c r="B76" s="3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8"/>
    </row>
    <row r="77" spans="2:24" ht="15.75" thickBot="1" x14ac:dyDescent="0.3">
      <c r="B77" s="75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 spans="2:24" ht="15.75" thickBot="1" x14ac:dyDescent="0.3"/>
    <row r="79" spans="2:24" ht="15.75" thickBot="1" x14ac:dyDescent="0.3">
      <c r="B79" s="72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4"/>
    </row>
    <row r="80" spans="2:24" ht="30.75" thickBot="1" x14ac:dyDescent="0.3">
      <c r="B80" s="36"/>
      <c r="C80" s="69" t="s">
        <v>28</v>
      </c>
      <c r="D80" s="70">
        <v>4.7</v>
      </c>
      <c r="E80" s="71" t="s">
        <v>29</v>
      </c>
      <c r="F80" s="37"/>
      <c r="G80" s="33" t="s">
        <v>1</v>
      </c>
      <c r="H80" s="28" t="s">
        <v>2</v>
      </c>
      <c r="I80" s="28" t="s">
        <v>3</v>
      </c>
      <c r="J80" s="28" t="s">
        <v>4</v>
      </c>
      <c r="K80" s="28" t="s">
        <v>5</v>
      </c>
      <c r="L80" s="29" t="s">
        <v>6</v>
      </c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2:24" x14ac:dyDescent="0.25">
      <c r="B81" s="36"/>
      <c r="C81" s="37"/>
      <c r="D81" s="37"/>
      <c r="E81" s="37"/>
      <c r="F81" s="37"/>
      <c r="G81" s="57" t="s">
        <v>23</v>
      </c>
      <c r="H81" s="58">
        <v>6</v>
      </c>
      <c r="I81" s="58">
        <v>12.010999999999999</v>
      </c>
      <c r="J81" s="59">
        <f>((SQRT(1-(1/I81)^2*SIN(RADIANS(165))^2)+1/I81*COS(RADIANS(165)))/(1+1/I81))^2</f>
        <v>0.72027206504080021</v>
      </c>
      <c r="K81" s="63">
        <f>$D$80*1000*J81</f>
        <v>3385.2787056917609</v>
      </c>
      <c r="L81" s="60">
        <v>317.5</v>
      </c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8"/>
    </row>
    <row r="82" spans="2:24" x14ac:dyDescent="0.25">
      <c r="B82" s="36"/>
      <c r="C82" s="37"/>
      <c r="D82" s="37"/>
      <c r="E82" s="37"/>
      <c r="F82" s="37"/>
      <c r="G82" s="52" t="s">
        <v>7</v>
      </c>
      <c r="H82" s="53">
        <v>8</v>
      </c>
      <c r="I82" s="54">
        <v>15.999000000000001</v>
      </c>
      <c r="J82" s="55">
        <f t="shared" ref="J82:J83" si="8">((SQRT(1-(1/I82)^2*SIN(RADIANS(165))^2)+1/I82*COS(RADIANS(165)))/(1+1/I82))^2</f>
        <v>0.78185798881983415</v>
      </c>
      <c r="K82" s="64">
        <f t="shared" ref="K82:K83" si="9">$D$80*1000*J82</f>
        <v>3674.7325474532204</v>
      </c>
      <c r="L82" s="56">
        <v>346.5</v>
      </c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8"/>
    </row>
    <row r="83" spans="2:24" x14ac:dyDescent="0.25">
      <c r="B83" s="36"/>
      <c r="C83" s="37"/>
      <c r="D83" s="37">
        <f t="array" ref="D83:E86">LINEST(K81:K84,L81:L84,TRUE,TRUE)</f>
        <v>10.028282738820089</v>
      </c>
      <c r="E83" s="37">
        <v>215.99440361817187</v>
      </c>
      <c r="F83" s="37"/>
      <c r="G83" s="31" t="s">
        <v>19</v>
      </c>
      <c r="H83" s="30">
        <v>13</v>
      </c>
      <c r="I83" s="30">
        <v>26.98</v>
      </c>
      <c r="J83" s="51">
        <f t="shared" si="8"/>
        <v>0.86433057478706143</v>
      </c>
      <c r="K83" s="65">
        <f t="shared" si="9"/>
        <v>4062.3537014991889</v>
      </c>
      <c r="L83" s="32">
        <v>378</v>
      </c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8"/>
    </row>
    <row r="84" spans="2:24" x14ac:dyDescent="0.25">
      <c r="B84" s="36"/>
      <c r="C84" s="37"/>
      <c r="D84" s="37">
        <v>0.52999498018827829</v>
      </c>
      <c r="E84" s="37">
        <v>196.90374545342524</v>
      </c>
      <c r="F84" s="37"/>
      <c r="G84" s="44" t="s">
        <v>16</v>
      </c>
      <c r="H84" s="42">
        <v>50</v>
      </c>
      <c r="I84" s="42">
        <v>116</v>
      </c>
      <c r="J84" s="43">
        <f>((SQRT(1-(1/I84)^2*SIN(RADIANS(165))^2)+1/I84*COS(RADIANS(165)))/(1+1/I84))^2</f>
        <v>0.96667191113339779</v>
      </c>
      <c r="K84" s="67">
        <f>$D$80*1000*J84</f>
        <v>4543.3579823269692</v>
      </c>
      <c r="L84" s="47">
        <v>434</v>
      </c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8"/>
    </row>
    <row r="85" spans="2:24" ht="15.75" thickBot="1" x14ac:dyDescent="0.3">
      <c r="B85" s="36"/>
      <c r="C85" s="37"/>
      <c r="D85" s="37">
        <v>0.99444478282660387</v>
      </c>
      <c r="E85" s="37">
        <v>45.790155400265043</v>
      </c>
      <c r="F85" s="37"/>
      <c r="G85" s="45" t="s">
        <v>27</v>
      </c>
      <c r="H85" s="46">
        <v>78</v>
      </c>
      <c r="I85" s="46">
        <v>195.1</v>
      </c>
      <c r="J85" s="50">
        <f>((SQRT(1-(1/I85)^2*SIN(RADIANS(165))^2)+1/I85*COS(RADIANS(165)))/(1+1/I85))^2</f>
        <v>0.9800485317759321</v>
      </c>
      <c r="K85" s="68">
        <f>$D$80*1000*J85</f>
        <v>4606.2280993468812</v>
      </c>
      <c r="L85" s="48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8"/>
    </row>
    <row r="86" spans="2:24" ht="15.75" thickBot="1" x14ac:dyDescent="0.3">
      <c r="B86" s="36"/>
      <c r="C86" s="37"/>
      <c r="D86" s="37">
        <v>358.02192849956941</v>
      </c>
      <c r="E86" s="37">
        <v>2</v>
      </c>
      <c r="F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8"/>
    </row>
    <row r="87" spans="2:24" ht="13.5" customHeight="1" thickBot="1" x14ac:dyDescent="0.3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2" t="s">
        <v>9</v>
      </c>
      <c r="N87" s="3" t="s">
        <v>10</v>
      </c>
      <c r="O87" s="2" t="s">
        <v>11</v>
      </c>
      <c r="P87" s="3" t="s">
        <v>12</v>
      </c>
      <c r="Q87" s="4" t="s">
        <v>13</v>
      </c>
      <c r="R87" s="37"/>
      <c r="S87" s="9" t="s">
        <v>24</v>
      </c>
      <c r="T87" s="10" t="s">
        <v>10</v>
      </c>
      <c r="U87" s="9" t="s">
        <v>25</v>
      </c>
      <c r="V87" s="10" t="s">
        <v>12</v>
      </c>
      <c r="W87" s="11" t="s">
        <v>13</v>
      </c>
      <c r="X87" s="38"/>
    </row>
    <row r="88" spans="2:24" x14ac:dyDescent="0.25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6">
        <v>36.340000000000003</v>
      </c>
      <c r="N88" s="15">
        <f>M88*$B$1/10</f>
        <v>26.564540000000001</v>
      </c>
      <c r="O88" s="19">
        <v>37.130000000000003</v>
      </c>
      <c r="P88" s="6">
        <f>O88*$B$1/10</f>
        <v>27.142029999999998</v>
      </c>
      <c r="Q88" s="18">
        <f>(($J$47/COS(RADIANS(0))*$N$88)+(1/COS(RADIANS(180-165))*$P$88))</f>
        <v>53.778691797155474</v>
      </c>
      <c r="R88" s="37"/>
      <c r="S88" s="26">
        <v>61.11</v>
      </c>
      <c r="T88" s="15">
        <f>S88*$E$1/10</f>
        <v>16.493589</v>
      </c>
      <c r="U88" s="26">
        <v>66.319999999999993</v>
      </c>
      <c r="V88" s="6">
        <f>U88*$E$1/10</f>
        <v>17.899767999999998</v>
      </c>
      <c r="W88" s="14">
        <f>(($J$45/COS(RADIANS(0))*T88)+(1/COS(RADIANS(180-165))*V88))</f>
        <v>32.787116705938182</v>
      </c>
      <c r="X88" s="38"/>
    </row>
    <row r="89" spans="2:24" x14ac:dyDescent="0.25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8"/>
    </row>
    <row r="90" spans="2:24" ht="15.75" thickBot="1" x14ac:dyDescent="0.3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8"/>
    </row>
    <row r="91" spans="2:24" ht="45.75" thickBot="1" x14ac:dyDescent="0.3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13" t="s">
        <v>35</v>
      </c>
      <c r="N91" s="1" t="s">
        <v>17</v>
      </c>
      <c r="O91" s="2" t="s">
        <v>18</v>
      </c>
      <c r="P91" s="3" t="s">
        <v>8</v>
      </c>
      <c r="Q91" s="5" t="s">
        <v>14</v>
      </c>
      <c r="R91" s="37"/>
      <c r="S91" s="7"/>
      <c r="T91" s="8" t="s">
        <v>20</v>
      </c>
      <c r="U91" s="9" t="s">
        <v>21</v>
      </c>
      <c r="V91" s="10" t="s">
        <v>8</v>
      </c>
      <c r="W91" s="12" t="s">
        <v>14</v>
      </c>
      <c r="X91" s="38"/>
    </row>
    <row r="92" spans="2:24" ht="15.75" thickBot="1" x14ac:dyDescent="0.3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27"/>
      <c r="N92" s="20">
        <v>434</v>
      </c>
      <c r="O92" s="21">
        <v>425.5</v>
      </c>
      <c r="P92" s="25">
        <f>(N92-O92)*D83</f>
        <v>85.240403279970749</v>
      </c>
      <c r="Q92" s="23">
        <f>P92*10^3/$Q$88</f>
        <v>1585.021881928325</v>
      </c>
      <c r="R92" s="37"/>
      <c r="S92" s="24"/>
      <c r="T92" s="20">
        <v>378</v>
      </c>
      <c r="U92" s="21">
        <v>373.5</v>
      </c>
      <c r="V92" s="22">
        <f>(T92-U92)*D83</f>
        <v>45.127272324690395</v>
      </c>
      <c r="W92" s="23">
        <f>V92*10^3/$W$88</f>
        <v>1376.3720893614668</v>
      </c>
      <c r="X92" s="38"/>
    </row>
    <row r="93" spans="2:24" x14ac:dyDescent="0.25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 t="s">
        <v>30</v>
      </c>
      <c r="Q93" s="37"/>
      <c r="R93" s="37"/>
      <c r="S93" s="37"/>
      <c r="T93" s="37"/>
      <c r="U93" s="37"/>
      <c r="V93" s="37"/>
      <c r="W93" s="37"/>
      <c r="X93" s="38"/>
    </row>
    <row r="94" spans="2:24" x14ac:dyDescent="0.25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8"/>
    </row>
    <row r="95" spans="2:24" x14ac:dyDescent="0.25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8"/>
    </row>
    <row r="96" spans="2:24" ht="15.75" thickBot="1" x14ac:dyDescent="0.3">
      <c r="B96" s="75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7"/>
    </row>
    <row r="97" spans="2:24" ht="15.75" thickBot="1" x14ac:dyDescent="0.3"/>
    <row r="98" spans="2:24" ht="15.75" thickBot="1" x14ac:dyDescent="0.3">
      <c r="B98" s="72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4"/>
    </row>
    <row r="99" spans="2:24" ht="30.75" thickBot="1" x14ac:dyDescent="0.3">
      <c r="B99" s="36"/>
      <c r="C99" s="69" t="s">
        <v>28</v>
      </c>
      <c r="D99" s="78">
        <v>5</v>
      </c>
      <c r="E99" s="71" t="s">
        <v>29</v>
      </c>
      <c r="F99" s="37"/>
      <c r="G99" s="33" t="s">
        <v>1</v>
      </c>
      <c r="H99" s="28" t="s">
        <v>2</v>
      </c>
      <c r="I99" s="28" t="s">
        <v>3</v>
      </c>
      <c r="J99" s="28" t="s">
        <v>4</v>
      </c>
      <c r="K99" s="28" t="s">
        <v>5</v>
      </c>
      <c r="L99" s="29" t="s">
        <v>6</v>
      </c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8"/>
    </row>
    <row r="100" spans="2:24" x14ac:dyDescent="0.25">
      <c r="B100" s="36"/>
      <c r="C100" s="37"/>
      <c r="D100" s="37"/>
      <c r="E100" s="37"/>
      <c r="F100" s="37"/>
      <c r="G100" s="57" t="s">
        <v>23</v>
      </c>
      <c r="H100" s="58">
        <v>6</v>
      </c>
      <c r="I100" s="58">
        <v>12.010999999999999</v>
      </c>
      <c r="J100" s="59">
        <f>((SQRT(1-(1/I100)^2*SIN(RADIANS(165))^2)+1/I100*COS(RADIANS(165)))/(1+1/I100))^2</f>
        <v>0.72027206504080021</v>
      </c>
      <c r="K100" s="63">
        <f>$D$99*1000*J100</f>
        <v>3601.3603252040011</v>
      </c>
      <c r="L100" s="60">
        <v>339</v>
      </c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8"/>
    </row>
    <row r="101" spans="2:24" x14ac:dyDescent="0.25">
      <c r="B101" s="36"/>
      <c r="C101" s="37"/>
      <c r="D101" s="37"/>
      <c r="E101" s="37"/>
      <c r="F101" s="37"/>
      <c r="G101" s="52" t="s">
        <v>7</v>
      </c>
      <c r="H101" s="53">
        <v>8</v>
      </c>
      <c r="I101" s="54">
        <v>15.999000000000001</v>
      </c>
      <c r="J101" s="55">
        <f t="shared" ref="J101:J103" si="10">((SQRT(1-(1/I101)^2*SIN(RADIANS(165))^2)+1/I101*COS(RADIANS(165)))/(1+1/I101))^2</f>
        <v>0.78185798881983415</v>
      </c>
      <c r="K101" s="64">
        <f t="shared" ref="K101:K105" si="11">$D$99*1000*J101</f>
        <v>3909.289944099171</v>
      </c>
      <c r="L101" s="56">
        <v>370.5</v>
      </c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8"/>
    </row>
    <row r="102" spans="2:24" x14ac:dyDescent="0.25">
      <c r="B102" s="36"/>
      <c r="C102" s="37"/>
      <c r="D102" s="37">
        <f t="array" ref="D102:E105">LINEST(K100:K105,L100:L105,TRUE,TRUE)</f>
        <v>9.80127738708428</v>
      </c>
      <c r="E102" s="37">
        <v>294.51733917568345</v>
      </c>
      <c r="F102" s="37"/>
      <c r="G102" s="31" t="s">
        <v>19</v>
      </c>
      <c r="H102" s="30">
        <v>13</v>
      </c>
      <c r="I102" s="30">
        <v>26.98</v>
      </c>
      <c r="J102" s="51">
        <f t="shared" si="10"/>
        <v>0.86433057478706143</v>
      </c>
      <c r="K102" s="65">
        <f t="shared" si="11"/>
        <v>4321.6528739353071</v>
      </c>
      <c r="L102" s="32">
        <v>405</v>
      </c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8"/>
    </row>
    <row r="103" spans="2:24" x14ac:dyDescent="0.25">
      <c r="B103" s="36"/>
      <c r="C103" s="37"/>
      <c r="D103" s="37">
        <v>0.28321744167471208</v>
      </c>
      <c r="E103" s="37">
        <v>117.04882382677867</v>
      </c>
      <c r="F103" s="37"/>
      <c r="G103" s="39" t="s">
        <v>26</v>
      </c>
      <c r="H103" s="40">
        <v>14</v>
      </c>
      <c r="I103" s="40">
        <v>28.09</v>
      </c>
      <c r="J103" s="49">
        <f t="shared" si="10"/>
        <v>0.86932910407021868</v>
      </c>
      <c r="K103" s="66">
        <f t="shared" si="11"/>
        <v>4346.6455203510932</v>
      </c>
      <c r="L103" s="41">
        <v>413.5</v>
      </c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8"/>
    </row>
    <row r="104" spans="2:24" x14ac:dyDescent="0.25">
      <c r="B104" s="36"/>
      <c r="C104" s="37"/>
      <c r="D104" s="37">
        <v>0.99667120895590811</v>
      </c>
      <c r="E104" s="37">
        <v>32.714628413016257</v>
      </c>
      <c r="F104" s="37"/>
      <c r="G104" s="44" t="s">
        <v>16</v>
      </c>
      <c r="H104" s="42">
        <v>50</v>
      </c>
      <c r="I104" s="42">
        <v>116</v>
      </c>
      <c r="J104" s="43">
        <f>((SQRT(1-(1/I104)^2*SIN(RADIANS(165))^2)+1/I104*COS(RADIANS(165)))/(1+1/I104))^2</f>
        <v>0.96667191113339779</v>
      </c>
      <c r="K104" s="67">
        <f t="shared" si="11"/>
        <v>4833.3595556669889</v>
      </c>
      <c r="L104" s="47">
        <v>463.5</v>
      </c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8"/>
    </row>
    <row r="105" spans="2:24" ht="15.75" thickBot="1" x14ac:dyDescent="0.3">
      <c r="B105" s="36"/>
      <c r="C105" s="37"/>
      <c r="D105" s="37">
        <v>1197.637455465825</v>
      </c>
      <c r="E105" s="37">
        <v>4</v>
      </c>
      <c r="F105" s="37"/>
      <c r="G105" s="45" t="s">
        <v>27</v>
      </c>
      <c r="H105" s="46">
        <v>78</v>
      </c>
      <c r="I105" s="46">
        <v>195.1</v>
      </c>
      <c r="J105" s="50">
        <f>((SQRT(1-(1/I105)^2*SIN(RADIANS(165))^2)+1/I105*COS(RADIANS(165)))/(1+1/I105))^2</f>
        <v>0.9800485317759321</v>
      </c>
      <c r="K105" s="68">
        <f t="shared" si="11"/>
        <v>4900.2426588796607</v>
      </c>
      <c r="L105" s="48">
        <v>472</v>
      </c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8"/>
    </row>
    <row r="106" spans="2:24" ht="14.25" customHeight="1" thickBot="1" x14ac:dyDescent="0.3">
      <c r="B106" s="3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2" t="s">
        <v>9</v>
      </c>
      <c r="N106" s="3" t="s">
        <v>10</v>
      </c>
      <c r="O106" s="2" t="s">
        <v>11</v>
      </c>
      <c r="P106" s="3" t="s">
        <v>12</v>
      </c>
      <c r="Q106" s="4" t="s">
        <v>13</v>
      </c>
      <c r="R106" s="37"/>
      <c r="S106" s="9" t="s">
        <v>24</v>
      </c>
      <c r="T106" s="10" t="s">
        <v>10</v>
      </c>
      <c r="U106" s="9" t="s">
        <v>25</v>
      </c>
      <c r="V106" s="10" t="s">
        <v>12</v>
      </c>
      <c r="W106" s="11" t="s">
        <v>13</v>
      </c>
      <c r="X106" s="38"/>
    </row>
    <row r="107" spans="2:24" x14ac:dyDescent="0.25">
      <c r="B107" s="3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6">
        <v>34.93</v>
      </c>
      <c r="N107" s="15">
        <f>M107*$B$1/10</f>
        <v>25.533829999999998</v>
      </c>
      <c r="O107" s="19">
        <v>35.700000000000003</v>
      </c>
      <c r="P107" s="6">
        <f>O107*$B$1/10</f>
        <v>26.096699999999998</v>
      </c>
      <c r="Q107" s="18">
        <f>(($J$47/COS(RADIANS(0))*$N$107)+(1/COS(RADIANS(180-165))*$P$107))</f>
        <v>51.700128141963091</v>
      </c>
      <c r="R107" s="37"/>
      <c r="S107" s="26">
        <v>58.39</v>
      </c>
      <c r="T107" s="15">
        <f>S107*$E$1/10</f>
        <v>15.759460999999998</v>
      </c>
      <c r="U107" s="26">
        <v>63.39</v>
      </c>
      <c r="V107" s="6">
        <f>U107*$E$1/10</f>
        <v>17.108961000000001</v>
      </c>
      <c r="W107" s="14">
        <f>(($J$102/COS(RADIANS(0))*T107)+(1/COS(RADIANS(180-165))*V107))</f>
        <v>31.333883779329351</v>
      </c>
      <c r="X107" s="38"/>
    </row>
    <row r="108" spans="2:24" x14ac:dyDescent="0.25">
      <c r="B108" s="3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8"/>
    </row>
    <row r="109" spans="2:24" ht="15.75" thickBot="1" x14ac:dyDescent="0.3">
      <c r="B109" s="3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8"/>
    </row>
    <row r="110" spans="2:24" ht="45.75" thickBot="1" x14ac:dyDescent="0.3">
      <c r="B110" s="3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13" t="s">
        <v>36</v>
      </c>
      <c r="N110" s="1" t="s">
        <v>17</v>
      </c>
      <c r="O110" s="2" t="s">
        <v>18</v>
      </c>
      <c r="P110" s="3" t="s">
        <v>8</v>
      </c>
      <c r="Q110" s="5" t="s">
        <v>14</v>
      </c>
      <c r="R110" s="37"/>
      <c r="S110" s="7"/>
      <c r="T110" s="8" t="s">
        <v>20</v>
      </c>
      <c r="U110" s="9" t="s">
        <v>21</v>
      </c>
      <c r="V110" s="10" t="s">
        <v>8</v>
      </c>
      <c r="W110" s="12" t="s">
        <v>14</v>
      </c>
      <c r="X110" s="38"/>
    </row>
    <row r="111" spans="2:24" ht="15.75" thickBot="1" x14ac:dyDescent="0.3">
      <c r="B111" s="3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27"/>
      <c r="N111" s="20">
        <v>463.5</v>
      </c>
      <c r="O111" s="21">
        <v>454.5</v>
      </c>
      <c r="P111" s="25">
        <f>(N111-O111)*D102</f>
        <v>88.211496483758523</v>
      </c>
      <c r="Q111" s="23">
        <f>P111*10^3/$Q$107</f>
        <v>1706.2142716849573</v>
      </c>
      <c r="R111" s="37"/>
      <c r="S111" s="24"/>
      <c r="T111" s="20">
        <v>404</v>
      </c>
      <c r="U111" s="21">
        <v>401</v>
      </c>
      <c r="V111" s="22">
        <f>(T111-U111)*D102</f>
        <v>29.40383216125284</v>
      </c>
      <c r="W111" s="23">
        <f>V111*10^3/$W$107</f>
        <v>938.40369002230921</v>
      </c>
      <c r="X111" s="38"/>
    </row>
    <row r="112" spans="2:24" x14ac:dyDescent="0.25">
      <c r="B112" s="3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 t="s">
        <v>30</v>
      </c>
      <c r="Q112" s="37"/>
      <c r="R112" s="37"/>
      <c r="S112" s="37"/>
      <c r="T112" s="37"/>
      <c r="U112" s="37"/>
      <c r="V112" s="37"/>
      <c r="W112" s="37"/>
      <c r="X112" s="38"/>
    </row>
    <row r="113" spans="2:24" x14ac:dyDescent="0.25">
      <c r="B113" s="3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8"/>
    </row>
    <row r="114" spans="2:24" x14ac:dyDescent="0.25">
      <c r="B114" s="3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8"/>
    </row>
    <row r="115" spans="2:24" ht="15.75" thickBot="1" x14ac:dyDescent="0.3">
      <c r="B115" s="75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Matoza Pires</cp:lastModifiedBy>
  <cp:revision>27</cp:revision>
  <dcterms:created xsi:type="dcterms:W3CDTF">2022-08-29T11:45:38Z</dcterms:created>
  <dcterms:modified xsi:type="dcterms:W3CDTF">2025-06-03T14:37:38Z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