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TESE\Activations\116Sn(p,g)117Sb_Analysis\CNA\"/>
    </mc:Choice>
  </mc:AlternateContent>
  <bookViews>
    <workbookView xWindow="0" yWindow="0" windowWidth="16380" windowHeight="7310" tabRatio="668"/>
  </bookViews>
  <sheets>
    <sheet name="Sn+Al targets" sheetId="8" r:id="rId1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W113" i="8" l="1"/>
  <c r="W94" i="8"/>
  <c r="W75" i="8"/>
  <c r="W56" i="8" l="1"/>
  <c r="W37" i="8" l="1"/>
  <c r="W18" i="8"/>
  <c r="AD113" i="8" l="1"/>
  <c r="AD94" i="8"/>
  <c r="AD75" i="8"/>
  <c r="AD56" i="8"/>
  <c r="AD37" i="8"/>
  <c r="AD18" i="8"/>
  <c r="AE113" i="8"/>
  <c r="AB111" i="8"/>
  <c r="AB113" i="8" s="1"/>
  <c r="AE94" i="8"/>
  <c r="AB94" i="8"/>
  <c r="AD92" i="8"/>
  <c r="AB92" i="8"/>
  <c r="AE75" i="8"/>
  <c r="AB75" i="8"/>
  <c r="AD73" i="8"/>
  <c r="AB73" i="8"/>
  <c r="AE56" i="8"/>
  <c r="AB56" i="8"/>
  <c r="AD54" i="8"/>
  <c r="AB54" i="8"/>
  <c r="AE37" i="8"/>
  <c r="AB37" i="8"/>
  <c r="AD35" i="8"/>
  <c r="AB35" i="8"/>
  <c r="AB16" i="8"/>
  <c r="AD111" i="8" l="1"/>
  <c r="AE18" i="8" l="1"/>
  <c r="AB18" i="8"/>
  <c r="U113" i="8" l="1"/>
  <c r="T113" i="8"/>
  <c r="Q111" i="8"/>
  <c r="Q113" i="8" s="1"/>
  <c r="U94" i="8"/>
  <c r="T94" i="8"/>
  <c r="Q92" i="8"/>
  <c r="Q94" i="8" s="1"/>
  <c r="U75" i="8"/>
  <c r="T75" i="8"/>
  <c r="Q73" i="8"/>
  <c r="Q75" i="8" s="1"/>
  <c r="U56" i="8"/>
  <c r="T56" i="8"/>
  <c r="Q56" i="8"/>
  <c r="Q54" i="8"/>
  <c r="S54" i="8" s="1"/>
  <c r="S56" i="8" s="1"/>
  <c r="U37" i="8"/>
  <c r="T37" i="8"/>
  <c r="Q37" i="8"/>
  <c r="Q35" i="8"/>
  <c r="S35" i="8" s="1"/>
  <c r="S37" i="8" s="1"/>
  <c r="Q16" i="8"/>
  <c r="S111" i="8" l="1"/>
  <c r="S113" i="8" s="1"/>
  <c r="S92" i="8"/>
  <c r="S94" i="8" s="1"/>
  <c r="S73" i="8"/>
  <c r="S75" i="8" s="1"/>
  <c r="U18" i="8" l="1"/>
  <c r="T18" i="8"/>
  <c r="AA107" i="8" l="1"/>
  <c r="Y107" i="8"/>
  <c r="P107" i="8"/>
  <c r="N107" i="8"/>
  <c r="J105" i="8"/>
  <c r="K105" i="8" s="1"/>
  <c r="J104" i="8"/>
  <c r="K104" i="8" s="1"/>
  <c r="J103" i="8"/>
  <c r="K103" i="8" s="1"/>
  <c r="J102" i="8"/>
  <c r="J101" i="8"/>
  <c r="K101" i="8" s="1"/>
  <c r="J100" i="8"/>
  <c r="K100" i="8" s="1"/>
  <c r="AB107" i="8" l="1"/>
  <c r="K102" i="8"/>
  <c r="D102" i="8" s="1" a="1"/>
  <c r="E104" i="8" s="1"/>
  <c r="AA88" i="8"/>
  <c r="Y88" i="8"/>
  <c r="P88" i="8"/>
  <c r="N88" i="8"/>
  <c r="J85" i="8"/>
  <c r="K85" i="8" s="1"/>
  <c r="J84" i="8"/>
  <c r="K84" i="8" s="1"/>
  <c r="J83" i="8"/>
  <c r="K83" i="8" s="1"/>
  <c r="J82" i="8"/>
  <c r="K82" i="8" s="1"/>
  <c r="J81" i="8"/>
  <c r="K81" i="8" s="1"/>
  <c r="D83" i="8" s="1" a="1"/>
  <c r="AA69" i="8"/>
  <c r="Y69" i="8"/>
  <c r="AB69" i="8" s="1"/>
  <c r="P69" i="8"/>
  <c r="N69" i="8"/>
  <c r="J67" i="8"/>
  <c r="K67" i="8" s="1"/>
  <c r="J66" i="8"/>
  <c r="K66" i="8" s="1"/>
  <c r="J65" i="8"/>
  <c r="K65" i="8" s="1"/>
  <c r="J64" i="8"/>
  <c r="K64" i="8" s="1"/>
  <c r="J63" i="8"/>
  <c r="K63" i="8" s="1"/>
  <c r="J62" i="8"/>
  <c r="K43" i="8"/>
  <c r="AA50" i="8"/>
  <c r="Y50" i="8"/>
  <c r="P50" i="8"/>
  <c r="N50" i="8"/>
  <c r="J48" i="8"/>
  <c r="K48" i="8" s="1"/>
  <c r="J47" i="8"/>
  <c r="Q107" i="8" s="1"/>
  <c r="J46" i="8"/>
  <c r="K46" i="8" s="1"/>
  <c r="J45" i="8"/>
  <c r="K45" i="8" s="1"/>
  <c r="J44" i="8"/>
  <c r="K44" i="8" s="1"/>
  <c r="J43" i="8"/>
  <c r="K27" i="8"/>
  <c r="AA31" i="8"/>
  <c r="Y31" i="8"/>
  <c r="P31" i="8"/>
  <c r="N31" i="8"/>
  <c r="J29" i="8"/>
  <c r="K29" i="8" s="1"/>
  <c r="J28" i="8"/>
  <c r="Q31" i="8" s="1"/>
  <c r="J27" i="8"/>
  <c r="J26" i="8"/>
  <c r="K26" i="8" s="1"/>
  <c r="J25" i="8"/>
  <c r="K25" i="8" s="1"/>
  <c r="J24" i="8"/>
  <c r="K24" i="8" s="1"/>
  <c r="J10" i="8"/>
  <c r="K10" i="8" s="1"/>
  <c r="J8" i="8"/>
  <c r="K8" i="8" s="1"/>
  <c r="K28" i="8" l="1"/>
  <c r="D26" i="8" a="1"/>
  <c r="D26" i="8" s="1"/>
  <c r="Q69" i="8"/>
  <c r="K47" i="8"/>
  <c r="E83" i="8"/>
  <c r="D85" i="8"/>
  <c r="D86" i="8"/>
  <c r="D83" i="8"/>
  <c r="D84" i="8"/>
  <c r="E85" i="8"/>
  <c r="E86" i="8"/>
  <c r="E84" i="8"/>
  <c r="AB88" i="8"/>
  <c r="D104" i="8"/>
  <c r="E105" i="8"/>
  <c r="D64" i="8" a="1"/>
  <c r="E66" i="8" s="1"/>
  <c r="K62" i="8"/>
  <c r="D102" i="8"/>
  <c r="E103" i="8"/>
  <c r="AB31" i="8"/>
  <c r="E102" i="8"/>
  <c r="D103" i="8"/>
  <c r="AB50" i="8"/>
  <c r="D45" i="8" a="1"/>
  <c r="E47" i="8" s="1"/>
  <c r="Q50" i="8"/>
  <c r="D105" i="8"/>
  <c r="Q88" i="8"/>
  <c r="E29" i="8"/>
  <c r="D27" i="8"/>
  <c r="E28" i="8"/>
  <c r="J9" i="8"/>
  <c r="K9" i="8" s="1"/>
  <c r="J7" i="8"/>
  <c r="K7" i="8" s="1"/>
  <c r="J6" i="8"/>
  <c r="K6" i="8" s="1"/>
  <c r="J5" i="8"/>
  <c r="K5" i="8" s="1"/>
  <c r="D28" i="8" l="1"/>
  <c r="D29" i="8"/>
  <c r="E26" i="8"/>
  <c r="E27" i="8"/>
  <c r="E46" i="8"/>
  <c r="D46" i="8"/>
  <c r="D65" i="8"/>
  <c r="D64" i="8"/>
  <c r="P73" i="8" s="1"/>
  <c r="D7" i="8" a="1"/>
  <c r="D7" i="8" s="1"/>
  <c r="AA16" i="8" s="1"/>
  <c r="E48" i="8"/>
  <c r="D48" i="8"/>
  <c r="D67" i="8"/>
  <c r="D66" i="8"/>
  <c r="P92" i="8"/>
  <c r="AA92" i="8"/>
  <c r="D45" i="8"/>
  <c r="P54" i="8" s="1"/>
  <c r="E45" i="8"/>
  <c r="E65" i="8"/>
  <c r="E64" i="8"/>
  <c r="P111" i="8"/>
  <c r="AA111" i="8"/>
  <c r="D47" i="8"/>
  <c r="E67" i="8"/>
  <c r="AA35" i="8"/>
  <c r="P35" i="8"/>
  <c r="AA12" i="8"/>
  <c r="Y12" i="8"/>
  <c r="P12" i="8"/>
  <c r="N12" i="8"/>
  <c r="E7" i="8" l="1"/>
  <c r="D9" i="8"/>
  <c r="AA54" i="8"/>
  <c r="P16" i="8"/>
  <c r="E9" i="8"/>
  <c r="E8" i="8"/>
  <c r="D8" i="8"/>
  <c r="D10" i="8"/>
  <c r="E10" i="8"/>
  <c r="AA73" i="8"/>
  <c r="AB12" i="8"/>
  <c r="Q12" i="8"/>
  <c r="S16" i="8" l="1"/>
  <c r="S18" i="8" s="1"/>
  <c r="Q18" i="8"/>
  <c r="AD16" i="8"/>
</calcChain>
</file>

<file path=xl/sharedStrings.xml><?xml version="1.0" encoding="utf-8"?>
<sst xmlns="http://schemas.openxmlformats.org/spreadsheetml/2006/main" count="267" uniqueCount="41">
  <si>
    <t>g/cm^3</t>
  </si>
  <si>
    <t>Element</t>
  </si>
  <si>
    <t>Z</t>
  </si>
  <si>
    <t>A</t>
  </si>
  <si>
    <t>Kinematic factor [K]</t>
  </si>
  <si>
    <t>Back Energy (keV) [K * E0]</t>
  </si>
  <si>
    <t>Surface channel</t>
  </si>
  <si>
    <t>O</t>
  </si>
  <si>
    <t>Delta_E (keV)</t>
  </si>
  <si>
    <t>(dE/dx)_in [E_0] (MeV cm^2 / g)</t>
  </si>
  <si>
    <t>(dE/dx)_in [E_0] (eV/nm)</t>
  </si>
  <si>
    <t>(dE/dx)_out [K * E_0] (MeV cm^2 / g)</t>
  </si>
  <si>
    <t>(dE/dx)_out [K * E_0] (eV/nm)</t>
  </si>
  <si>
    <t>[S] (eV/nm)</t>
  </si>
  <si>
    <t>x (nm)</t>
  </si>
  <si>
    <t xml:space="preserve">Tin density = </t>
  </si>
  <si>
    <t>Sn</t>
  </si>
  <si>
    <t>Sn channel in</t>
  </si>
  <si>
    <t>Sn channel out</t>
  </si>
  <si>
    <t>Al</t>
  </si>
  <si>
    <t>Al channel in</t>
  </si>
  <si>
    <t>Al channel out</t>
  </si>
  <si>
    <t>Al   density =</t>
  </si>
  <si>
    <t>C</t>
  </si>
  <si>
    <r>
      <t>(dE/dx)_</t>
    </r>
    <r>
      <rPr>
        <b/>
        <sz val="11"/>
        <color rgb="FFFF0000"/>
        <rFont val="Calibri"/>
        <family val="2"/>
      </rPr>
      <t>in</t>
    </r>
    <r>
      <rPr>
        <b/>
        <sz val="11"/>
        <color rgb="FF0070C0"/>
        <rFont val="Calibri"/>
        <family val="2"/>
      </rPr>
      <t xml:space="preserve"> [E_0] (MeV cm^2 / g)</t>
    </r>
  </si>
  <si>
    <r>
      <t>(dE/dx)_</t>
    </r>
    <r>
      <rPr>
        <b/>
        <sz val="11"/>
        <color rgb="FFFF0000"/>
        <rFont val="Calibri"/>
        <family val="2"/>
      </rPr>
      <t>out</t>
    </r>
    <r>
      <rPr>
        <b/>
        <sz val="11"/>
        <color rgb="FF0070C0"/>
        <rFont val="Calibri"/>
        <family val="2"/>
      </rPr>
      <t xml:space="preserve"> [K * E_0] (MeV cm^2 / g)</t>
    </r>
  </si>
  <si>
    <t>Si</t>
  </si>
  <si>
    <t>Pt</t>
  </si>
  <si>
    <t>Ebeam =</t>
  </si>
  <si>
    <t>MeV</t>
  </si>
  <si>
    <t>116Sn-C3</t>
  </si>
  <si>
    <t>116Sn-C10</t>
  </si>
  <si>
    <t>116Sn-D4</t>
  </si>
  <si>
    <t>116Sn-G1</t>
  </si>
  <si>
    <t>116Sn-D8</t>
  </si>
  <si>
    <t>116Sn-D5</t>
  </si>
  <si>
    <t>mg/cm2</t>
  </si>
  <si>
    <t>AEL</t>
  </si>
  <si>
    <t>ug/cm2</t>
  </si>
  <si>
    <t>SimNRA (nm)</t>
  </si>
  <si>
    <t>+-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</si>
</sst>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1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color rgb="FF0070C0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  <charset val="1"/>
    </font>
    <font>
      <b/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theme="1"/>
      <name val="Calibri"/>
      <family val="2"/>
    </font>
    <font>
      <sz val="1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97BC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FBDDE"/>
        <bgColor rgb="FFDAE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3F3"/>
      </patternFill>
    </fill>
    <fill>
      <patternFill patternType="solid">
        <fgColor rgb="FFFFBDDE"/>
        <bgColor rgb="FFDEEBF7"/>
      </patternFill>
    </fill>
    <fill>
      <patternFill patternType="solid">
        <fgColor rgb="FFFF8F8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8F8F"/>
        <bgColor rgb="FFDEEBF7"/>
      </patternFill>
    </fill>
    <fill>
      <patternFill patternType="solid">
        <fgColor theme="4" tint="0.59999389629810485"/>
        <bgColor rgb="FFDEEBF7"/>
      </patternFill>
    </fill>
    <fill>
      <patternFill patternType="solid">
        <fgColor theme="0" tint="-0.14999847407452621"/>
        <bgColor rgb="FFDEEBF7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DEEBF7"/>
      </patternFill>
    </fill>
    <fill>
      <patternFill patternType="solid">
        <fgColor theme="7" tint="0.59999389629810485"/>
        <bgColor rgb="FFDEEBF7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2" fontId="0" fillId="7" borderId="17" xfId="0" applyNumberForma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166" fontId="0" fillId="7" borderId="18" xfId="0" applyNumberFormat="1" applyFill="1" applyBorder="1" applyAlignment="1">
      <alignment horizontal="center" vertical="center" wrapText="1"/>
    </xf>
    <xf numFmtId="2" fontId="5" fillId="7" borderId="17" xfId="0" applyNumberFormat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1" fontId="0" fillId="7" borderId="18" xfId="0" applyNumberFormat="1" applyFill="1" applyBorder="1" applyAlignment="1">
      <alignment horizontal="center" vertical="center" wrapText="1"/>
    </xf>
    <xf numFmtId="2" fontId="2" fillId="7" borderId="17" xfId="0" applyNumberFormat="1" applyFont="1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2" fontId="0" fillId="7" borderId="21" xfId="0" applyNumberForma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2" fontId="0" fillId="0" borderId="21" xfId="0" applyNumberForma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1" fontId="0" fillId="8" borderId="19" xfId="0" applyNumberForma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0" borderId="13" xfId="0" applyBorder="1"/>
    <xf numFmtId="0" fontId="0" fillId="0" borderId="0" xfId="0" applyBorder="1"/>
    <xf numFmtId="0" fontId="1" fillId="11" borderId="13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165" fontId="0" fillId="10" borderId="0" xfId="0" applyNumberForma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1" fontId="0" fillId="4" borderId="19" xfId="0" applyNumberFormat="1" applyFill="1" applyBorder="1" applyAlignment="1">
      <alignment horizontal="center" vertical="center" wrapText="1"/>
    </xf>
    <xf numFmtId="1" fontId="0" fillId="12" borderId="8" xfId="0" applyNumberFormat="1" applyFill="1" applyBorder="1" applyAlignment="1">
      <alignment horizontal="center" vertical="center"/>
    </xf>
    <xf numFmtId="165" fontId="0" fillId="14" borderId="0" xfId="0" applyNumberFormat="1" applyFill="1" applyBorder="1" applyAlignment="1">
      <alignment horizontal="center" vertical="center" wrapText="1"/>
    </xf>
    <xf numFmtId="165" fontId="0" fillId="15" borderId="2" xfId="0" applyNumberFormat="1" applyFill="1" applyBorder="1" applyAlignment="1">
      <alignment horizontal="center" vertical="center" wrapText="1"/>
    </xf>
    <xf numFmtId="165" fontId="0" fillId="16" borderId="0" xfId="0" applyNumberFormat="1" applyFill="1" applyBorder="1" applyAlignment="1">
      <alignment horizontal="center" vertical="center" wrapText="1"/>
    </xf>
    <xf numFmtId="0" fontId="1" fillId="17" borderId="13" xfId="0" applyFont="1" applyFill="1" applyBorder="1" applyAlignment="1">
      <alignment horizontal="center" vertical="center" wrapText="1"/>
    </xf>
    <xf numFmtId="0" fontId="0" fillId="18" borderId="0" xfId="0" applyFill="1" applyBorder="1" applyAlignment="1">
      <alignment horizontal="center" vertical="center" wrapText="1"/>
    </xf>
    <xf numFmtId="164" fontId="0" fillId="18" borderId="0" xfId="0" applyNumberFormat="1" applyFill="1" applyBorder="1" applyAlignment="1">
      <alignment horizontal="center" vertical="center" wrapText="1"/>
    </xf>
    <xf numFmtId="165" fontId="0" fillId="18" borderId="0" xfId="0" applyNumberFormat="1" applyFill="1" applyBorder="1" applyAlignment="1">
      <alignment horizontal="center" vertical="center" wrapText="1"/>
    </xf>
    <xf numFmtId="1" fontId="0" fillId="18" borderId="19" xfId="0" applyNumberForma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165" fontId="0" fillId="19" borderId="4" xfId="0" applyNumberFormat="1" applyFill="1" applyBorder="1" applyAlignment="1">
      <alignment horizontal="center" vertical="center" wrapText="1"/>
    </xf>
    <xf numFmtId="1" fontId="0" fillId="13" borderId="7" xfId="0" applyNumberForma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1" fontId="0" fillId="19" borderId="5" xfId="0" applyNumberFormat="1" applyFill="1" applyBorder="1" applyAlignment="1">
      <alignment horizontal="center" vertical="center" wrapText="1"/>
    </xf>
    <xf numFmtId="1" fontId="0" fillId="18" borderId="22" xfId="0" applyNumberFormat="1" applyFill="1" applyBorder="1" applyAlignment="1">
      <alignment horizontal="center" vertical="center" wrapText="1"/>
    </xf>
    <xf numFmtId="1" fontId="0" fillId="9" borderId="22" xfId="0" applyNumberFormat="1" applyFill="1" applyBorder="1" applyAlignment="1">
      <alignment horizontal="center" vertical="center" wrapText="1"/>
    </xf>
    <xf numFmtId="1" fontId="0" fillId="11" borderId="22" xfId="0" applyNumberFormat="1" applyFill="1" applyBorder="1" applyAlignment="1">
      <alignment horizontal="center" vertical="center"/>
    </xf>
    <xf numFmtId="1" fontId="0" fillId="6" borderId="22" xfId="0" applyNumberFormat="1" applyFill="1" applyBorder="1" applyAlignment="1">
      <alignment horizontal="center" vertical="center" wrapText="1"/>
    </xf>
    <xf numFmtId="1" fontId="0" fillId="12" borderId="3" xfId="0" applyNumberForma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2" xfId="0" applyBorder="1"/>
    <xf numFmtId="166" fontId="7" fillId="5" borderId="6" xfId="0" applyNumberFormat="1" applyFont="1" applyFill="1" applyBorder="1" applyAlignment="1">
      <alignment horizontal="center" vertical="center"/>
    </xf>
    <xf numFmtId="1" fontId="7" fillId="0" borderId="0" xfId="0" applyNumberFormat="1" applyFont="1" applyBorder="1"/>
    <xf numFmtId="2" fontId="9" fillId="0" borderId="0" xfId="0" applyNumberFormat="1" applyFont="1" applyBorder="1"/>
    <xf numFmtId="0" fontId="8" fillId="3" borderId="4" xfId="0" applyFont="1" applyFill="1" applyBorder="1"/>
    <xf numFmtId="0" fontId="4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2" fontId="0" fillId="0" borderId="15" xfId="0" applyNumberFormat="1" applyFill="1" applyBorder="1" applyAlignment="1">
      <alignment horizontal="center" vertical="center" wrapText="1"/>
    </xf>
    <xf numFmtId="1" fontId="6" fillId="7" borderId="4" xfId="0" applyNumberFormat="1" applyFont="1" applyFill="1" applyBorder="1" applyAlignment="1">
      <alignment horizontal="center" vertical="center" wrapText="1"/>
    </xf>
    <xf numFmtId="164" fontId="0" fillId="0" borderId="2" xfId="0" applyNumberFormat="1" applyBorder="1"/>
    <xf numFmtId="0" fontId="0" fillId="5" borderId="1" xfId="0" applyFill="1" applyBorder="1"/>
    <xf numFmtId="0" fontId="0" fillId="0" borderId="4" xfId="0" quotePrefix="1" applyBorder="1" applyAlignment="1">
      <alignment horizontal="center" vertical="center" wrapText="1"/>
    </xf>
    <xf numFmtId="1" fontId="7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10" fillId="3" borderId="4" xfId="0" applyFont="1" applyFill="1" applyBorder="1"/>
    <xf numFmtId="0" fontId="10" fillId="3" borderId="1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2" fontId="0" fillId="7" borderId="25" xfId="0" applyNumberForma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0" fillId="8" borderId="4" xfId="0" applyFill="1" applyBorder="1"/>
    <xf numFmtId="1" fontId="6" fillId="7" borderId="9" xfId="0" applyNumberFormat="1" applyFont="1" applyFill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center" vertical="center" wrapText="1"/>
    </xf>
    <xf numFmtId="164" fontId="0" fillId="20" borderId="10" xfId="0" applyNumberFormat="1" applyFill="1" applyBorder="1" applyAlignment="1">
      <alignment horizontal="center" vertical="center" wrapText="1"/>
    </xf>
    <xf numFmtId="0" fontId="0" fillId="20" borderId="2" xfId="0" quotePrefix="1" applyFill="1" applyBorder="1" applyAlignment="1">
      <alignment horizontal="center" vertical="center" wrapText="1"/>
    </xf>
    <xf numFmtId="0" fontId="0" fillId="5" borderId="20" xfId="0" applyFill="1" applyBorder="1"/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2" borderId="2" xfId="0" quotePrefix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164" fontId="0" fillId="22" borderId="25" xfId="0" applyNumberForma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64" fontId="0" fillId="21" borderId="21" xfId="0" applyNumberForma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164" fontId="0" fillId="21" borderId="25" xfId="0" applyNumberFormat="1" applyFill="1" applyBorder="1" applyAlignment="1">
      <alignment horizontal="center" vertical="center" wrapText="1"/>
    </xf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/>
    <xf numFmtId="0" fontId="11" fillId="0" borderId="0" xfId="0" applyFont="1"/>
    <xf numFmtId="0" fontId="11" fillId="0" borderId="4" xfId="0" applyFont="1" applyBorder="1"/>
    <xf numFmtId="0" fontId="11" fillId="0" borderId="0" xfId="0" applyFont="1" applyBorder="1"/>
    <xf numFmtId="0" fontId="11" fillId="3" borderId="4" xfId="0" applyFont="1" applyFill="1" applyBorder="1"/>
    <xf numFmtId="1" fontId="11" fillId="0" borderId="4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2" fontId="11" fillId="20" borderId="2" xfId="0" applyNumberFormat="1" applyFont="1" applyFill="1" applyBorder="1" applyAlignment="1">
      <alignment horizontal="center" vertical="center" wrapText="1"/>
    </xf>
    <xf numFmtId="0" fontId="11" fillId="0" borderId="2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22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C5E0B4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B4C7E7"/>
      <rgbColor rgb="FFD9D9D9"/>
      <rgbColor rgb="FFD0CECE"/>
      <rgbColor rgb="FFF8CBAD"/>
      <rgbColor rgb="FF3366FF"/>
      <rgbColor rgb="FF33CCCC"/>
      <rgbColor rgb="FF99CC00"/>
      <rgbColor rgb="FFFFC0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BFF"/>
      <color rgb="FFFF97BC"/>
      <color rgb="FFFF8F8F"/>
      <color rgb="FFDCCBB2"/>
      <color rgb="FFC0A072"/>
      <color rgb="FFCEB692"/>
      <color rgb="FFFFFF9B"/>
      <color rgb="FFFFBDDE"/>
      <color rgb="FFFFCCFF"/>
      <color rgb="FFFDD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3.2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704155730533684"/>
                  <c:y val="-0.193773330417031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'Sn+Al targets'!$L$5:$L$10</c:f>
              <c:numCache>
                <c:formatCode>0</c:formatCode>
                <c:ptCount val="6"/>
                <c:pt idx="0">
                  <c:v>317.5</c:v>
                </c:pt>
                <c:pt idx="1">
                  <c:v>346.5</c:v>
                </c:pt>
                <c:pt idx="2">
                  <c:v>376</c:v>
                </c:pt>
                <c:pt idx="3" formatCode="General">
                  <c:v>386.5</c:v>
                </c:pt>
                <c:pt idx="4">
                  <c:v>434</c:v>
                </c:pt>
                <c:pt idx="5">
                  <c:v>442</c:v>
                </c:pt>
              </c:numCache>
            </c:numRef>
          </c:xVal>
          <c:yVal>
            <c:numRef>
              <c:f>'Sn+Al targets'!$K$5:$K$10</c:f>
              <c:numCache>
                <c:formatCode>0</c:formatCode>
                <c:ptCount val="6"/>
                <c:pt idx="0">
                  <c:v>2304.8706081305609</c:v>
                </c:pt>
                <c:pt idx="1">
                  <c:v>2501.9455642234693</c:v>
                </c:pt>
                <c:pt idx="2">
                  <c:v>2765.8578393185967</c:v>
                </c:pt>
                <c:pt idx="3">
                  <c:v>2781.8531330246997</c:v>
                </c:pt>
                <c:pt idx="4">
                  <c:v>3093.350115626873</c:v>
                </c:pt>
                <c:pt idx="5">
                  <c:v>3136.1553016829826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54331072"/>
        <c:axId val="-1654321824"/>
      </c:scatterChart>
      <c:valAx>
        <c:axId val="-1654331072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654321824"/>
        <c:crosses val="autoZero"/>
        <c:crossBetween val="midCat"/>
      </c:valAx>
      <c:valAx>
        <c:axId val="-1654321824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65433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3.5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3.5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'Sn+Al targets'!$L$24:$L$29</c:f>
              <c:numCache>
                <c:formatCode>0</c:formatCode>
                <c:ptCount val="6"/>
                <c:pt idx="0">
                  <c:v>350</c:v>
                </c:pt>
                <c:pt idx="1">
                  <c:v>382</c:v>
                </c:pt>
                <c:pt idx="2">
                  <c:v>420</c:v>
                </c:pt>
                <c:pt idx="3" formatCode="General">
                  <c:v>426</c:v>
                </c:pt>
                <c:pt idx="4">
                  <c:v>477</c:v>
                </c:pt>
                <c:pt idx="5">
                  <c:v>486</c:v>
                </c:pt>
              </c:numCache>
            </c:numRef>
          </c:xVal>
          <c:yVal>
            <c:numRef>
              <c:f>'Sn+Al targets'!$K$24:$K$29</c:f>
              <c:numCache>
                <c:formatCode>0</c:formatCode>
                <c:ptCount val="6"/>
                <c:pt idx="0">
                  <c:v>2520.9522276428006</c:v>
                </c:pt>
                <c:pt idx="1">
                  <c:v>2736.5029608694194</c:v>
                </c:pt>
                <c:pt idx="2">
                  <c:v>3025.1570117547149</c:v>
                </c:pt>
                <c:pt idx="3">
                  <c:v>3042.6518642457654</c:v>
                </c:pt>
                <c:pt idx="4">
                  <c:v>3383.3516889668922</c:v>
                </c:pt>
                <c:pt idx="5">
                  <c:v>3430.1698612157625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54323456"/>
        <c:axId val="-1654325632"/>
      </c:scatterChart>
      <c:valAx>
        <c:axId val="-1654323456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654325632"/>
        <c:crosses val="autoZero"/>
        <c:crossBetween val="midCat"/>
      </c:valAx>
      <c:valAx>
        <c:axId val="-1654325632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65432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3.9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3.9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'Sn+Al targets'!$L$43:$L$48</c:f>
              <c:numCache>
                <c:formatCode>0</c:formatCode>
                <c:ptCount val="6"/>
                <c:pt idx="0">
                  <c:v>300</c:v>
                </c:pt>
                <c:pt idx="1">
                  <c:v>328</c:v>
                </c:pt>
                <c:pt idx="2">
                  <c:v>356.5</c:v>
                </c:pt>
                <c:pt idx="3" formatCode="General">
                  <c:v>366</c:v>
                </c:pt>
                <c:pt idx="4">
                  <c:v>410</c:v>
                </c:pt>
                <c:pt idx="5">
                  <c:v>418</c:v>
                </c:pt>
              </c:numCache>
            </c:numRef>
          </c:xVal>
          <c:yVal>
            <c:numRef>
              <c:f>'Sn+Al targets'!$K$43:$K$48</c:f>
              <c:numCache>
                <c:formatCode>0</c:formatCode>
                <c:ptCount val="6"/>
                <c:pt idx="0">
                  <c:v>2809.0610536591207</c:v>
                </c:pt>
                <c:pt idx="1">
                  <c:v>3049.2461563973534</c:v>
                </c:pt>
                <c:pt idx="2">
                  <c:v>3370.8892416695394</c:v>
                </c:pt>
                <c:pt idx="3">
                  <c:v>3390.3835058738528</c:v>
                </c:pt>
                <c:pt idx="4">
                  <c:v>3770.0204534202512</c:v>
                </c:pt>
                <c:pt idx="5">
                  <c:v>3822.1892739261352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54330528"/>
        <c:axId val="-1654327264"/>
      </c:scatterChart>
      <c:valAx>
        <c:axId val="-1654330528"/>
        <c:scaling>
          <c:orientation val="minMax"/>
          <c:min val="2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654327264"/>
        <c:crosses val="autoZero"/>
        <c:crossBetween val="midCat"/>
      </c:valAx>
      <c:valAx>
        <c:axId val="-1654327264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65433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4.3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4.3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'Sn+Al targets'!$L$62:$L$67</c:f>
              <c:numCache>
                <c:formatCode>0</c:formatCode>
                <c:ptCount val="6"/>
                <c:pt idx="0">
                  <c:v>334</c:v>
                </c:pt>
                <c:pt idx="1">
                  <c:v>364</c:v>
                </c:pt>
                <c:pt idx="2">
                  <c:v>397</c:v>
                </c:pt>
                <c:pt idx="3" formatCode="General">
                  <c:v>406</c:v>
                </c:pt>
                <c:pt idx="4">
                  <c:v>454.5</c:v>
                </c:pt>
                <c:pt idx="5">
                  <c:v>462</c:v>
                </c:pt>
              </c:numCache>
            </c:numRef>
          </c:xVal>
          <c:yVal>
            <c:numRef>
              <c:f>'Sn+Al targets'!$K$62:$K$67</c:f>
              <c:numCache>
                <c:formatCode>0</c:formatCode>
                <c:ptCount val="6"/>
                <c:pt idx="0">
                  <c:v>3097.1698796754408</c:v>
                </c:pt>
                <c:pt idx="1">
                  <c:v>3361.9893519252869</c:v>
                </c:pt>
                <c:pt idx="2">
                  <c:v>3716.6214715843644</c:v>
                </c:pt>
                <c:pt idx="3">
                  <c:v>3738.1151475019406</c:v>
                </c:pt>
                <c:pt idx="4">
                  <c:v>4156.6892178736107</c:v>
                </c:pt>
                <c:pt idx="5">
                  <c:v>4214.208686636508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54328352"/>
        <c:axId val="-1654327808"/>
      </c:scatterChart>
      <c:valAx>
        <c:axId val="-1654328352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654327808"/>
        <c:crosses val="autoZero"/>
        <c:crossBetween val="midCat"/>
      </c:valAx>
      <c:valAx>
        <c:axId val="-1654327808"/>
        <c:scaling>
          <c:orientation val="minMax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65432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4.7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4.7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203905320490975"/>
                  <c:y val="-0.243070867877932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'Sn+Al targets'!$L$81:$L$85</c:f>
              <c:numCache>
                <c:formatCode>0</c:formatCode>
                <c:ptCount val="5"/>
                <c:pt idx="0">
                  <c:v>317.5</c:v>
                </c:pt>
                <c:pt idx="1">
                  <c:v>346.5</c:v>
                </c:pt>
                <c:pt idx="2">
                  <c:v>378</c:v>
                </c:pt>
                <c:pt idx="3">
                  <c:v>434</c:v>
                </c:pt>
              </c:numCache>
            </c:numRef>
          </c:xVal>
          <c:yVal>
            <c:numRef>
              <c:f>'Sn+Al targets'!$K$81:$K$85</c:f>
              <c:numCache>
                <c:formatCode>0</c:formatCode>
                <c:ptCount val="5"/>
                <c:pt idx="0">
                  <c:v>3385.2787056917609</c:v>
                </c:pt>
                <c:pt idx="1">
                  <c:v>3674.7325474532204</c:v>
                </c:pt>
                <c:pt idx="2">
                  <c:v>4062.3537014991889</c:v>
                </c:pt>
                <c:pt idx="3">
                  <c:v>4543.3579823269692</c:v>
                </c:pt>
                <c:pt idx="4">
                  <c:v>4606.2280993468812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54326176"/>
        <c:axId val="-1654325088"/>
      </c:scatterChart>
      <c:valAx>
        <c:axId val="-1654326176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654325088"/>
        <c:crosses val="autoZero"/>
        <c:crossBetween val="midCat"/>
      </c:valAx>
      <c:valAx>
        <c:axId val="-1654325088"/>
        <c:scaling>
          <c:orientation val="minMax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65432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5.0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5.0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11547360680142"/>
                  <c:y val="-0.229247890163305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'Sn+Al targets'!$L$100:$L$105</c:f>
              <c:numCache>
                <c:formatCode>0</c:formatCode>
                <c:ptCount val="6"/>
                <c:pt idx="0">
                  <c:v>339</c:v>
                </c:pt>
                <c:pt idx="1">
                  <c:v>370.5</c:v>
                </c:pt>
                <c:pt idx="2">
                  <c:v>405</c:v>
                </c:pt>
                <c:pt idx="3" formatCode="General">
                  <c:v>413.5</c:v>
                </c:pt>
                <c:pt idx="4">
                  <c:v>463.5</c:v>
                </c:pt>
                <c:pt idx="5">
                  <c:v>472</c:v>
                </c:pt>
              </c:numCache>
            </c:numRef>
          </c:xVal>
          <c:yVal>
            <c:numRef>
              <c:f>'Sn+Al targets'!$K$100:$K$105</c:f>
              <c:numCache>
                <c:formatCode>0</c:formatCode>
                <c:ptCount val="6"/>
                <c:pt idx="0">
                  <c:v>3601.3603252040011</c:v>
                </c:pt>
                <c:pt idx="1">
                  <c:v>3909.289944099171</c:v>
                </c:pt>
                <c:pt idx="2">
                  <c:v>4321.6528739353071</c:v>
                </c:pt>
                <c:pt idx="3">
                  <c:v>4346.6455203510932</c:v>
                </c:pt>
                <c:pt idx="4">
                  <c:v>4833.3595556669889</c:v>
                </c:pt>
                <c:pt idx="5">
                  <c:v>4900.2426588796607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54322912"/>
        <c:axId val="-1654319104"/>
      </c:scatterChart>
      <c:valAx>
        <c:axId val="-1654322912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654319104"/>
        <c:crosses val="autoZero"/>
        <c:crossBetween val="midCat"/>
      </c:valAx>
      <c:valAx>
        <c:axId val="-1654319104"/>
        <c:scaling>
          <c:orientation val="minMax"/>
          <c:min val="3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65432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10</xdr:row>
      <xdr:rowOff>119062</xdr:rowOff>
    </xdr:from>
    <xdr:to>
      <xdr:col>11</xdr:col>
      <xdr:colOff>390525</xdr:colOff>
      <xdr:row>19</xdr:row>
      <xdr:rowOff>9525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29</xdr:row>
      <xdr:rowOff>119062</xdr:rowOff>
    </xdr:from>
    <xdr:to>
      <xdr:col>11</xdr:col>
      <xdr:colOff>390525</xdr:colOff>
      <xdr:row>38</xdr:row>
      <xdr:rowOff>9525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</xdr:colOff>
      <xdr:row>48</xdr:row>
      <xdr:rowOff>119062</xdr:rowOff>
    </xdr:from>
    <xdr:to>
      <xdr:col>11</xdr:col>
      <xdr:colOff>390525</xdr:colOff>
      <xdr:row>57</xdr:row>
      <xdr:rowOff>9525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9525</xdr:colOff>
      <xdr:row>67</xdr:row>
      <xdr:rowOff>119062</xdr:rowOff>
    </xdr:from>
    <xdr:to>
      <xdr:col>11</xdr:col>
      <xdr:colOff>390525</xdr:colOff>
      <xdr:row>76</xdr:row>
      <xdr:rowOff>9525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9525</xdr:colOff>
      <xdr:row>86</xdr:row>
      <xdr:rowOff>119062</xdr:rowOff>
    </xdr:from>
    <xdr:to>
      <xdr:col>11</xdr:col>
      <xdr:colOff>390525</xdr:colOff>
      <xdr:row>95</xdr:row>
      <xdr:rowOff>9525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9525</xdr:colOff>
      <xdr:row>105</xdr:row>
      <xdr:rowOff>119062</xdr:rowOff>
    </xdr:from>
    <xdr:to>
      <xdr:col>11</xdr:col>
      <xdr:colOff>390525</xdr:colOff>
      <xdr:row>114</xdr:row>
      <xdr:rowOff>9525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5"/>
  <sheetViews>
    <sheetView tabSelected="1" topLeftCell="A7" zoomScaleNormal="100" workbookViewId="0">
      <selection activeCell="U29" sqref="U29"/>
    </sheetView>
  </sheetViews>
  <sheetFormatPr defaultColWidth="8.54296875" defaultRowHeight="14.5" x14ac:dyDescent="0.35"/>
  <cols>
    <col min="1" max="1" width="15.54296875" bestFit="1" customWidth="1"/>
    <col min="4" max="4" width="9.453125" customWidth="1"/>
    <col min="5" max="5" width="8.54296875" bestFit="1" customWidth="1"/>
    <col min="6" max="6" width="7.453125" bestFit="1" customWidth="1"/>
    <col min="7" max="7" width="8.453125" bestFit="1" customWidth="1"/>
    <col min="8" max="8" width="3" bestFit="1" customWidth="1"/>
    <col min="9" max="9" width="7" bestFit="1" customWidth="1"/>
    <col min="10" max="10" width="9.81640625" bestFit="1" customWidth="1"/>
    <col min="11" max="11" width="12.7265625" bestFit="1" customWidth="1"/>
    <col min="12" max="12" width="8" bestFit="1" customWidth="1"/>
    <col min="13" max="13" width="7.81640625" bestFit="1" customWidth="1"/>
    <col min="14" max="14" width="7.7265625" bestFit="1" customWidth="1"/>
    <col min="15" max="15" width="10.54296875" bestFit="1" customWidth="1"/>
    <col min="16" max="16" width="8.26953125" customWidth="1"/>
    <col min="17" max="17" width="11.81640625" bestFit="1" customWidth="1"/>
    <col min="18" max="18" width="2.453125" bestFit="1" customWidth="1"/>
    <col min="19" max="19" width="4.26953125" style="122" bestFit="1" customWidth="1"/>
    <col min="20" max="20" width="8.1796875" customWidth="1"/>
    <col min="22" max="22" width="2.453125" bestFit="1" customWidth="1"/>
    <col min="23" max="23" width="4.26953125" style="117" bestFit="1" customWidth="1"/>
    <col min="24" max="24" width="7.26953125" bestFit="1" customWidth="1"/>
    <col min="25" max="25" width="9.1796875" bestFit="1" customWidth="1"/>
    <col min="26" max="26" width="12" customWidth="1"/>
    <col min="27" max="27" width="8.1796875" customWidth="1"/>
    <col min="28" max="28" width="11.7265625" customWidth="1"/>
    <col min="29" max="29" width="2.453125" bestFit="1" customWidth="1"/>
    <col min="30" max="30" width="5.26953125" bestFit="1" customWidth="1"/>
    <col min="31" max="31" width="7.36328125" bestFit="1" customWidth="1"/>
    <col min="32" max="32" width="8.54296875" bestFit="1" customWidth="1"/>
    <col min="33" max="33" width="5.26953125" bestFit="1" customWidth="1"/>
    <col min="34" max="35" width="7.453125" bestFit="1" customWidth="1"/>
    <col min="37" max="37" width="9.81640625" customWidth="1"/>
    <col min="38" max="39" width="7.453125" bestFit="1" customWidth="1"/>
    <col min="40" max="40" width="7.26953125" bestFit="1" customWidth="1"/>
    <col min="41" max="41" width="8.1796875" customWidth="1"/>
    <col min="42" max="42" width="6.453125" customWidth="1"/>
    <col min="43" max="44" width="8.453125" customWidth="1"/>
    <col min="45" max="45" width="7.81640625" bestFit="1" customWidth="1"/>
    <col min="46" max="46" width="6.1796875" bestFit="1" customWidth="1"/>
  </cols>
  <sheetData>
    <row r="1" spans="1:32" ht="29.5" thickBot="1" x14ac:dyDescent="0.4">
      <c r="A1" s="57" t="s">
        <v>15</v>
      </c>
      <c r="B1" s="31">
        <v>7.31</v>
      </c>
      <c r="C1" s="32" t="s">
        <v>0</v>
      </c>
      <c r="D1" s="58" t="s">
        <v>22</v>
      </c>
      <c r="E1" s="14">
        <v>2.6989999999999998</v>
      </c>
      <c r="F1" s="15" t="s">
        <v>0</v>
      </c>
    </row>
    <row r="2" spans="1:32" ht="15" thickBot="1" x14ac:dyDescent="0.4"/>
    <row r="3" spans="1:32" ht="15" thickBot="1" x14ac:dyDescent="0.4"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123"/>
      <c r="T3" s="69"/>
      <c r="U3" s="69"/>
      <c r="V3" s="69"/>
      <c r="W3" s="118"/>
      <c r="X3" s="69"/>
      <c r="Y3" s="69"/>
      <c r="Z3" s="69"/>
      <c r="AA3" s="69"/>
      <c r="AB3" s="69"/>
      <c r="AC3" s="69"/>
      <c r="AD3" s="69"/>
      <c r="AE3" s="69"/>
      <c r="AF3" s="34"/>
    </row>
    <row r="4" spans="1:32" ht="29.5" thickBot="1" x14ac:dyDescent="0.4">
      <c r="B4" s="33"/>
      <c r="C4" s="65" t="s">
        <v>28</v>
      </c>
      <c r="D4" s="66">
        <v>3.2</v>
      </c>
      <c r="E4" s="67" t="s">
        <v>29</v>
      </c>
      <c r="F4" s="34"/>
      <c r="G4" s="30" t="s">
        <v>1</v>
      </c>
      <c r="H4" s="25" t="s">
        <v>2</v>
      </c>
      <c r="I4" s="25" t="s">
        <v>3</v>
      </c>
      <c r="J4" s="25" t="s">
        <v>4</v>
      </c>
      <c r="K4" s="25" t="s">
        <v>5</v>
      </c>
      <c r="L4" s="26" t="s">
        <v>6</v>
      </c>
      <c r="M4" s="34"/>
      <c r="N4" s="34"/>
      <c r="O4" s="34"/>
      <c r="P4" s="34"/>
      <c r="Q4" s="34"/>
      <c r="R4" s="34"/>
      <c r="S4" s="124"/>
      <c r="T4" s="34"/>
      <c r="U4" s="34"/>
      <c r="V4" s="34"/>
      <c r="W4" s="119"/>
      <c r="X4" s="34"/>
      <c r="Y4" s="34"/>
      <c r="Z4" s="34"/>
      <c r="AA4" s="34"/>
      <c r="AB4" s="34"/>
      <c r="AC4" s="34"/>
      <c r="AD4" s="34"/>
      <c r="AE4" s="34"/>
      <c r="AF4" s="34"/>
    </row>
    <row r="5" spans="1:32" x14ac:dyDescent="0.35">
      <c r="B5" s="33"/>
      <c r="C5" s="34"/>
      <c r="D5" s="34"/>
      <c r="E5" s="34"/>
      <c r="F5" s="34"/>
      <c r="G5" s="53" t="s">
        <v>23</v>
      </c>
      <c r="H5" s="54">
        <v>6</v>
      </c>
      <c r="I5" s="54">
        <v>12.010999999999999</v>
      </c>
      <c r="J5" s="55">
        <f>((SQRT(1-(1/I5)^2*SIN(RADIANS(165))^2)+1/I5*COS(RADIANS(165)))/(1+1/I5))^2</f>
        <v>0.72027206504080021</v>
      </c>
      <c r="K5" s="59">
        <f t="shared" ref="K5:K10" si="0">$D$4*1000*J5</f>
        <v>2304.8706081305609</v>
      </c>
      <c r="L5" s="56">
        <v>317.5</v>
      </c>
      <c r="M5" s="34"/>
      <c r="N5" s="34"/>
      <c r="O5" s="34"/>
      <c r="P5" s="34"/>
      <c r="Q5" s="34"/>
      <c r="R5" s="34"/>
      <c r="S5" s="124"/>
      <c r="T5" s="34"/>
      <c r="U5" s="34"/>
      <c r="V5" s="34"/>
      <c r="W5" s="119"/>
      <c r="X5" s="34"/>
      <c r="Y5" s="34"/>
      <c r="Z5" s="34"/>
      <c r="AA5" s="34"/>
      <c r="AB5" s="34"/>
      <c r="AC5" s="34"/>
      <c r="AD5" s="34"/>
      <c r="AE5" s="34"/>
      <c r="AF5" s="34"/>
    </row>
    <row r="6" spans="1:32" x14ac:dyDescent="0.35">
      <c r="B6" s="33"/>
      <c r="C6" s="34"/>
      <c r="D6" s="34"/>
      <c r="E6" s="34"/>
      <c r="F6" s="34"/>
      <c r="G6" s="48" t="s">
        <v>7</v>
      </c>
      <c r="H6" s="49">
        <v>8</v>
      </c>
      <c r="I6" s="50">
        <v>15.999000000000001</v>
      </c>
      <c r="J6" s="51">
        <f t="shared" ref="J6:J8" si="1">((SQRT(1-(1/I6)^2*SIN(RADIANS(165))^2)+1/I6*COS(RADIANS(165)))/(1+1/I6))^2</f>
        <v>0.78185798881983415</v>
      </c>
      <c r="K6" s="60">
        <f t="shared" si="0"/>
        <v>2501.9455642234693</v>
      </c>
      <c r="L6" s="52">
        <v>346.5</v>
      </c>
      <c r="M6" s="34"/>
      <c r="N6" s="34"/>
      <c r="O6" s="34"/>
      <c r="P6" s="34"/>
      <c r="Q6" s="34"/>
      <c r="R6" s="34"/>
      <c r="S6" s="124"/>
      <c r="T6" s="34"/>
      <c r="U6" s="34"/>
      <c r="V6" s="34"/>
      <c r="W6" s="119"/>
      <c r="X6" s="34"/>
      <c r="Y6" s="34"/>
      <c r="Z6" s="34"/>
      <c r="AA6" s="34"/>
      <c r="AB6" s="34"/>
      <c r="AC6" s="34"/>
      <c r="AD6" s="34"/>
      <c r="AE6" s="34"/>
      <c r="AF6" s="34"/>
    </row>
    <row r="7" spans="1:32" x14ac:dyDescent="0.35">
      <c r="B7" s="33"/>
      <c r="C7" s="34"/>
      <c r="D7" s="34">
        <f t="array" ref="D7:E10">LINEST(K5:K10,L5:L10,TRUE,TRUE)</f>
        <v>6.6688434468726774</v>
      </c>
      <c r="E7" s="34">
        <v>204.83675426380705</v>
      </c>
      <c r="F7" s="34"/>
      <c r="G7" s="28" t="s">
        <v>19</v>
      </c>
      <c r="H7" s="27">
        <v>13</v>
      </c>
      <c r="I7" s="27">
        <v>26.98</v>
      </c>
      <c r="J7" s="47">
        <f t="shared" si="1"/>
        <v>0.86433057478706143</v>
      </c>
      <c r="K7" s="61">
        <f t="shared" si="0"/>
        <v>2765.8578393185967</v>
      </c>
      <c r="L7" s="29">
        <v>376</v>
      </c>
      <c r="M7" s="34"/>
      <c r="N7" s="34"/>
      <c r="O7" s="34"/>
      <c r="P7" s="34"/>
      <c r="Q7" s="34"/>
      <c r="R7" s="34"/>
      <c r="S7" s="124"/>
      <c r="T7" s="34"/>
      <c r="U7" s="34"/>
      <c r="V7" s="34"/>
      <c r="W7" s="119"/>
      <c r="X7" s="34"/>
      <c r="Y7" s="34"/>
      <c r="Z7" s="34"/>
      <c r="AA7" s="34"/>
      <c r="AB7" s="34"/>
      <c r="AC7" s="34"/>
      <c r="AD7" s="34"/>
      <c r="AE7" s="34"/>
      <c r="AF7" s="34"/>
    </row>
    <row r="8" spans="1:32" ht="15.75" customHeight="1" x14ac:dyDescent="0.35">
      <c r="B8" s="33"/>
      <c r="C8" s="34"/>
      <c r="D8" s="34">
        <v>0.27860101229417383</v>
      </c>
      <c r="E8" s="34">
        <v>107.62240569785541</v>
      </c>
      <c r="F8" s="34"/>
      <c r="G8" s="35" t="s">
        <v>26</v>
      </c>
      <c r="H8" s="36">
        <v>14</v>
      </c>
      <c r="I8" s="36">
        <v>28.09</v>
      </c>
      <c r="J8" s="45">
        <f t="shared" si="1"/>
        <v>0.86932910407021868</v>
      </c>
      <c r="K8" s="62">
        <f t="shared" si="0"/>
        <v>2781.8531330246997</v>
      </c>
      <c r="L8" s="37">
        <v>386.5</v>
      </c>
      <c r="M8" s="34"/>
      <c r="N8" s="34"/>
      <c r="O8" s="34"/>
      <c r="P8" s="34"/>
      <c r="Q8" s="34"/>
      <c r="R8" s="34"/>
      <c r="S8" s="124"/>
      <c r="T8" s="34"/>
      <c r="U8" s="34"/>
      <c r="V8" s="34"/>
      <c r="W8" s="119"/>
      <c r="X8" s="34"/>
      <c r="Y8" s="34"/>
      <c r="Z8" s="34"/>
      <c r="AA8" s="34"/>
      <c r="AB8" s="34"/>
      <c r="AC8" s="34"/>
      <c r="AD8" s="34"/>
      <c r="AE8" s="34"/>
      <c r="AF8" s="34"/>
    </row>
    <row r="9" spans="1:32" x14ac:dyDescent="0.35">
      <c r="B9" s="33"/>
      <c r="C9" s="34"/>
      <c r="D9" s="34">
        <v>0.99306729047127862</v>
      </c>
      <c r="E9" s="34">
        <v>30.215528902178129</v>
      </c>
      <c r="F9" s="34"/>
      <c r="G9" s="40" t="s">
        <v>16</v>
      </c>
      <c r="H9" s="38">
        <v>50</v>
      </c>
      <c r="I9" s="38">
        <v>116</v>
      </c>
      <c r="J9" s="39">
        <f>((SQRT(1-(1/I9)^2*SIN(RADIANS(165))^2)+1/I9*COS(RADIANS(165)))/(1+1/I9))^2</f>
        <v>0.96667191113339779</v>
      </c>
      <c r="K9" s="63">
        <f t="shared" si="0"/>
        <v>3093.350115626873</v>
      </c>
      <c r="L9" s="43">
        <v>434</v>
      </c>
      <c r="M9" s="34"/>
      <c r="N9" s="34"/>
      <c r="O9" s="34"/>
      <c r="P9" s="34"/>
      <c r="Q9" s="34"/>
      <c r="R9" s="34"/>
      <c r="S9" s="124"/>
      <c r="T9" s="34"/>
      <c r="U9" s="34"/>
      <c r="V9" s="34"/>
      <c r="W9" s="119"/>
      <c r="X9" s="34"/>
      <c r="Y9" s="34"/>
      <c r="Z9" s="34"/>
      <c r="AA9" s="34"/>
      <c r="AB9" s="34"/>
      <c r="AC9" s="34"/>
      <c r="AD9" s="34"/>
      <c r="AE9" s="34"/>
      <c r="AF9" s="34"/>
    </row>
    <row r="10" spans="1:32" ht="15" thickBot="1" x14ac:dyDescent="0.4">
      <c r="B10" s="33"/>
      <c r="C10" s="34"/>
      <c r="D10" s="34">
        <v>572.9749884123155</v>
      </c>
      <c r="E10" s="34">
        <v>4</v>
      </c>
      <c r="F10" s="34"/>
      <c r="G10" s="41" t="s">
        <v>27</v>
      </c>
      <c r="H10" s="42">
        <v>78</v>
      </c>
      <c r="I10" s="42">
        <v>195.1</v>
      </c>
      <c r="J10" s="46">
        <f>((SQRT(1-(1/I10)^2*SIN(RADIANS(165))^2)+1/I10*COS(RADIANS(165)))/(1+1/I10))^2</f>
        <v>0.9800485317759321</v>
      </c>
      <c r="K10" s="64">
        <f t="shared" si="0"/>
        <v>3136.1553016829826</v>
      </c>
      <c r="L10" s="44">
        <v>442</v>
      </c>
      <c r="M10" s="34"/>
      <c r="N10" s="34"/>
      <c r="O10" s="34"/>
      <c r="P10" s="34"/>
      <c r="Q10" s="34"/>
      <c r="R10" s="34"/>
      <c r="S10" s="124"/>
      <c r="T10" s="34"/>
      <c r="U10" s="34"/>
      <c r="V10" s="34"/>
      <c r="W10" s="119"/>
      <c r="X10" s="34"/>
      <c r="Y10" s="34"/>
      <c r="Z10" s="34"/>
      <c r="AA10" s="34"/>
      <c r="AB10" s="34"/>
      <c r="AC10" s="34"/>
      <c r="AD10" s="34"/>
      <c r="AE10" s="34"/>
      <c r="AF10" s="34"/>
    </row>
    <row r="11" spans="1:32" ht="32.25" customHeight="1" thickBot="1" x14ac:dyDescent="0.4">
      <c r="B11" s="33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2" t="s">
        <v>9</v>
      </c>
      <c r="N11" s="3" t="s">
        <v>10</v>
      </c>
      <c r="O11" s="2" t="s">
        <v>11</v>
      </c>
      <c r="P11" s="3" t="s">
        <v>12</v>
      </c>
      <c r="Q11" s="4" t="s">
        <v>13</v>
      </c>
      <c r="R11" s="34"/>
      <c r="S11" s="124"/>
      <c r="T11" s="34"/>
      <c r="U11" s="34"/>
      <c r="V11" s="34"/>
      <c r="W11" s="119"/>
      <c r="X11" s="8" t="s">
        <v>24</v>
      </c>
      <c r="Y11" s="9" t="s">
        <v>10</v>
      </c>
      <c r="Z11" s="8" t="s">
        <v>25</v>
      </c>
      <c r="AA11" s="9" t="s">
        <v>12</v>
      </c>
      <c r="AB11" s="10" t="s">
        <v>13</v>
      </c>
      <c r="AC11" s="34"/>
      <c r="AD11" s="34"/>
      <c r="AE11" s="34"/>
      <c r="AF11" s="34"/>
    </row>
    <row r="12" spans="1:32" x14ac:dyDescent="0.35"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5">
        <v>46.15</v>
      </c>
      <c r="N12" s="13">
        <f>M12*$B$1/10</f>
        <v>33.73565</v>
      </c>
      <c r="O12" s="17">
        <v>47.1</v>
      </c>
      <c r="P12" s="5">
        <f>O12*$B$1/10</f>
        <v>34.430099999999996</v>
      </c>
      <c r="Q12" s="16">
        <f>(($J$9/COS(RADIANS(0))*$N$12)+(1/COS(RADIANS(180-165))*$P$12))</f>
        <v>68.255967677964605</v>
      </c>
      <c r="R12" s="34"/>
      <c r="S12" s="124"/>
      <c r="T12" s="34"/>
      <c r="U12" s="34"/>
      <c r="V12" s="34"/>
      <c r="W12" s="119"/>
      <c r="X12" s="23">
        <v>80.72</v>
      </c>
      <c r="Y12" s="13">
        <f>X12*$E$1/10</f>
        <v>21.786327999999997</v>
      </c>
      <c r="Z12" s="23">
        <v>87.39</v>
      </c>
      <c r="AA12" s="5">
        <f>Z12*$E$1/10</f>
        <v>23.586560999999996</v>
      </c>
      <c r="AB12" s="12">
        <f>(($J$7/COS(RADIANS(0))*Y12)+(1/COS(RADIANS(180-165))*AA12))</f>
        <v>43.249194183828877</v>
      </c>
      <c r="AC12" s="34"/>
      <c r="AD12" s="34"/>
      <c r="AE12" s="34"/>
      <c r="AF12" s="34"/>
    </row>
    <row r="13" spans="1:32" ht="17.25" customHeight="1" x14ac:dyDescent="0.35"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124"/>
      <c r="T13" s="34"/>
      <c r="U13" s="34"/>
      <c r="V13" s="34"/>
      <c r="W13" s="119"/>
      <c r="X13" s="34"/>
      <c r="Y13" s="34"/>
      <c r="Z13" s="34"/>
      <c r="AA13" s="34"/>
      <c r="AB13" s="34"/>
      <c r="AC13" s="34"/>
      <c r="AD13" s="34"/>
      <c r="AE13" s="34"/>
      <c r="AF13" s="34"/>
    </row>
    <row r="14" spans="1:32" ht="15" thickBot="1" x14ac:dyDescent="0.4"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124"/>
      <c r="T14" s="34"/>
      <c r="U14" s="34"/>
      <c r="V14" s="34"/>
      <c r="W14" s="119"/>
      <c r="X14" s="34"/>
      <c r="Y14" s="34"/>
      <c r="Z14" s="34"/>
      <c r="AA14" s="34"/>
      <c r="AB14" s="34"/>
      <c r="AC14" s="34"/>
      <c r="AD14" s="34"/>
      <c r="AE14" s="34"/>
      <c r="AF14" s="34"/>
    </row>
    <row r="15" spans="1:32" ht="44" thickBot="1" x14ac:dyDescent="0.4"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11" t="s">
        <v>30</v>
      </c>
      <c r="N15" s="76" t="s">
        <v>17</v>
      </c>
      <c r="O15" s="77" t="s">
        <v>18</v>
      </c>
      <c r="P15" s="78" t="s">
        <v>8</v>
      </c>
      <c r="Q15" s="79" t="s">
        <v>14</v>
      </c>
      <c r="R15" s="92"/>
      <c r="S15" s="125"/>
      <c r="T15" s="93" t="s">
        <v>39</v>
      </c>
      <c r="U15" s="94" t="s">
        <v>37</v>
      </c>
      <c r="V15" s="34"/>
      <c r="W15" s="119"/>
      <c r="X15" s="6"/>
      <c r="Y15" s="7" t="s">
        <v>20</v>
      </c>
      <c r="Z15" s="8" t="s">
        <v>21</v>
      </c>
      <c r="AA15" s="9" t="s">
        <v>8</v>
      </c>
      <c r="AB15" s="96" t="s">
        <v>14</v>
      </c>
      <c r="AC15" s="97"/>
      <c r="AD15" s="97"/>
      <c r="AE15" s="101" t="s">
        <v>39</v>
      </c>
      <c r="AF15" s="34"/>
    </row>
    <row r="16" spans="1:32" ht="15" thickBot="1" x14ac:dyDescent="0.4"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24"/>
      <c r="N16" s="80">
        <v>434</v>
      </c>
      <c r="O16" s="81">
        <v>420</v>
      </c>
      <c r="P16" s="82">
        <f>(N16-O16)*D7</f>
        <v>93.363808256217482</v>
      </c>
      <c r="Q16" s="83">
        <f>P16*10^3/Q12</f>
        <v>1367.8482839290045</v>
      </c>
      <c r="R16" s="86" t="s">
        <v>40</v>
      </c>
      <c r="S16" s="126">
        <f>Q16/D7*D8</f>
        <v>57.143929019083018</v>
      </c>
      <c r="T16" s="115">
        <v>1383</v>
      </c>
      <c r="U16" s="111">
        <v>1339</v>
      </c>
      <c r="V16" s="86" t="s">
        <v>40</v>
      </c>
      <c r="W16" s="130">
        <v>37</v>
      </c>
      <c r="X16" s="21"/>
      <c r="Y16" s="18">
        <v>376</v>
      </c>
      <c r="Z16" s="19">
        <v>368</v>
      </c>
      <c r="AA16" s="95">
        <f>(Y16-Z16)*D7</f>
        <v>53.350747574981419</v>
      </c>
      <c r="AB16" s="98">
        <f>AA16*10^3/AB12</f>
        <v>1233.5662798297772</v>
      </c>
      <c r="AC16" s="86" t="s">
        <v>40</v>
      </c>
      <c r="AD16" s="87">
        <f>AB16/D7*D8</f>
        <v>51.534095384065097</v>
      </c>
      <c r="AE16" s="89">
        <v>3.32</v>
      </c>
      <c r="AF16" s="34"/>
    </row>
    <row r="17" spans="2:32" ht="15" thickBot="1" x14ac:dyDescent="0.4"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90"/>
      <c r="R17" s="88"/>
      <c r="S17" s="127"/>
      <c r="T17" s="115"/>
      <c r="U17" s="111"/>
      <c r="V17" s="107"/>
      <c r="W17" s="131"/>
      <c r="X17" s="71"/>
      <c r="Y17" s="34"/>
      <c r="Z17" s="34"/>
      <c r="AB17" s="90"/>
      <c r="AC17" s="88"/>
      <c r="AD17" s="88"/>
      <c r="AE17" s="89"/>
      <c r="AF17" s="34"/>
    </row>
    <row r="18" spans="2:32" ht="15" thickBot="1" x14ac:dyDescent="0.4"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103">
        <f>Q16*$B$1*10^(-7)*10^3</f>
        <v>0.99989709555210227</v>
      </c>
      <c r="R18" s="104" t="s">
        <v>40</v>
      </c>
      <c r="S18" s="128">
        <f>S16*$B$1*10^(-7)*10^3</f>
        <v>4.177221211294968E-2</v>
      </c>
      <c r="T18" s="116">
        <f>T16*$B$1*10^(-7)*10^3</f>
        <v>1.0109729999999999</v>
      </c>
      <c r="U18" s="112">
        <f>U16*$B$1*10^(-7)*10^3</f>
        <v>0.97880899999999993</v>
      </c>
      <c r="V18" s="109" t="s">
        <v>40</v>
      </c>
      <c r="W18" s="132">
        <f>W16*$B$1*10^(-7)*10^3</f>
        <v>2.7046999999999998E-2</v>
      </c>
      <c r="X18" s="105" t="s">
        <v>36</v>
      </c>
      <c r="Y18" s="34"/>
      <c r="Z18" s="34"/>
      <c r="AB18" s="99">
        <f>AB16*$E$1/10</f>
        <v>332.9395389260568</v>
      </c>
      <c r="AC18" s="91" t="s">
        <v>40</v>
      </c>
      <c r="AD18" s="102">
        <f>AD16*$E$1*10^(-7)*10^6</f>
        <v>13.90905234415917</v>
      </c>
      <c r="AE18" s="100">
        <f>AE16*$E$1/10</f>
        <v>0.89606799999999986</v>
      </c>
      <c r="AF18" s="85" t="s">
        <v>38</v>
      </c>
    </row>
    <row r="19" spans="2:32" x14ac:dyDescent="0.35"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124"/>
      <c r="T19" s="34"/>
      <c r="U19" s="106"/>
      <c r="V19" s="106"/>
      <c r="W19" s="130"/>
      <c r="X19" s="34"/>
      <c r="Y19" s="34"/>
      <c r="Z19" s="34"/>
      <c r="AA19" s="34"/>
      <c r="AB19" s="34"/>
      <c r="AC19" s="34"/>
      <c r="AD19" s="34"/>
      <c r="AE19" s="34"/>
      <c r="AF19" s="34"/>
    </row>
    <row r="20" spans="2:32" ht="15" thickBot="1" x14ac:dyDescent="0.4">
      <c r="B20" s="70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129"/>
      <c r="T20" s="71"/>
      <c r="U20" s="108"/>
      <c r="V20" s="108"/>
      <c r="W20" s="131"/>
      <c r="X20" s="71"/>
      <c r="Y20" s="71"/>
      <c r="Z20" s="71"/>
      <c r="AA20" s="71"/>
      <c r="AB20" s="71"/>
      <c r="AC20" s="71"/>
      <c r="AD20" s="71"/>
      <c r="AE20" s="71"/>
      <c r="AF20" s="34"/>
    </row>
    <row r="21" spans="2:32" ht="15" thickBot="1" x14ac:dyDescent="0.4">
      <c r="U21" s="110"/>
      <c r="V21" s="110"/>
      <c r="W21" s="133"/>
      <c r="AD21" s="34"/>
      <c r="AF21" s="34"/>
    </row>
    <row r="22" spans="2:32" ht="15" thickBot="1" x14ac:dyDescent="0.4">
      <c r="B22" s="68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123"/>
      <c r="T22" s="69"/>
      <c r="U22" s="88"/>
      <c r="V22" s="88"/>
      <c r="W22" s="120"/>
      <c r="X22" s="69"/>
      <c r="Y22" s="69"/>
      <c r="Z22" s="69"/>
      <c r="AA22" s="69"/>
      <c r="AB22" s="69"/>
      <c r="AC22" s="69"/>
      <c r="AD22" s="69"/>
      <c r="AE22" s="69"/>
      <c r="AF22" s="34"/>
    </row>
    <row r="23" spans="2:32" ht="29.5" thickBot="1" x14ac:dyDescent="0.4">
      <c r="B23" s="33"/>
      <c r="C23" s="65" t="s">
        <v>28</v>
      </c>
      <c r="D23" s="66">
        <v>3.5</v>
      </c>
      <c r="E23" s="67" t="s">
        <v>29</v>
      </c>
      <c r="F23" s="34"/>
      <c r="G23" s="30" t="s">
        <v>1</v>
      </c>
      <c r="H23" s="25" t="s">
        <v>2</v>
      </c>
      <c r="I23" s="25" t="s">
        <v>3</v>
      </c>
      <c r="J23" s="25" t="s">
        <v>4</v>
      </c>
      <c r="K23" s="25" t="s">
        <v>5</v>
      </c>
      <c r="L23" s="26" t="s">
        <v>6</v>
      </c>
      <c r="M23" s="34"/>
      <c r="N23" s="34"/>
      <c r="O23" s="34"/>
      <c r="P23" s="34"/>
      <c r="Q23" s="34"/>
      <c r="R23" s="34"/>
      <c r="S23" s="124"/>
      <c r="T23" s="34"/>
      <c r="U23" s="106"/>
      <c r="V23" s="106"/>
      <c r="W23" s="130"/>
      <c r="X23" s="34"/>
      <c r="Y23" s="34"/>
      <c r="Z23" s="34"/>
      <c r="AA23" s="34"/>
      <c r="AB23" s="34"/>
      <c r="AC23" s="34"/>
      <c r="AD23" s="34"/>
      <c r="AE23" s="34"/>
      <c r="AF23" s="34"/>
    </row>
    <row r="24" spans="2:32" x14ac:dyDescent="0.35">
      <c r="B24" s="33"/>
      <c r="C24" s="34"/>
      <c r="D24" s="34"/>
      <c r="E24" s="34"/>
      <c r="F24" s="34"/>
      <c r="G24" s="53" t="s">
        <v>23</v>
      </c>
      <c r="H24" s="54">
        <v>6</v>
      </c>
      <c r="I24" s="54">
        <v>12.010999999999999</v>
      </c>
      <c r="J24" s="55">
        <f>((SQRT(1-(1/I24)^2*SIN(RADIANS(165))^2)+1/I24*COS(RADIANS(165)))/(1+1/I24))^2</f>
        <v>0.72027206504080021</v>
      </c>
      <c r="K24" s="59">
        <f>$D$23*1000*J24</f>
        <v>2520.9522276428006</v>
      </c>
      <c r="L24" s="56">
        <v>350</v>
      </c>
      <c r="M24" s="34"/>
      <c r="N24" s="34"/>
      <c r="O24" s="34"/>
      <c r="P24" s="34"/>
      <c r="Q24" s="34"/>
      <c r="R24" s="34"/>
      <c r="S24" s="124"/>
      <c r="T24" s="34"/>
      <c r="U24" s="106"/>
      <c r="V24" s="106"/>
      <c r="W24" s="130"/>
      <c r="X24" s="34"/>
      <c r="Y24" s="34"/>
      <c r="Z24" s="34"/>
      <c r="AA24" s="34"/>
      <c r="AB24" s="34"/>
      <c r="AC24" s="34"/>
      <c r="AD24" s="34"/>
      <c r="AE24" s="34"/>
      <c r="AF24" s="34"/>
    </row>
    <row r="25" spans="2:32" x14ac:dyDescent="0.35">
      <c r="B25" s="33"/>
      <c r="C25" s="34"/>
      <c r="D25" s="34"/>
      <c r="E25" s="34"/>
      <c r="F25" s="34"/>
      <c r="G25" s="48" t="s">
        <v>7</v>
      </c>
      <c r="H25" s="49">
        <v>8</v>
      </c>
      <c r="I25" s="50">
        <v>15.999000000000001</v>
      </c>
      <c r="J25" s="51">
        <f t="shared" ref="J25:J27" si="2">((SQRT(1-(1/I25)^2*SIN(RADIANS(165))^2)+1/I25*COS(RADIANS(165)))/(1+1/I25))^2</f>
        <v>0.78185798881983415</v>
      </c>
      <c r="K25" s="60">
        <f t="shared" ref="K25:K29" si="3">$D$23*1000*J25</f>
        <v>2736.5029608694194</v>
      </c>
      <c r="L25" s="52">
        <v>382</v>
      </c>
      <c r="M25" s="34"/>
      <c r="N25" s="34"/>
      <c r="O25" s="34"/>
      <c r="P25" s="34"/>
      <c r="Q25" s="34"/>
      <c r="R25" s="34"/>
      <c r="S25" s="124"/>
      <c r="T25" s="34"/>
      <c r="U25" s="106"/>
      <c r="V25" s="106"/>
      <c r="W25" s="130"/>
      <c r="X25" s="34"/>
      <c r="Y25" s="34"/>
      <c r="Z25" s="34"/>
      <c r="AA25" s="34"/>
      <c r="AB25" s="34"/>
      <c r="AC25" s="34"/>
      <c r="AD25" s="34"/>
      <c r="AE25" s="34"/>
      <c r="AF25" s="34"/>
    </row>
    <row r="26" spans="2:32" x14ac:dyDescent="0.35">
      <c r="B26" s="33"/>
      <c r="C26" s="34"/>
      <c r="D26" s="34">
        <f t="array" ref="D26:E29">LINEST(K24:K29,L24:L29,TRUE,TRUE)</f>
        <v>6.7252740680271748</v>
      </c>
      <c r="E26" s="34">
        <v>174.9773679730506</v>
      </c>
      <c r="F26" s="34"/>
      <c r="G26" s="28" t="s">
        <v>19</v>
      </c>
      <c r="H26" s="27">
        <v>13</v>
      </c>
      <c r="I26" s="27">
        <v>26.98</v>
      </c>
      <c r="J26" s="47">
        <f t="shared" si="2"/>
        <v>0.86433057478706143</v>
      </c>
      <c r="K26" s="61">
        <f t="shared" si="3"/>
        <v>3025.1570117547149</v>
      </c>
      <c r="L26" s="29">
        <v>420</v>
      </c>
      <c r="M26" s="34"/>
      <c r="N26" s="34"/>
      <c r="O26" s="34"/>
      <c r="P26" s="34"/>
      <c r="Q26" s="34"/>
      <c r="R26" s="34"/>
      <c r="S26" s="124"/>
      <c r="T26" s="34"/>
      <c r="U26" s="106"/>
      <c r="V26" s="106"/>
      <c r="W26" s="130"/>
      <c r="X26" s="34"/>
      <c r="Y26" s="34"/>
      <c r="Z26" s="34"/>
      <c r="AA26" s="34"/>
      <c r="AB26" s="34"/>
      <c r="AC26" s="34"/>
      <c r="AD26" s="34"/>
      <c r="AE26" s="34"/>
      <c r="AF26" s="34"/>
    </row>
    <row r="27" spans="2:32" x14ac:dyDescent="0.35">
      <c r="B27" s="33"/>
      <c r="C27" s="34"/>
      <c r="D27" s="34">
        <v>0.13109567423964927</v>
      </c>
      <c r="E27" s="34">
        <v>55.876727831054865</v>
      </c>
      <c r="F27" s="34"/>
      <c r="G27" s="35" t="s">
        <v>26</v>
      </c>
      <c r="H27" s="36">
        <v>14</v>
      </c>
      <c r="I27" s="36">
        <v>28.09</v>
      </c>
      <c r="J27" s="45">
        <f t="shared" si="2"/>
        <v>0.86932910407021868</v>
      </c>
      <c r="K27" s="62">
        <f t="shared" si="3"/>
        <v>3042.6518642457654</v>
      </c>
      <c r="L27" s="37">
        <v>426</v>
      </c>
      <c r="M27" s="34"/>
      <c r="N27" s="34"/>
      <c r="O27" s="34"/>
      <c r="P27" s="34"/>
      <c r="Q27" s="34"/>
      <c r="R27" s="34"/>
      <c r="S27" s="124"/>
      <c r="T27" s="34"/>
      <c r="U27" s="106"/>
      <c r="V27" s="106"/>
      <c r="W27" s="130"/>
      <c r="X27" s="34"/>
      <c r="Y27" s="34"/>
      <c r="Z27" s="34"/>
      <c r="AA27" s="34"/>
      <c r="AB27" s="34"/>
      <c r="AC27" s="34"/>
      <c r="AD27" s="34"/>
      <c r="AE27" s="34"/>
      <c r="AF27" s="34"/>
    </row>
    <row r="28" spans="2:32" x14ac:dyDescent="0.35">
      <c r="B28" s="33"/>
      <c r="C28" s="34"/>
      <c r="D28" s="34">
        <v>0.99848240057289417</v>
      </c>
      <c r="E28" s="34">
        <v>15.462344374388723</v>
      </c>
      <c r="F28" s="34"/>
      <c r="G28" s="40" t="s">
        <v>16</v>
      </c>
      <c r="H28" s="38">
        <v>50</v>
      </c>
      <c r="I28" s="38">
        <v>116</v>
      </c>
      <c r="J28" s="39">
        <f>((SQRT(1-(1/I28)^2*SIN(RADIANS(165))^2)+1/I28*COS(RADIANS(165)))/(1+1/I28))^2</f>
        <v>0.96667191113339779</v>
      </c>
      <c r="K28" s="63">
        <f t="shared" si="3"/>
        <v>3383.3516889668922</v>
      </c>
      <c r="L28" s="43">
        <v>477</v>
      </c>
      <c r="M28" s="34"/>
      <c r="N28" s="34"/>
      <c r="O28" s="34"/>
      <c r="P28" s="34"/>
      <c r="Q28" s="34"/>
      <c r="R28" s="34"/>
      <c r="S28" s="124"/>
      <c r="T28" s="34"/>
      <c r="U28" s="106"/>
      <c r="V28" s="106"/>
      <c r="W28" s="130"/>
      <c r="X28" s="34"/>
      <c r="Y28" s="34"/>
      <c r="Z28" s="34"/>
      <c r="AA28" s="34"/>
      <c r="AB28" s="34"/>
      <c r="AC28" s="34"/>
      <c r="AD28" s="34"/>
      <c r="AE28" s="34"/>
      <c r="AF28" s="34"/>
    </row>
    <row r="29" spans="2:32" ht="15" thickBot="1" x14ac:dyDescent="0.4">
      <c r="B29" s="33"/>
      <c r="C29" s="34"/>
      <c r="D29" s="34">
        <v>2631.7416381135326</v>
      </c>
      <c r="E29" s="34">
        <v>4</v>
      </c>
      <c r="F29" s="34"/>
      <c r="G29" s="41" t="s">
        <v>27</v>
      </c>
      <c r="H29" s="42">
        <v>78</v>
      </c>
      <c r="I29" s="42">
        <v>195.1</v>
      </c>
      <c r="J29" s="46">
        <f>((SQRT(1-(1/I29)^2*SIN(RADIANS(165))^2)+1/I29*COS(RADIANS(165)))/(1+1/I29))^2</f>
        <v>0.9800485317759321</v>
      </c>
      <c r="K29" s="64">
        <f t="shared" si="3"/>
        <v>3430.1698612157625</v>
      </c>
      <c r="L29" s="44">
        <v>486</v>
      </c>
      <c r="M29" s="34"/>
      <c r="N29" s="34"/>
      <c r="O29" s="34"/>
      <c r="P29" s="34"/>
      <c r="Q29" s="34"/>
      <c r="R29" s="34"/>
      <c r="S29" s="124"/>
      <c r="T29" s="34"/>
      <c r="U29" s="106"/>
      <c r="V29" s="106"/>
      <c r="W29" s="130"/>
      <c r="X29" s="34"/>
      <c r="Y29" s="34"/>
      <c r="Z29" s="34"/>
      <c r="AA29" s="34"/>
      <c r="AB29" s="34"/>
      <c r="AC29" s="34"/>
      <c r="AD29" s="34"/>
      <c r="AE29" s="34"/>
      <c r="AF29" s="34"/>
    </row>
    <row r="30" spans="2:32" ht="15" customHeight="1" thickBot="1" x14ac:dyDescent="0.4"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2" t="s">
        <v>9</v>
      </c>
      <c r="N30" s="3" t="s">
        <v>10</v>
      </c>
      <c r="O30" s="2" t="s">
        <v>11</v>
      </c>
      <c r="P30" s="3" t="s">
        <v>12</v>
      </c>
      <c r="Q30" s="4" t="s">
        <v>13</v>
      </c>
      <c r="R30" s="34"/>
      <c r="S30" s="124"/>
      <c r="T30" s="34"/>
      <c r="U30" s="106"/>
      <c r="V30" s="106"/>
      <c r="W30" s="130"/>
      <c r="X30" s="8" t="s">
        <v>24</v>
      </c>
      <c r="Y30" s="9" t="s">
        <v>10</v>
      </c>
      <c r="Z30" s="8" t="s">
        <v>25</v>
      </c>
      <c r="AA30" s="9" t="s">
        <v>12</v>
      </c>
      <c r="AB30" s="10" t="s">
        <v>13</v>
      </c>
      <c r="AC30" s="34"/>
      <c r="AD30" s="34"/>
      <c r="AE30" s="34"/>
      <c r="AF30" s="34"/>
    </row>
    <row r="31" spans="2:32" x14ac:dyDescent="0.35">
      <c r="B31" s="33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5">
        <v>43.69</v>
      </c>
      <c r="N31" s="13">
        <f>M31*$B$1/10</f>
        <v>31.937390000000001</v>
      </c>
      <c r="O31" s="17">
        <v>44.61</v>
      </c>
      <c r="P31" s="5">
        <f>O31*$B$1/10</f>
        <v>32.609909999999999</v>
      </c>
      <c r="Q31" s="16">
        <f>(($J$28/COS(RADIANS(0))*$N$31)+(1/COS(RADIANS(180-165))*$P$31))</f>
        <v>64.633240896229239</v>
      </c>
      <c r="R31" s="34"/>
      <c r="S31" s="124"/>
      <c r="T31" s="34"/>
      <c r="U31" s="106"/>
      <c r="V31" s="106"/>
      <c r="W31" s="130"/>
      <c r="X31" s="23">
        <v>75.7</v>
      </c>
      <c r="Y31" s="13">
        <f>X31*$E$1/10</f>
        <v>20.431429999999999</v>
      </c>
      <c r="Z31" s="23">
        <v>82.01</v>
      </c>
      <c r="AA31" s="5">
        <f>Z31*$E$1/10</f>
        <v>22.134498999999998</v>
      </c>
      <c r="AB31" s="12">
        <f>(($J$26/COS(RADIANS(0))*Y31)+(1/COS(RADIANS(180-165))*AA31))</f>
        <v>40.574829215632406</v>
      </c>
      <c r="AC31" s="34"/>
      <c r="AD31" s="34"/>
      <c r="AE31" s="34"/>
      <c r="AF31" s="34"/>
    </row>
    <row r="32" spans="2:32" x14ac:dyDescent="0.35"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124"/>
      <c r="T32" s="34"/>
      <c r="U32" s="106"/>
      <c r="V32" s="106"/>
      <c r="W32" s="130"/>
      <c r="X32" s="34"/>
      <c r="Y32" s="34"/>
      <c r="Z32" s="34"/>
      <c r="AA32" s="34"/>
      <c r="AB32" s="34"/>
      <c r="AC32" s="34"/>
      <c r="AD32" s="34"/>
      <c r="AE32" s="34"/>
      <c r="AF32" s="34"/>
    </row>
    <row r="33" spans="2:32" ht="15" thickBot="1" x14ac:dyDescent="0.4">
      <c r="B33" s="33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124"/>
      <c r="T33" s="34"/>
      <c r="U33" s="106"/>
      <c r="V33" s="106"/>
      <c r="W33" s="130"/>
      <c r="X33" s="34"/>
      <c r="Y33" s="34"/>
      <c r="Z33" s="34"/>
      <c r="AA33" s="34"/>
      <c r="AB33" s="34"/>
      <c r="AC33" s="34"/>
      <c r="AD33" s="34"/>
      <c r="AE33" s="34"/>
      <c r="AF33" s="34"/>
    </row>
    <row r="34" spans="2:32" ht="44" thickBot="1" x14ac:dyDescent="0.4">
      <c r="B34" s="33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11" t="s">
        <v>31</v>
      </c>
      <c r="N34" s="1" t="s">
        <v>17</v>
      </c>
      <c r="O34" s="2" t="s">
        <v>18</v>
      </c>
      <c r="P34" s="3" t="s">
        <v>8</v>
      </c>
      <c r="Q34" s="79" t="s">
        <v>14</v>
      </c>
      <c r="R34" s="92"/>
      <c r="S34" s="125"/>
      <c r="T34" s="93" t="s">
        <v>39</v>
      </c>
      <c r="U34" s="94" t="s">
        <v>37</v>
      </c>
      <c r="V34" s="106"/>
      <c r="W34" s="130"/>
      <c r="X34" s="6"/>
      <c r="Y34" s="7" t="s">
        <v>20</v>
      </c>
      <c r="Z34" s="8" t="s">
        <v>21</v>
      </c>
      <c r="AA34" s="9" t="s">
        <v>8</v>
      </c>
      <c r="AB34" s="96" t="s">
        <v>14</v>
      </c>
      <c r="AC34" s="97"/>
      <c r="AD34" s="97"/>
      <c r="AE34" s="101" t="s">
        <v>39</v>
      </c>
      <c r="AF34" s="34"/>
    </row>
    <row r="35" spans="2:32" ht="15" thickBot="1" x14ac:dyDescent="0.4">
      <c r="B35" s="33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24"/>
      <c r="N35" s="18">
        <v>477</v>
      </c>
      <c r="O35" s="19">
        <v>464</v>
      </c>
      <c r="P35" s="22">
        <f>(N35-O35)*D26</f>
        <v>87.428562884353269</v>
      </c>
      <c r="Q35" s="83">
        <f>P35*10^3/Q31</f>
        <v>1352.6872809104941</v>
      </c>
      <c r="R35" s="86" t="s">
        <v>40</v>
      </c>
      <c r="S35" s="126">
        <f>Q35/D26*D27</f>
        <v>26.36791442737119</v>
      </c>
      <c r="T35" s="113">
        <v>1387</v>
      </c>
      <c r="U35" s="111">
        <v>1361</v>
      </c>
      <c r="V35" s="86" t="s">
        <v>40</v>
      </c>
      <c r="W35" s="130">
        <v>21</v>
      </c>
      <c r="X35" s="21"/>
      <c r="Y35" s="18">
        <v>414</v>
      </c>
      <c r="Z35" s="19">
        <v>407</v>
      </c>
      <c r="AA35" s="20">
        <f>(Y35-Z35)*D26</f>
        <v>47.076918476190222</v>
      </c>
      <c r="AB35" s="98">
        <f>AA35*10^3/AB31</f>
        <v>1160.2493315745796</v>
      </c>
      <c r="AC35" s="86" t="s">
        <v>40</v>
      </c>
      <c r="AD35" s="87">
        <f>AB35/D26*D27</f>
        <v>22.616724146900197</v>
      </c>
      <c r="AE35" s="89">
        <v>2.4900000000000002</v>
      </c>
      <c r="AF35" s="34"/>
    </row>
    <row r="36" spans="2:32" ht="15" thickBot="1" x14ac:dyDescent="0.4"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73"/>
      <c r="Q36" s="90"/>
      <c r="R36" s="88"/>
      <c r="S36" s="127"/>
      <c r="T36" s="113"/>
      <c r="U36" s="111"/>
      <c r="V36" s="107"/>
      <c r="W36" s="131"/>
      <c r="X36" s="71"/>
      <c r="Y36" s="34"/>
      <c r="Z36" s="34"/>
      <c r="AA36" s="73"/>
      <c r="AB36" s="90"/>
      <c r="AC36" s="88"/>
      <c r="AD36" s="88"/>
      <c r="AE36" s="89"/>
      <c r="AF36" s="34"/>
    </row>
    <row r="37" spans="2:32" ht="15" thickBot="1" x14ac:dyDescent="0.4">
      <c r="B37" s="33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74"/>
      <c r="Q37" s="103">
        <f>Q35*$B$1*10^(-7)*10^3</f>
        <v>0.98881440234557116</v>
      </c>
      <c r="R37" s="104" t="s">
        <v>40</v>
      </c>
      <c r="S37" s="128">
        <f>S35*$B$1*10^(-7)*10^3</f>
        <v>1.9274945446408339E-2</v>
      </c>
      <c r="T37" s="114">
        <f>T35*$B$1*10^(-7)*10^3</f>
        <v>1.0138969999999998</v>
      </c>
      <c r="U37" s="112">
        <f>U35*$B$1*10^(-7)*10^3</f>
        <v>0.99489099999999997</v>
      </c>
      <c r="V37" s="109" t="s">
        <v>40</v>
      </c>
      <c r="W37" s="132">
        <f>W35*$B$1*10^(-7)*10^3</f>
        <v>1.5351E-2</v>
      </c>
      <c r="X37" s="105" t="s">
        <v>36</v>
      </c>
      <c r="Y37" s="34"/>
      <c r="Z37" s="34"/>
      <c r="AA37" s="74"/>
      <c r="AB37" s="99">
        <f>AB35*$E$1/10</f>
        <v>313.15129459197902</v>
      </c>
      <c r="AC37" s="91" t="s">
        <v>40</v>
      </c>
      <c r="AD37" s="102">
        <f>AD35*$E$1*10^(-7)*10^6</f>
        <v>6.104253847248363</v>
      </c>
      <c r="AE37" s="100">
        <f>AE35*$E$1/10</f>
        <v>0.67205099999999995</v>
      </c>
      <c r="AF37" s="85" t="s">
        <v>38</v>
      </c>
    </row>
    <row r="38" spans="2:32" x14ac:dyDescent="0.35"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124"/>
      <c r="T38" s="34"/>
      <c r="U38" s="106"/>
      <c r="V38" s="106"/>
      <c r="W38" s="130"/>
      <c r="X38" s="34"/>
      <c r="Y38" s="34"/>
      <c r="Z38" s="34"/>
      <c r="AA38" s="34"/>
      <c r="AB38" s="34"/>
      <c r="AC38" s="34"/>
      <c r="AD38" s="34"/>
      <c r="AE38" s="34"/>
      <c r="AF38" s="34"/>
    </row>
    <row r="39" spans="2:32" ht="15" thickBot="1" x14ac:dyDescent="0.4">
      <c r="B39" s="70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84"/>
      <c r="S39" s="129"/>
      <c r="T39" s="71"/>
      <c r="U39" s="108"/>
      <c r="V39" s="108"/>
      <c r="W39" s="131"/>
      <c r="X39" s="71"/>
      <c r="Y39" s="71"/>
      <c r="Z39" s="71"/>
      <c r="AA39" s="71"/>
      <c r="AB39" s="71"/>
      <c r="AC39" s="71"/>
      <c r="AD39" s="71"/>
      <c r="AE39" s="71"/>
      <c r="AF39" s="34"/>
    </row>
    <row r="40" spans="2:32" ht="15" thickBot="1" x14ac:dyDescent="0.4">
      <c r="U40" s="110"/>
      <c r="V40" s="110"/>
      <c r="W40" s="133"/>
      <c r="AD40" s="34"/>
      <c r="AF40" s="34"/>
    </row>
    <row r="41" spans="2:32" ht="15" thickBot="1" x14ac:dyDescent="0.4">
      <c r="B41" s="68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123"/>
      <c r="T41" s="69"/>
      <c r="U41" s="88"/>
      <c r="V41" s="88"/>
      <c r="W41" s="120"/>
      <c r="X41" s="69"/>
      <c r="Y41" s="69"/>
      <c r="Z41" s="69"/>
      <c r="AA41" s="69"/>
      <c r="AB41" s="69"/>
      <c r="AC41" s="69"/>
      <c r="AD41" s="69"/>
      <c r="AE41" s="69"/>
      <c r="AF41" s="34"/>
    </row>
    <row r="42" spans="2:32" ht="29.5" thickBot="1" x14ac:dyDescent="0.4">
      <c r="B42" s="33"/>
      <c r="C42" s="65" t="s">
        <v>28</v>
      </c>
      <c r="D42" s="66">
        <v>3.9</v>
      </c>
      <c r="E42" s="67" t="s">
        <v>29</v>
      </c>
      <c r="F42" s="34"/>
      <c r="G42" s="30" t="s">
        <v>1</v>
      </c>
      <c r="H42" s="25" t="s">
        <v>2</v>
      </c>
      <c r="I42" s="25" t="s">
        <v>3</v>
      </c>
      <c r="J42" s="25" t="s">
        <v>4</v>
      </c>
      <c r="K42" s="25" t="s">
        <v>5</v>
      </c>
      <c r="L42" s="26" t="s">
        <v>6</v>
      </c>
      <c r="M42" s="34"/>
      <c r="N42" s="34"/>
      <c r="O42" s="34"/>
      <c r="P42" s="34"/>
      <c r="Q42" s="34"/>
      <c r="R42" s="34"/>
      <c r="S42" s="124"/>
      <c r="T42" s="34"/>
      <c r="U42" s="106"/>
      <c r="V42" s="106"/>
      <c r="W42" s="130"/>
      <c r="X42" s="34"/>
      <c r="Y42" s="34"/>
      <c r="Z42" s="34"/>
      <c r="AA42" s="34"/>
      <c r="AB42" s="34"/>
      <c r="AC42" s="34"/>
      <c r="AD42" s="34"/>
      <c r="AE42" s="34"/>
      <c r="AF42" s="34"/>
    </row>
    <row r="43" spans="2:32" x14ac:dyDescent="0.35">
      <c r="B43" s="33"/>
      <c r="C43" s="34"/>
      <c r="D43" s="34"/>
      <c r="E43" s="34"/>
      <c r="F43" s="34"/>
      <c r="G43" s="53" t="s">
        <v>23</v>
      </c>
      <c r="H43" s="54">
        <v>6</v>
      </c>
      <c r="I43" s="54">
        <v>12.010999999999999</v>
      </c>
      <c r="J43" s="55">
        <f>((SQRT(1-(1/I43)^2*SIN(RADIANS(165))^2)+1/I43*COS(RADIANS(165)))/(1+1/I43))^2</f>
        <v>0.72027206504080021</v>
      </c>
      <c r="K43" s="59">
        <f>$D$42*1000*J43</f>
        <v>2809.0610536591207</v>
      </c>
      <c r="L43" s="56">
        <v>300</v>
      </c>
      <c r="M43" s="34"/>
      <c r="N43" s="34"/>
      <c r="O43" s="34"/>
      <c r="P43" s="34"/>
      <c r="Q43" s="34"/>
      <c r="R43" s="34"/>
      <c r="S43" s="124"/>
      <c r="T43" s="34"/>
      <c r="U43" s="106"/>
      <c r="V43" s="106"/>
      <c r="W43" s="130"/>
      <c r="X43" s="34"/>
      <c r="Y43" s="34"/>
      <c r="Z43" s="34"/>
      <c r="AA43" s="34"/>
      <c r="AB43" s="34"/>
      <c r="AC43" s="34"/>
      <c r="AD43" s="34"/>
      <c r="AE43" s="34"/>
      <c r="AF43" s="34"/>
    </row>
    <row r="44" spans="2:32" x14ac:dyDescent="0.35">
      <c r="B44" s="33"/>
      <c r="C44" s="34"/>
      <c r="D44" s="34"/>
      <c r="E44" s="34"/>
      <c r="F44" s="34"/>
      <c r="G44" s="48" t="s">
        <v>7</v>
      </c>
      <c r="H44" s="49">
        <v>8</v>
      </c>
      <c r="I44" s="50">
        <v>15.999000000000001</v>
      </c>
      <c r="J44" s="51">
        <f t="shared" ref="J44:J46" si="4">((SQRT(1-(1/I44)^2*SIN(RADIANS(165))^2)+1/I44*COS(RADIANS(165)))/(1+1/I44))^2</f>
        <v>0.78185798881983415</v>
      </c>
      <c r="K44" s="60">
        <f t="shared" ref="K44:K48" si="5">$D$42*1000*J44</f>
        <v>3049.2461563973534</v>
      </c>
      <c r="L44" s="52">
        <v>328</v>
      </c>
      <c r="M44" s="34"/>
      <c r="N44" s="34"/>
      <c r="O44" s="34"/>
      <c r="P44" s="34"/>
      <c r="Q44" s="34"/>
      <c r="R44" s="34"/>
      <c r="S44" s="124"/>
      <c r="T44" s="34"/>
      <c r="U44" s="106"/>
      <c r="V44" s="106"/>
      <c r="W44" s="130"/>
      <c r="X44" s="34"/>
      <c r="Y44" s="34"/>
      <c r="Z44" s="34"/>
      <c r="AA44" s="34"/>
      <c r="AB44" s="34"/>
      <c r="AC44" s="34"/>
      <c r="AD44" s="34"/>
      <c r="AE44" s="34"/>
      <c r="AF44" s="34"/>
    </row>
    <row r="45" spans="2:32" x14ac:dyDescent="0.35">
      <c r="B45" s="33"/>
      <c r="C45" s="34"/>
      <c r="D45" s="34">
        <f t="array" ref="D45:E48">LINEST(K43:K48,L43:L48,TRUE,TRUE)</f>
        <v>8.6163917435189159</v>
      </c>
      <c r="E45" s="34">
        <v>240.16337861504917</v>
      </c>
      <c r="F45" s="34"/>
      <c r="G45" s="28" t="s">
        <v>19</v>
      </c>
      <c r="H45" s="27">
        <v>13</v>
      </c>
      <c r="I45" s="27">
        <v>26.98</v>
      </c>
      <c r="J45" s="47">
        <f t="shared" si="4"/>
        <v>0.86433057478706143</v>
      </c>
      <c r="K45" s="61">
        <f t="shared" si="5"/>
        <v>3370.8892416695394</v>
      </c>
      <c r="L45" s="29">
        <v>356.5</v>
      </c>
      <c r="M45" s="34"/>
      <c r="N45" s="34"/>
      <c r="O45" s="34"/>
      <c r="P45" s="34"/>
      <c r="Q45" s="34"/>
      <c r="R45" s="34"/>
      <c r="S45" s="124"/>
      <c r="T45" s="34"/>
      <c r="U45" s="106"/>
      <c r="V45" s="106"/>
      <c r="W45" s="130"/>
      <c r="X45" s="34"/>
      <c r="Y45" s="34"/>
      <c r="Z45" s="34"/>
      <c r="AA45" s="34"/>
      <c r="AB45" s="34"/>
      <c r="AC45" s="34"/>
      <c r="AD45" s="34"/>
      <c r="AE45" s="34"/>
      <c r="AF45" s="34"/>
    </row>
    <row r="46" spans="2:32" x14ac:dyDescent="0.35">
      <c r="B46" s="33"/>
      <c r="C46" s="34"/>
      <c r="D46" s="34">
        <v>0.32518562881215768</v>
      </c>
      <c r="E46" s="34">
        <v>118.8490265802717</v>
      </c>
      <c r="F46" s="34"/>
      <c r="G46" s="35" t="s">
        <v>26</v>
      </c>
      <c r="H46" s="36">
        <v>14</v>
      </c>
      <c r="I46" s="36">
        <v>28.09</v>
      </c>
      <c r="J46" s="45">
        <f t="shared" si="4"/>
        <v>0.86932910407021868</v>
      </c>
      <c r="K46" s="62">
        <f t="shared" si="5"/>
        <v>3390.3835058738528</v>
      </c>
      <c r="L46" s="37">
        <v>366</v>
      </c>
      <c r="M46" s="34"/>
      <c r="N46" s="34"/>
      <c r="O46" s="34"/>
      <c r="P46" s="34"/>
      <c r="Q46" s="34"/>
      <c r="R46" s="34"/>
      <c r="S46" s="124"/>
      <c r="T46" s="34"/>
      <c r="U46" s="106"/>
      <c r="V46" s="106"/>
      <c r="W46" s="130"/>
      <c r="X46" s="34"/>
      <c r="Y46" s="34"/>
      <c r="Z46" s="34"/>
      <c r="AA46" s="34"/>
      <c r="AB46" s="34"/>
      <c r="AC46" s="34"/>
      <c r="AD46" s="34"/>
      <c r="AE46" s="34"/>
      <c r="AF46" s="34"/>
    </row>
    <row r="47" spans="2:32" x14ac:dyDescent="0.35">
      <c r="B47" s="33"/>
      <c r="C47" s="34"/>
      <c r="D47" s="34">
        <v>0.99433494007238665</v>
      </c>
      <c r="E47" s="34">
        <v>33.288603894552338</v>
      </c>
      <c r="F47" s="34"/>
      <c r="G47" s="40" t="s">
        <v>16</v>
      </c>
      <c r="H47" s="38">
        <v>50</v>
      </c>
      <c r="I47" s="38">
        <v>116</v>
      </c>
      <c r="J47" s="39">
        <f>((SQRT(1-(1/I47)^2*SIN(RADIANS(165))^2)+1/I47*COS(RADIANS(165)))/(1+1/I47))^2</f>
        <v>0.96667191113339779</v>
      </c>
      <c r="K47" s="63">
        <f t="shared" si="5"/>
        <v>3770.0204534202512</v>
      </c>
      <c r="L47" s="43">
        <v>410</v>
      </c>
      <c r="M47" s="34"/>
      <c r="N47" s="34"/>
      <c r="O47" s="34"/>
      <c r="P47" s="34"/>
      <c r="Q47" s="34"/>
      <c r="R47" s="34"/>
      <c r="S47" s="124"/>
      <c r="T47" s="34"/>
      <c r="U47" s="106"/>
      <c r="V47" s="106"/>
      <c r="W47" s="130"/>
      <c r="X47" s="34"/>
      <c r="Y47" s="34"/>
      <c r="Z47" s="34"/>
      <c r="AA47" s="34"/>
      <c r="AB47" s="34"/>
      <c r="AC47" s="34"/>
      <c r="AD47" s="34"/>
      <c r="AE47" s="34"/>
      <c r="AF47" s="34"/>
    </row>
    <row r="48" spans="2:32" ht="15" thickBot="1" x14ac:dyDescent="0.4">
      <c r="B48" s="33"/>
      <c r="C48" s="34"/>
      <c r="D48" s="34">
        <v>702.08255713282642</v>
      </c>
      <c r="E48" s="34">
        <v>4</v>
      </c>
      <c r="F48" s="34"/>
      <c r="G48" s="41" t="s">
        <v>27</v>
      </c>
      <c r="H48" s="42">
        <v>78</v>
      </c>
      <c r="I48" s="42">
        <v>195.1</v>
      </c>
      <c r="J48" s="46">
        <f>((SQRT(1-(1/I48)^2*SIN(RADIANS(165))^2)+1/I48*COS(RADIANS(165)))/(1+1/I48))^2</f>
        <v>0.9800485317759321</v>
      </c>
      <c r="K48" s="64">
        <f t="shared" si="5"/>
        <v>3822.1892739261352</v>
      </c>
      <c r="L48" s="44">
        <v>418</v>
      </c>
      <c r="M48" s="34"/>
      <c r="N48" s="34"/>
      <c r="O48" s="34"/>
      <c r="P48" s="34"/>
      <c r="Q48" s="34"/>
      <c r="R48" s="34"/>
      <c r="S48" s="124"/>
      <c r="T48" s="34"/>
      <c r="U48" s="106"/>
      <c r="V48" s="106"/>
      <c r="W48" s="130"/>
      <c r="X48" s="34"/>
      <c r="Y48" s="34"/>
      <c r="Z48" s="34"/>
      <c r="AA48" s="34"/>
      <c r="AB48" s="34"/>
      <c r="AC48" s="34"/>
      <c r="AD48" s="34"/>
      <c r="AE48" s="34"/>
      <c r="AF48" s="34"/>
    </row>
    <row r="49" spans="2:32" ht="14.25" customHeight="1" thickBot="1" x14ac:dyDescent="0.4">
      <c r="B49" s="33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2" t="s">
        <v>9</v>
      </c>
      <c r="N49" s="3" t="s">
        <v>10</v>
      </c>
      <c r="O49" s="2" t="s">
        <v>11</v>
      </c>
      <c r="P49" s="3" t="s">
        <v>12</v>
      </c>
      <c r="Q49" s="4" t="s">
        <v>13</v>
      </c>
      <c r="R49" s="34"/>
      <c r="S49" s="124"/>
      <c r="T49" s="34"/>
      <c r="U49" s="106"/>
      <c r="V49" s="106"/>
      <c r="W49" s="130"/>
      <c r="X49" s="8" t="s">
        <v>24</v>
      </c>
      <c r="Y49" s="9" t="s">
        <v>10</v>
      </c>
      <c r="Z49" s="8" t="s">
        <v>25</v>
      </c>
      <c r="AA49" s="9" t="s">
        <v>12</v>
      </c>
      <c r="AB49" s="10" t="s">
        <v>13</v>
      </c>
      <c r="AC49" s="34"/>
      <c r="AD49" s="34"/>
      <c r="AE49" s="34"/>
      <c r="AF49" s="34"/>
    </row>
    <row r="50" spans="2:32" x14ac:dyDescent="0.35">
      <c r="B50" s="33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5">
        <v>40.86</v>
      </c>
      <c r="N50" s="13">
        <f>M50*$B$1/10</f>
        <v>29.868659999999998</v>
      </c>
      <c r="O50" s="17">
        <v>41.73</v>
      </c>
      <c r="P50" s="5">
        <f>O50*$B$1/10</f>
        <v>30.504629999999999</v>
      </c>
      <c r="Q50" s="16">
        <f>(($J$47/COS(RADIANS(0))*$N$50)+(1/COS(RADIANS(180-165))*$P$50))</f>
        <v>60.453911476416494</v>
      </c>
      <c r="R50" s="34"/>
      <c r="S50" s="124"/>
      <c r="T50" s="34"/>
      <c r="U50" s="106"/>
      <c r="V50" s="106"/>
      <c r="W50" s="130"/>
      <c r="X50" s="23">
        <v>70.010000000000005</v>
      </c>
      <c r="Y50" s="13">
        <f>X50*$E$1/10</f>
        <v>18.895699</v>
      </c>
      <c r="Z50" s="23">
        <v>75.900000000000006</v>
      </c>
      <c r="AA50" s="5">
        <f>Z50*$E$1/10</f>
        <v>20.485410000000002</v>
      </c>
      <c r="AB50" s="12">
        <f>(($J$45/COS(RADIANS(0))*Y50)+(1/COS(RADIANS(180-165))*AA50))</f>
        <v>37.54018739660782</v>
      </c>
      <c r="AC50" s="34"/>
      <c r="AD50" s="34"/>
      <c r="AE50" s="34"/>
      <c r="AF50" s="34"/>
    </row>
    <row r="51" spans="2:32" x14ac:dyDescent="0.35">
      <c r="B51" s="33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124"/>
      <c r="T51" s="34"/>
      <c r="U51" s="106"/>
      <c r="V51" s="106"/>
      <c r="W51" s="130"/>
      <c r="X51" s="34"/>
      <c r="Y51" s="34"/>
      <c r="Z51" s="34"/>
      <c r="AA51" s="34"/>
      <c r="AB51" s="34"/>
      <c r="AC51" s="34"/>
      <c r="AD51" s="34"/>
      <c r="AE51" s="34"/>
      <c r="AF51" s="34"/>
    </row>
    <row r="52" spans="2:32" ht="15" thickBot="1" x14ac:dyDescent="0.4">
      <c r="B52" s="33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124"/>
      <c r="T52" s="34"/>
      <c r="U52" s="106"/>
      <c r="V52" s="106"/>
      <c r="W52" s="130"/>
      <c r="X52" s="34"/>
      <c r="Y52" s="34"/>
      <c r="Z52" s="34"/>
      <c r="AA52" s="34"/>
      <c r="AB52" s="34"/>
      <c r="AC52" s="34"/>
      <c r="AD52" s="34"/>
      <c r="AE52" s="34"/>
      <c r="AF52" s="34"/>
    </row>
    <row r="53" spans="2:32" ht="44" thickBot="1" x14ac:dyDescent="0.4">
      <c r="B53" s="33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11" t="s">
        <v>32</v>
      </c>
      <c r="N53" s="1" t="s">
        <v>17</v>
      </c>
      <c r="O53" s="2" t="s">
        <v>18</v>
      </c>
      <c r="P53" s="3" t="s">
        <v>8</v>
      </c>
      <c r="Q53" s="79" t="s">
        <v>14</v>
      </c>
      <c r="R53" s="75"/>
      <c r="S53" s="125"/>
      <c r="T53" s="93" t="s">
        <v>39</v>
      </c>
      <c r="U53" s="94" t="s">
        <v>37</v>
      </c>
      <c r="V53" s="106"/>
      <c r="W53" s="130"/>
      <c r="X53" s="6"/>
      <c r="Y53" s="7" t="s">
        <v>20</v>
      </c>
      <c r="Z53" s="8" t="s">
        <v>21</v>
      </c>
      <c r="AA53" s="9" t="s">
        <v>8</v>
      </c>
      <c r="AB53" s="96" t="s">
        <v>14</v>
      </c>
      <c r="AC53" s="97"/>
      <c r="AD53" s="97"/>
      <c r="AE53" s="101" t="s">
        <v>39</v>
      </c>
      <c r="AF53" s="34"/>
    </row>
    <row r="54" spans="2:32" ht="15" thickBot="1" x14ac:dyDescent="0.4">
      <c r="B54" s="33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24"/>
      <c r="N54" s="18">
        <v>410</v>
      </c>
      <c r="O54" s="19">
        <v>401</v>
      </c>
      <c r="P54" s="22">
        <f>(N54-O54)*D45</f>
        <v>77.547525691670245</v>
      </c>
      <c r="Q54" s="83">
        <f>P54*10^3/Q50</f>
        <v>1282.7544785406003</v>
      </c>
      <c r="R54" s="86" t="s">
        <v>40</v>
      </c>
      <c r="S54" s="126">
        <f>Q54/D45*D46</f>
        <v>48.411601298141555</v>
      </c>
      <c r="T54" s="115">
        <v>1438</v>
      </c>
      <c r="U54" s="111">
        <v>1439</v>
      </c>
      <c r="V54" s="86" t="s">
        <v>40</v>
      </c>
      <c r="W54" s="130">
        <v>77</v>
      </c>
      <c r="X54" s="21"/>
      <c r="Y54" s="18">
        <v>356.5</v>
      </c>
      <c r="Z54" s="19">
        <v>352.5</v>
      </c>
      <c r="AA54" s="20">
        <f>(Y54-Z54)*D45</f>
        <v>34.465566974075664</v>
      </c>
      <c r="AB54" s="98">
        <f>AA54*10^3/AB50</f>
        <v>918.09789359735635</v>
      </c>
      <c r="AC54" s="86" t="s">
        <v>40</v>
      </c>
      <c r="AD54" s="87">
        <f>AB54/D45*D46</f>
        <v>34.649334631882191</v>
      </c>
      <c r="AE54" s="89">
        <v>16.93</v>
      </c>
      <c r="AF54" s="34"/>
    </row>
    <row r="55" spans="2:32" ht="15" thickBot="1" x14ac:dyDescent="0.4">
      <c r="B55" s="33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73"/>
      <c r="Q55" s="90"/>
      <c r="R55" s="88"/>
      <c r="S55" s="127"/>
      <c r="T55" s="115"/>
      <c r="U55" s="111"/>
      <c r="V55" s="107"/>
      <c r="W55" s="131"/>
      <c r="X55" s="71"/>
      <c r="Y55" s="34"/>
      <c r="Z55" s="34"/>
      <c r="AA55" s="73"/>
      <c r="AB55" s="90"/>
      <c r="AC55" s="88"/>
      <c r="AD55" s="88"/>
      <c r="AE55" s="89"/>
      <c r="AF55" s="34"/>
    </row>
    <row r="56" spans="2:32" ht="15" thickBot="1" x14ac:dyDescent="0.4">
      <c r="B56" s="3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74"/>
      <c r="Q56" s="103">
        <f>Q54*$B$1*10^(-7)*10^3</f>
        <v>0.93769352381317872</v>
      </c>
      <c r="R56" s="104" t="s">
        <v>40</v>
      </c>
      <c r="S56" s="128">
        <f>S54*$B$1*10^(-7)*10^3</f>
        <v>3.5388880548941466E-2</v>
      </c>
      <c r="T56" s="116">
        <f>T54*$B$1*10^(-7)*10^3</f>
        <v>1.0511779999999997</v>
      </c>
      <c r="U56" s="112">
        <f>U54*$B$1*10^(-7)*10^3</f>
        <v>1.051909</v>
      </c>
      <c r="V56" s="109" t="s">
        <v>40</v>
      </c>
      <c r="W56" s="132">
        <f>W54*$B$1*10^(-7)*10^3</f>
        <v>5.6286999999999997E-2</v>
      </c>
      <c r="X56" s="105" t="s">
        <v>36</v>
      </c>
      <c r="Y56" s="34"/>
      <c r="Z56" s="34"/>
      <c r="AA56" s="74"/>
      <c r="AB56" s="99">
        <f>AB54*$E$1/10</f>
        <v>247.79462148192647</v>
      </c>
      <c r="AC56" s="91" t="s">
        <v>40</v>
      </c>
      <c r="AD56" s="102">
        <f>AD54*$E$1*10^(-7)*10^6</f>
        <v>9.3518554171450017</v>
      </c>
      <c r="AE56" s="100">
        <f>AE54*$E$1/10</f>
        <v>4.569407</v>
      </c>
      <c r="AF56" s="85" t="s">
        <v>38</v>
      </c>
    </row>
    <row r="57" spans="2:32" x14ac:dyDescent="0.35">
      <c r="B57" s="33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124"/>
      <c r="T57" s="34"/>
      <c r="U57" s="106"/>
      <c r="V57" s="106"/>
      <c r="W57" s="130"/>
      <c r="X57" s="34"/>
      <c r="Y57" s="34"/>
      <c r="Z57" s="34"/>
      <c r="AA57" s="34"/>
      <c r="AB57" s="34"/>
      <c r="AC57" s="34"/>
      <c r="AD57" s="34"/>
      <c r="AE57" s="34"/>
      <c r="AF57" s="34"/>
    </row>
    <row r="58" spans="2:32" ht="15" thickBot="1" x14ac:dyDescent="0.4">
      <c r="B58" s="70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84"/>
      <c r="S58" s="129"/>
      <c r="T58" s="71"/>
      <c r="U58" s="108"/>
      <c r="V58" s="108"/>
      <c r="W58" s="131"/>
      <c r="X58" s="71"/>
      <c r="Y58" s="71"/>
      <c r="Z58" s="71"/>
      <c r="AA58" s="71"/>
      <c r="AB58" s="71"/>
      <c r="AC58" s="71"/>
      <c r="AD58" s="71"/>
      <c r="AE58" s="71"/>
      <c r="AF58" s="34"/>
    </row>
    <row r="59" spans="2:32" ht="15" thickBot="1" x14ac:dyDescent="0.4">
      <c r="U59" s="110"/>
      <c r="V59" s="110"/>
      <c r="W59" s="133"/>
      <c r="AD59" s="34"/>
      <c r="AF59" s="34"/>
    </row>
    <row r="60" spans="2:32" ht="15" thickBot="1" x14ac:dyDescent="0.4">
      <c r="B60" s="68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123"/>
      <c r="T60" s="69"/>
      <c r="U60" s="88"/>
      <c r="V60" s="88"/>
      <c r="W60" s="120"/>
      <c r="X60" s="69"/>
      <c r="Y60" s="69"/>
      <c r="Z60" s="69"/>
      <c r="AA60" s="69"/>
      <c r="AB60" s="69"/>
      <c r="AC60" s="69"/>
      <c r="AD60" s="69"/>
      <c r="AE60" s="69"/>
      <c r="AF60" s="34"/>
    </row>
    <row r="61" spans="2:32" ht="29.5" thickBot="1" x14ac:dyDescent="0.4">
      <c r="B61" s="33"/>
      <c r="C61" s="65" t="s">
        <v>28</v>
      </c>
      <c r="D61" s="66">
        <v>4.3</v>
      </c>
      <c r="E61" s="67" t="s">
        <v>29</v>
      </c>
      <c r="F61" s="34"/>
      <c r="G61" s="30" t="s">
        <v>1</v>
      </c>
      <c r="H61" s="25" t="s">
        <v>2</v>
      </c>
      <c r="I61" s="25" t="s">
        <v>3</v>
      </c>
      <c r="J61" s="25" t="s">
        <v>4</v>
      </c>
      <c r="K61" s="25" t="s">
        <v>5</v>
      </c>
      <c r="L61" s="26" t="s">
        <v>6</v>
      </c>
      <c r="M61" s="34"/>
      <c r="N61" s="34"/>
      <c r="O61" s="34"/>
      <c r="P61" s="34"/>
      <c r="Q61" s="34"/>
      <c r="R61" s="34"/>
      <c r="S61" s="124"/>
      <c r="T61" s="34"/>
      <c r="U61" s="106"/>
      <c r="V61" s="106"/>
      <c r="W61" s="130"/>
      <c r="X61" s="34"/>
      <c r="Y61" s="34"/>
      <c r="Z61" s="34"/>
      <c r="AA61" s="34"/>
      <c r="AB61" s="34"/>
      <c r="AC61" s="34"/>
      <c r="AD61" s="34"/>
      <c r="AE61" s="34"/>
      <c r="AF61" s="34"/>
    </row>
    <row r="62" spans="2:32" x14ac:dyDescent="0.35">
      <c r="B62" s="33"/>
      <c r="C62" s="34"/>
      <c r="D62" s="34"/>
      <c r="E62" s="34"/>
      <c r="F62" s="34"/>
      <c r="G62" s="53" t="s">
        <v>23</v>
      </c>
      <c r="H62" s="54">
        <v>6</v>
      </c>
      <c r="I62" s="54">
        <v>12.010999999999999</v>
      </c>
      <c r="J62" s="55">
        <f>((SQRT(1-(1/I62)^2*SIN(RADIANS(165))^2)+1/I62*COS(RADIANS(165)))/(1+1/I62))^2</f>
        <v>0.72027206504080021</v>
      </c>
      <c r="K62" s="59">
        <f>$D$61*1000*J62</f>
        <v>3097.1698796754408</v>
      </c>
      <c r="L62" s="56">
        <v>334</v>
      </c>
      <c r="M62" s="34"/>
      <c r="N62" s="34"/>
      <c r="O62" s="34"/>
      <c r="P62" s="34"/>
      <c r="Q62" s="34"/>
      <c r="R62" s="34"/>
      <c r="S62" s="124"/>
      <c r="T62" s="34"/>
      <c r="U62" s="106"/>
      <c r="V62" s="106"/>
      <c r="W62" s="130"/>
      <c r="X62" s="34"/>
      <c r="Y62" s="34"/>
      <c r="Z62" s="34"/>
      <c r="AA62" s="34"/>
      <c r="AB62" s="34"/>
      <c r="AC62" s="34"/>
      <c r="AD62" s="34"/>
      <c r="AE62" s="34"/>
      <c r="AF62" s="34"/>
    </row>
    <row r="63" spans="2:32" x14ac:dyDescent="0.35">
      <c r="B63" s="33"/>
      <c r="C63" s="34"/>
      <c r="D63" s="34"/>
      <c r="E63" s="34"/>
      <c r="F63" s="34"/>
      <c r="G63" s="48" t="s">
        <v>7</v>
      </c>
      <c r="H63" s="49">
        <v>8</v>
      </c>
      <c r="I63" s="50">
        <v>15.999000000000001</v>
      </c>
      <c r="J63" s="51">
        <f t="shared" ref="J63:J65" si="6">((SQRT(1-(1/I63)^2*SIN(RADIANS(165))^2)+1/I63*COS(RADIANS(165)))/(1+1/I63))^2</f>
        <v>0.78185798881983415</v>
      </c>
      <c r="K63" s="60">
        <f t="shared" ref="K63:K67" si="7">$D$61*1000*J63</f>
        <v>3361.9893519252869</v>
      </c>
      <c r="L63" s="52">
        <v>364</v>
      </c>
      <c r="M63" s="34"/>
      <c r="N63" s="34"/>
      <c r="O63" s="34"/>
      <c r="P63" s="34"/>
      <c r="Q63" s="34"/>
      <c r="R63" s="34"/>
      <c r="S63" s="124"/>
      <c r="T63" s="34"/>
      <c r="U63" s="106"/>
      <c r="V63" s="106"/>
      <c r="W63" s="130"/>
      <c r="X63" s="34"/>
      <c r="Y63" s="34"/>
      <c r="Z63" s="34"/>
      <c r="AA63" s="34"/>
      <c r="AB63" s="34"/>
      <c r="AC63" s="34"/>
      <c r="AD63" s="34"/>
      <c r="AE63" s="34"/>
      <c r="AF63" s="34"/>
    </row>
    <row r="64" spans="2:32" x14ac:dyDescent="0.35">
      <c r="B64" s="33"/>
      <c r="C64" s="34"/>
      <c r="D64" s="34">
        <f t="array" ref="D64:E67">LINEST(K62:K67,L62:L67,TRUE,TRUE)</f>
        <v>8.7203344167160974</v>
      </c>
      <c r="E64" s="34">
        <v>200.56421713099689</v>
      </c>
      <c r="F64" s="34"/>
      <c r="G64" s="28" t="s">
        <v>19</v>
      </c>
      <c r="H64" s="27">
        <v>13</v>
      </c>
      <c r="I64" s="27">
        <v>26.98</v>
      </c>
      <c r="J64" s="47">
        <f t="shared" si="6"/>
        <v>0.86433057478706143</v>
      </c>
      <c r="K64" s="61">
        <f t="shared" si="7"/>
        <v>3716.6214715843644</v>
      </c>
      <c r="L64" s="29">
        <v>397</v>
      </c>
      <c r="M64" s="34"/>
      <c r="N64" s="34"/>
      <c r="O64" s="34"/>
      <c r="P64" s="34"/>
      <c r="Q64" s="34"/>
      <c r="R64" s="34"/>
      <c r="S64" s="124"/>
      <c r="T64" s="34"/>
      <c r="U64" s="106"/>
      <c r="V64" s="106"/>
      <c r="W64" s="130"/>
      <c r="X64" s="34"/>
      <c r="Y64" s="34"/>
      <c r="Z64" s="34"/>
      <c r="AA64" s="34"/>
      <c r="AB64" s="34"/>
      <c r="AC64" s="34"/>
      <c r="AD64" s="34"/>
      <c r="AE64" s="34"/>
      <c r="AF64" s="34"/>
    </row>
    <row r="65" spans="2:32" x14ac:dyDescent="0.35">
      <c r="B65" s="33"/>
      <c r="C65" s="34"/>
      <c r="D65" s="34">
        <v>0.27004832371656518</v>
      </c>
      <c r="E65" s="34">
        <v>109.50069653454334</v>
      </c>
      <c r="F65" s="34"/>
      <c r="G65" s="35" t="s">
        <v>26</v>
      </c>
      <c r="H65" s="36">
        <v>14</v>
      </c>
      <c r="I65" s="36">
        <v>28.09</v>
      </c>
      <c r="J65" s="45">
        <f t="shared" si="6"/>
        <v>0.86932910407021868</v>
      </c>
      <c r="K65" s="62">
        <f t="shared" si="7"/>
        <v>3738.1151475019406</v>
      </c>
      <c r="L65" s="37">
        <v>406</v>
      </c>
      <c r="M65" s="34"/>
      <c r="N65" s="34"/>
      <c r="O65" s="34"/>
      <c r="P65" s="34"/>
      <c r="Q65" s="34"/>
      <c r="R65" s="34"/>
      <c r="S65" s="124"/>
      <c r="T65" s="34"/>
      <c r="U65" s="106"/>
      <c r="V65" s="106"/>
      <c r="W65" s="130"/>
      <c r="X65" s="34"/>
      <c r="Y65" s="34"/>
      <c r="Z65" s="34"/>
      <c r="AA65" s="34"/>
      <c r="AB65" s="34"/>
      <c r="AC65" s="34"/>
      <c r="AD65" s="34"/>
      <c r="AE65" s="34"/>
      <c r="AF65" s="34"/>
    </row>
    <row r="66" spans="2:32" x14ac:dyDescent="0.35">
      <c r="B66" s="33"/>
      <c r="C66" s="34"/>
      <c r="D66" s="34">
        <v>0.99617867545651317</v>
      </c>
      <c r="E66" s="34">
        <v>30.144226036304268</v>
      </c>
      <c r="F66" s="34"/>
      <c r="G66" s="40" t="s">
        <v>16</v>
      </c>
      <c r="H66" s="38">
        <v>50</v>
      </c>
      <c r="I66" s="38">
        <v>116</v>
      </c>
      <c r="J66" s="39">
        <f>((SQRT(1-(1/I66)^2*SIN(RADIANS(165))^2)+1/I66*COS(RADIANS(165)))/(1+1/I66))^2</f>
        <v>0.96667191113339779</v>
      </c>
      <c r="K66" s="63">
        <f t="shared" si="7"/>
        <v>4156.6892178736107</v>
      </c>
      <c r="L66" s="43">
        <v>454.5</v>
      </c>
      <c r="M66" s="34"/>
      <c r="N66" s="34"/>
      <c r="O66" s="34"/>
      <c r="P66" s="34"/>
      <c r="Q66" s="34"/>
      <c r="R66" s="34"/>
      <c r="S66" s="124"/>
      <c r="T66" s="34"/>
      <c r="U66" s="106"/>
      <c r="V66" s="106"/>
      <c r="W66" s="130"/>
      <c r="X66" s="34"/>
      <c r="Y66" s="34"/>
      <c r="Z66" s="34"/>
      <c r="AA66" s="34"/>
      <c r="AB66" s="34"/>
      <c r="AC66" s="34"/>
      <c r="AD66" s="34"/>
      <c r="AE66" s="34"/>
      <c r="AF66" s="34"/>
    </row>
    <row r="67" spans="2:32" ht="15" thickBot="1" x14ac:dyDescent="0.4">
      <c r="B67" s="33"/>
      <c r="C67" s="34"/>
      <c r="D67" s="34">
        <v>1042.7574670718977</v>
      </c>
      <c r="E67" s="34">
        <v>4</v>
      </c>
      <c r="F67" s="34"/>
      <c r="G67" s="41" t="s">
        <v>27</v>
      </c>
      <c r="H67" s="42">
        <v>78</v>
      </c>
      <c r="I67" s="42">
        <v>195.1</v>
      </c>
      <c r="J67" s="46">
        <f>((SQRT(1-(1/I67)^2*SIN(RADIANS(165))^2)+1/I67*COS(RADIANS(165)))/(1+1/I67))^2</f>
        <v>0.9800485317759321</v>
      </c>
      <c r="K67" s="64">
        <f t="shared" si="7"/>
        <v>4214.208686636508</v>
      </c>
      <c r="L67" s="44">
        <v>462</v>
      </c>
      <c r="M67" s="34"/>
      <c r="N67" s="34"/>
      <c r="O67" s="34"/>
      <c r="P67" s="34"/>
      <c r="Q67" s="34"/>
      <c r="R67" s="34"/>
      <c r="S67" s="124"/>
      <c r="T67" s="34"/>
      <c r="U67" s="106"/>
      <c r="V67" s="106"/>
      <c r="W67" s="130"/>
      <c r="X67" s="34"/>
      <c r="Y67" s="34"/>
      <c r="Z67" s="34"/>
      <c r="AA67" s="34"/>
      <c r="AB67" s="34"/>
      <c r="AC67" s="34"/>
      <c r="AD67" s="34"/>
      <c r="AE67" s="34"/>
      <c r="AF67" s="34"/>
    </row>
    <row r="68" spans="2:32" ht="14.25" customHeight="1" thickBot="1" x14ac:dyDescent="0.4">
      <c r="B68" s="33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2" t="s">
        <v>9</v>
      </c>
      <c r="N68" s="3" t="s">
        <v>10</v>
      </c>
      <c r="O68" s="2" t="s">
        <v>11</v>
      </c>
      <c r="P68" s="3" t="s">
        <v>12</v>
      </c>
      <c r="Q68" s="4" t="s">
        <v>13</v>
      </c>
      <c r="R68" s="34"/>
      <c r="S68" s="124"/>
      <c r="T68" s="34"/>
      <c r="U68" s="106"/>
      <c r="V68" s="106"/>
      <c r="W68" s="130"/>
      <c r="X68" s="8" t="s">
        <v>24</v>
      </c>
      <c r="Y68" s="9" t="s">
        <v>10</v>
      </c>
      <c r="Z68" s="8" t="s">
        <v>25</v>
      </c>
      <c r="AA68" s="9" t="s">
        <v>12</v>
      </c>
      <c r="AB68" s="10" t="s">
        <v>13</v>
      </c>
      <c r="AC68" s="34"/>
      <c r="AD68" s="34"/>
      <c r="AE68" s="34"/>
      <c r="AF68" s="34"/>
    </row>
    <row r="69" spans="2:32" x14ac:dyDescent="0.35">
      <c r="B69" s="33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5">
        <v>38.450000000000003</v>
      </c>
      <c r="N69" s="13">
        <f>M69*$B$1/10</f>
        <v>28.106950000000001</v>
      </c>
      <c r="O69" s="17">
        <v>39.270000000000003</v>
      </c>
      <c r="P69" s="5">
        <f>O69*$B$1/10</f>
        <v>28.70637</v>
      </c>
      <c r="Q69" s="16">
        <f>(($J$47/COS(RADIANS(0))*$N$69)+(1/COS(RADIANS(180-165))*$P$69))</f>
        <v>56.889220159669449</v>
      </c>
      <c r="R69" s="34"/>
      <c r="S69" s="124"/>
      <c r="T69" s="34"/>
      <c r="U69" s="106"/>
      <c r="V69" s="106"/>
      <c r="W69" s="130"/>
      <c r="X69" s="23">
        <v>65.209999999999994</v>
      </c>
      <c r="Y69" s="13">
        <f>X69*$E$1/10</f>
        <v>17.600178999999997</v>
      </c>
      <c r="Z69" s="23">
        <v>70.73</v>
      </c>
      <c r="AA69" s="5">
        <f>Z69*$E$1/10</f>
        <v>19.090026999999999</v>
      </c>
      <c r="AB69" s="12">
        <f>(($J$45/COS(RADIANS(0))*Y69)+(1/COS(RADIANS(180-165))*AA69))</f>
        <v>34.975823067910518</v>
      </c>
      <c r="AC69" s="34"/>
      <c r="AD69" s="34"/>
      <c r="AE69" s="34"/>
      <c r="AF69" s="34"/>
    </row>
    <row r="70" spans="2:32" x14ac:dyDescent="0.35">
      <c r="B70" s="33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124"/>
      <c r="T70" s="34"/>
      <c r="U70" s="106"/>
      <c r="V70" s="106"/>
      <c r="W70" s="130"/>
      <c r="X70" s="34"/>
      <c r="Y70" s="34"/>
      <c r="Z70" s="34"/>
      <c r="AA70" s="34"/>
      <c r="AB70" s="34"/>
      <c r="AC70" s="34"/>
      <c r="AD70" s="34"/>
      <c r="AE70" s="34"/>
      <c r="AF70" s="34"/>
    </row>
    <row r="71" spans="2:32" ht="15" thickBot="1" x14ac:dyDescent="0.4">
      <c r="B71" s="33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124"/>
      <c r="T71" s="34"/>
      <c r="U71" s="106"/>
      <c r="V71" s="106"/>
      <c r="W71" s="130"/>
      <c r="X71" s="34"/>
      <c r="Y71" s="34"/>
      <c r="Z71" s="34"/>
      <c r="AA71" s="34"/>
      <c r="AB71" s="34"/>
      <c r="AC71" s="34"/>
      <c r="AD71" s="34"/>
      <c r="AE71" s="34"/>
      <c r="AF71" s="34"/>
    </row>
    <row r="72" spans="2:32" ht="44" thickBot="1" x14ac:dyDescent="0.4">
      <c r="B72" s="33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11" t="s">
        <v>33</v>
      </c>
      <c r="N72" s="1" t="s">
        <v>17</v>
      </c>
      <c r="O72" s="2" t="s">
        <v>18</v>
      </c>
      <c r="P72" s="3" t="s">
        <v>8</v>
      </c>
      <c r="Q72" s="79" t="s">
        <v>14</v>
      </c>
      <c r="R72" s="75"/>
      <c r="S72" s="125"/>
      <c r="T72" s="93" t="s">
        <v>39</v>
      </c>
      <c r="U72" s="94" t="s">
        <v>37</v>
      </c>
      <c r="V72" s="106"/>
      <c r="W72" s="130"/>
      <c r="X72" s="6"/>
      <c r="Y72" s="7" t="s">
        <v>20</v>
      </c>
      <c r="Z72" s="8" t="s">
        <v>21</v>
      </c>
      <c r="AA72" s="9" t="s">
        <v>8</v>
      </c>
      <c r="AB72" s="96" t="s">
        <v>14</v>
      </c>
      <c r="AC72" s="97"/>
      <c r="AD72" s="97"/>
      <c r="AE72" s="101" t="s">
        <v>39</v>
      </c>
      <c r="AF72" s="34"/>
    </row>
    <row r="73" spans="2:32" ht="15" thickBot="1" x14ac:dyDescent="0.4">
      <c r="B73" s="33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24"/>
      <c r="N73" s="18">
        <v>454.5</v>
      </c>
      <c r="O73" s="19">
        <v>446.5</v>
      </c>
      <c r="P73" s="22">
        <f>(N73-O73)*D64</f>
        <v>69.762675333728779</v>
      </c>
      <c r="Q73" s="83">
        <f>P73*10^3/Q69</f>
        <v>1226.2898865185311</v>
      </c>
      <c r="R73" s="86" t="s">
        <v>40</v>
      </c>
      <c r="S73" s="126">
        <f>Q73/D64*D65</f>
        <v>37.975324387801805</v>
      </c>
      <c r="T73" s="115">
        <v>1349</v>
      </c>
      <c r="U73" s="111">
        <v>1407</v>
      </c>
      <c r="V73" s="86" t="s">
        <v>40</v>
      </c>
      <c r="W73" s="130">
        <v>47</v>
      </c>
      <c r="X73" s="21"/>
      <c r="Y73" s="18">
        <v>397</v>
      </c>
      <c r="Z73" s="19">
        <v>392</v>
      </c>
      <c r="AA73" s="20">
        <f>(Y73-Z73)*D64</f>
        <v>43.601672083580489</v>
      </c>
      <c r="AB73" s="98">
        <f>AA73*10^3/AB69</f>
        <v>1246.6231887930603</v>
      </c>
      <c r="AC73" s="86" t="s">
        <v>40</v>
      </c>
      <c r="AD73" s="87">
        <f>AB73/D64*D65</f>
        <v>38.604999114992673</v>
      </c>
      <c r="AE73" s="89">
        <v>10.29</v>
      </c>
      <c r="AF73" s="34"/>
    </row>
    <row r="74" spans="2:32" ht="15" thickBot="1" x14ac:dyDescent="0.4">
      <c r="B74" s="33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73"/>
      <c r="Q74" s="90"/>
      <c r="R74" s="88"/>
      <c r="S74" s="127"/>
      <c r="T74" s="115"/>
      <c r="U74" s="111"/>
      <c r="V74" s="107"/>
      <c r="W74" s="131"/>
      <c r="X74" s="71"/>
      <c r="Y74" s="34"/>
      <c r="Z74" s="34"/>
      <c r="AA74" s="73"/>
      <c r="AB74" s="90"/>
      <c r="AC74" s="88"/>
      <c r="AD74" s="88"/>
      <c r="AE74" s="89"/>
      <c r="AF74" s="34"/>
    </row>
    <row r="75" spans="2:32" ht="15" thickBot="1" x14ac:dyDescent="0.4">
      <c r="B75" s="33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74"/>
      <c r="Q75" s="103">
        <f>Q73*$B$1*10^(-7)*10^3</f>
        <v>0.89641790704504609</v>
      </c>
      <c r="R75" s="104" t="s">
        <v>40</v>
      </c>
      <c r="S75" s="128">
        <f>S73*$B$1*10^(-7)*10^3</f>
        <v>2.7759962127483113E-2</v>
      </c>
      <c r="T75" s="116">
        <f>T73*$B$1*10^(-7)*10^3</f>
        <v>0.98611899999999997</v>
      </c>
      <c r="U75" s="112">
        <f>U73*$B$1*10^(-7)*10^3</f>
        <v>1.0285170000000001</v>
      </c>
      <c r="V75" s="109" t="s">
        <v>40</v>
      </c>
      <c r="W75" s="132">
        <f>W73*$B$1*10^(-7)*10^3</f>
        <v>3.4356999999999999E-2</v>
      </c>
      <c r="X75" s="105" t="s">
        <v>36</v>
      </c>
      <c r="Y75" s="34"/>
      <c r="Z75" s="34"/>
      <c r="AA75" s="74"/>
      <c r="AB75" s="99">
        <f>AB73*$E$1/10</f>
        <v>336.46359865524698</v>
      </c>
      <c r="AC75" s="91" t="s">
        <v>40</v>
      </c>
      <c r="AD75" s="102">
        <f>AD73*$E$1*10^(-7)*10^6</f>
        <v>10.419489261136521</v>
      </c>
      <c r="AE75" s="100">
        <f>AE73*$E$1/10</f>
        <v>2.7772709999999998</v>
      </c>
      <c r="AF75" s="85" t="s">
        <v>38</v>
      </c>
    </row>
    <row r="76" spans="2:32" x14ac:dyDescent="0.35">
      <c r="B76" s="33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124"/>
      <c r="T76" s="34"/>
      <c r="U76" s="106"/>
      <c r="V76" s="106"/>
      <c r="W76" s="130"/>
      <c r="X76" s="34"/>
      <c r="Y76" s="34"/>
      <c r="Z76" s="34"/>
      <c r="AA76" s="34"/>
      <c r="AB76" s="34"/>
      <c r="AC76" s="34"/>
      <c r="AD76" s="34"/>
      <c r="AE76" s="34"/>
      <c r="AF76" s="34"/>
    </row>
    <row r="77" spans="2:32" ht="15" thickBot="1" x14ac:dyDescent="0.4">
      <c r="B77" s="70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84"/>
      <c r="S77" s="129"/>
      <c r="T77" s="71"/>
      <c r="U77" s="108"/>
      <c r="V77" s="108"/>
      <c r="W77" s="131"/>
      <c r="X77" s="71"/>
      <c r="Y77" s="71"/>
      <c r="Z77" s="71"/>
      <c r="AA77" s="71"/>
      <c r="AB77" s="71"/>
      <c r="AC77" s="71"/>
      <c r="AD77" s="71"/>
      <c r="AE77" s="71"/>
      <c r="AF77" s="34"/>
    </row>
    <row r="78" spans="2:32" ht="15" thickBot="1" x14ac:dyDescent="0.4">
      <c r="U78" s="110"/>
      <c r="V78" s="110"/>
      <c r="W78" s="133"/>
      <c r="AD78" s="34"/>
      <c r="AF78" s="34"/>
    </row>
    <row r="79" spans="2:32" ht="15" thickBot="1" x14ac:dyDescent="0.4">
      <c r="B79" s="68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123"/>
      <c r="T79" s="69"/>
      <c r="U79" s="88"/>
      <c r="V79" s="88"/>
      <c r="W79" s="120"/>
      <c r="X79" s="69"/>
      <c r="Y79" s="69"/>
      <c r="Z79" s="69"/>
      <c r="AA79" s="69"/>
      <c r="AB79" s="69"/>
      <c r="AC79" s="69"/>
      <c r="AD79" s="69"/>
      <c r="AE79" s="69"/>
      <c r="AF79" s="34"/>
    </row>
    <row r="80" spans="2:32" ht="29.5" thickBot="1" x14ac:dyDescent="0.4">
      <c r="B80" s="33"/>
      <c r="C80" s="65" t="s">
        <v>28</v>
      </c>
      <c r="D80" s="66">
        <v>4.7</v>
      </c>
      <c r="E80" s="67" t="s">
        <v>29</v>
      </c>
      <c r="F80" s="34"/>
      <c r="G80" s="30" t="s">
        <v>1</v>
      </c>
      <c r="H80" s="25" t="s">
        <v>2</v>
      </c>
      <c r="I80" s="25" t="s">
        <v>3</v>
      </c>
      <c r="J80" s="25" t="s">
        <v>4</v>
      </c>
      <c r="K80" s="25" t="s">
        <v>5</v>
      </c>
      <c r="L80" s="26" t="s">
        <v>6</v>
      </c>
      <c r="M80" s="34"/>
      <c r="N80" s="34"/>
      <c r="O80" s="34"/>
      <c r="P80" s="34"/>
      <c r="Q80" s="34"/>
      <c r="R80" s="34"/>
      <c r="S80" s="124"/>
      <c r="T80" s="34"/>
      <c r="U80" s="106"/>
      <c r="V80" s="106"/>
      <c r="W80" s="130"/>
      <c r="X80" s="34"/>
      <c r="Y80" s="34"/>
      <c r="Z80" s="34"/>
      <c r="AA80" s="34"/>
      <c r="AB80" s="34"/>
      <c r="AC80" s="34"/>
      <c r="AD80" s="34"/>
      <c r="AE80" s="34"/>
      <c r="AF80" s="34"/>
    </row>
    <row r="81" spans="2:32" x14ac:dyDescent="0.35">
      <c r="B81" s="33"/>
      <c r="C81" s="34"/>
      <c r="D81" s="34"/>
      <c r="E81" s="34"/>
      <c r="F81" s="34"/>
      <c r="G81" s="53" t="s">
        <v>23</v>
      </c>
      <c r="H81" s="54">
        <v>6</v>
      </c>
      <c r="I81" s="54">
        <v>12.010999999999999</v>
      </c>
      <c r="J81" s="55">
        <f>((SQRT(1-(1/I81)^2*SIN(RADIANS(165))^2)+1/I81*COS(RADIANS(165)))/(1+1/I81))^2</f>
        <v>0.72027206504080021</v>
      </c>
      <c r="K81" s="59">
        <f>$D$80*1000*J81</f>
        <v>3385.2787056917609</v>
      </c>
      <c r="L81" s="56">
        <v>317.5</v>
      </c>
      <c r="M81" s="34"/>
      <c r="N81" s="34"/>
      <c r="O81" s="34"/>
      <c r="P81" s="34"/>
      <c r="Q81" s="34"/>
      <c r="R81" s="34"/>
      <c r="S81" s="124"/>
      <c r="T81" s="34"/>
      <c r="U81" s="106"/>
      <c r="V81" s="106"/>
      <c r="W81" s="130"/>
      <c r="X81" s="34"/>
      <c r="Y81" s="34"/>
      <c r="Z81" s="34"/>
      <c r="AA81" s="34"/>
      <c r="AB81" s="34"/>
      <c r="AC81" s="34"/>
      <c r="AD81" s="34"/>
      <c r="AE81" s="34"/>
      <c r="AF81" s="34"/>
    </row>
    <row r="82" spans="2:32" x14ac:dyDescent="0.35">
      <c r="B82" s="33"/>
      <c r="C82" s="34"/>
      <c r="D82" s="34"/>
      <c r="E82" s="34"/>
      <c r="F82" s="34"/>
      <c r="G82" s="48" t="s">
        <v>7</v>
      </c>
      <c r="H82" s="49">
        <v>8</v>
      </c>
      <c r="I82" s="50">
        <v>15.999000000000001</v>
      </c>
      <c r="J82" s="51">
        <f t="shared" ref="J82:J83" si="8">((SQRT(1-(1/I82)^2*SIN(RADIANS(165))^2)+1/I82*COS(RADIANS(165)))/(1+1/I82))^2</f>
        <v>0.78185798881983415</v>
      </c>
      <c r="K82" s="60">
        <f t="shared" ref="K82:K83" si="9">$D$80*1000*J82</f>
        <v>3674.7325474532204</v>
      </c>
      <c r="L82" s="52">
        <v>346.5</v>
      </c>
      <c r="M82" s="34"/>
      <c r="N82" s="34"/>
      <c r="O82" s="34"/>
      <c r="P82" s="34"/>
      <c r="Q82" s="34"/>
      <c r="R82" s="34"/>
      <c r="S82" s="124"/>
      <c r="T82" s="34"/>
      <c r="U82" s="106"/>
      <c r="V82" s="106"/>
      <c r="W82" s="130"/>
      <c r="X82" s="34"/>
      <c r="Y82" s="34"/>
      <c r="Z82" s="34"/>
      <c r="AA82" s="34"/>
      <c r="AB82" s="34"/>
      <c r="AC82" s="34"/>
      <c r="AD82" s="34"/>
      <c r="AE82" s="34"/>
      <c r="AF82" s="34"/>
    </row>
    <row r="83" spans="2:32" x14ac:dyDescent="0.35">
      <c r="B83" s="33"/>
      <c r="C83" s="34"/>
      <c r="D83" s="34">
        <f t="array" ref="D83:E86">LINEST(K81:K84,L81:L84,TRUE,TRUE)</f>
        <v>10.028282738820089</v>
      </c>
      <c r="E83" s="34">
        <v>215.99440361817187</v>
      </c>
      <c r="F83" s="34"/>
      <c r="G83" s="28" t="s">
        <v>19</v>
      </c>
      <c r="H83" s="27">
        <v>13</v>
      </c>
      <c r="I83" s="27">
        <v>26.98</v>
      </c>
      <c r="J83" s="47">
        <f t="shared" si="8"/>
        <v>0.86433057478706143</v>
      </c>
      <c r="K83" s="61">
        <f t="shared" si="9"/>
        <v>4062.3537014991889</v>
      </c>
      <c r="L83" s="29">
        <v>378</v>
      </c>
      <c r="M83" s="34"/>
      <c r="N83" s="34"/>
      <c r="O83" s="34"/>
      <c r="P83" s="34"/>
      <c r="Q83" s="34"/>
      <c r="R83" s="34"/>
      <c r="S83" s="124"/>
      <c r="T83" s="34"/>
      <c r="U83" s="106"/>
      <c r="V83" s="106"/>
      <c r="W83" s="130"/>
      <c r="X83" s="34"/>
      <c r="Y83" s="34"/>
      <c r="Z83" s="34"/>
      <c r="AA83" s="34"/>
      <c r="AB83" s="34"/>
      <c r="AC83" s="34"/>
      <c r="AD83" s="34"/>
      <c r="AE83" s="34"/>
      <c r="AF83" s="34"/>
    </row>
    <row r="84" spans="2:32" x14ac:dyDescent="0.35">
      <c r="B84" s="33"/>
      <c r="C84" s="34"/>
      <c r="D84" s="34">
        <v>0.52999498018827829</v>
      </c>
      <c r="E84" s="34">
        <v>196.90374545342524</v>
      </c>
      <c r="F84" s="34"/>
      <c r="G84" s="40" t="s">
        <v>16</v>
      </c>
      <c r="H84" s="38">
        <v>50</v>
      </c>
      <c r="I84" s="38">
        <v>116</v>
      </c>
      <c r="J84" s="39">
        <f>((SQRT(1-(1/I84)^2*SIN(RADIANS(165))^2)+1/I84*COS(RADIANS(165)))/(1+1/I84))^2</f>
        <v>0.96667191113339779</v>
      </c>
      <c r="K84" s="63">
        <f>$D$80*1000*J84</f>
        <v>4543.3579823269692</v>
      </c>
      <c r="L84" s="43">
        <v>434</v>
      </c>
      <c r="M84" s="34"/>
      <c r="N84" s="34"/>
      <c r="O84" s="34"/>
      <c r="P84" s="34"/>
      <c r="Q84" s="34"/>
      <c r="R84" s="34"/>
      <c r="S84" s="124"/>
      <c r="T84" s="34"/>
      <c r="U84" s="106"/>
      <c r="V84" s="106"/>
      <c r="W84" s="130"/>
      <c r="X84" s="34"/>
      <c r="Y84" s="34"/>
      <c r="Z84" s="34"/>
      <c r="AA84" s="34"/>
      <c r="AB84" s="34"/>
      <c r="AC84" s="34"/>
      <c r="AD84" s="34"/>
      <c r="AE84" s="34"/>
      <c r="AF84" s="34"/>
    </row>
    <row r="85" spans="2:32" ht="15" thickBot="1" x14ac:dyDescent="0.4">
      <c r="B85" s="33"/>
      <c r="C85" s="34"/>
      <c r="D85" s="34">
        <v>0.99444478282660387</v>
      </c>
      <c r="E85" s="34">
        <v>45.790155400265043</v>
      </c>
      <c r="F85" s="34"/>
      <c r="G85" s="41" t="s">
        <v>27</v>
      </c>
      <c r="H85" s="42">
        <v>78</v>
      </c>
      <c r="I85" s="42">
        <v>195.1</v>
      </c>
      <c r="J85" s="46">
        <f>((SQRT(1-(1/I85)^2*SIN(RADIANS(165))^2)+1/I85*COS(RADIANS(165)))/(1+1/I85))^2</f>
        <v>0.9800485317759321</v>
      </c>
      <c r="K85" s="64">
        <f>$D$80*1000*J85</f>
        <v>4606.2280993468812</v>
      </c>
      <c r="L85" s="44"/>
      <c r="M85" s="34"/>
      <c r="N85" s="34"/>
      <c r="O85" s="34"/>
      <c r="P85" s="34"/>
      <c r="Q85" s="34"/>
      <c r="R85" s="34"/>
      <c r="S85" s="124"/>
      <c r="T85" s="34"/>
      <c r="U85" s="106"/>
      <c r="V85" s="106"/>
      <c r="W85" s="130"/>
      <c r="X85" s="34"/>
      <c r="Y85" s="34"/>
      <c r="Z85" s="34"/>
      <c r="AA85" s="34"/>
      <c r="AB85" s="34"/>
      <c r="AC85" s="34"/>
      <c r="AD85" s="34"/>
      <c r="AE85" s="34"/>
      <c r="AF85" s="34"/>
    </row>
    <row r="86" spans="2:32" ht="15" thickBot="1" x14ac:dyDescent="0.4">
      <c r="B86" s="33"/>
      <c r="C86" s="34"/>
      <c r="D86" s="34">
        <v>358.02192849956941</v>
      </c>
      <c r="E86" s="34">
        <v>2</v>
      </c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124"/>
      <c r="T86" s="34"/>
      <c r="U86" s="106"/>
      <c r="V86" s="106"/>
      <c r="W86" s="130"/>
      <c r="X86" s="34"/>
      <c r="Y86" s="34"/>
      <c r="Z86" s="34"/>
      <c r="AA86" s="34"/>
      <c r="AB86" s="34"/>
      <c r="AC86" s="34"/>
      <c r="AD86" s="34"/>
      <c r="AE86" s="34"/>
      <c r="AF86" s="34"/>
    </row>
    <row r="87" spans="2:32" ht="13.5" customHeight="1" thickBot="1" x14ac:dyDescent="0.4">
      <c r="B87" s="33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2" t="s">
        <v>9</v>
      </c>
      <c r="N87" s="3" t="s">
        <v>10</v>
      </c>
      <c r="O87" s="2" t="s">
        <v>11</v>
      </c>
      <c r="P87" s="3" t="s">
        <v>12</v>
      </c>
      <c r="Q87" s="4" t="s">
        <v>13</v>
      </c>
      <c r="R87" s="34"/>
      <c r="S87" s="124"/>
      <c r="T87" s="34"/>
      <c r="U87" s="106"/>
      <c r="V87" s="106"/>
      <c r="W87" s="130"/>
      <c r="X87" s="8" t="s">
        <v>24</v>
      </c>
      <c r="Y87" s="9" t="s">
        <v>10</v>
      </c>
      <c r="Z87" s="8" t="s">
        <v>25</v>
      </c>
      <c r="AA87" s="9" t="s">
        <v>12</v>
      </c>
      <c r="AB87" s="10" t="s">
        <v>13</v>
      </c>
      <c r="AC87" s="34"/>
      <c r="AD87" s="34"/>
      <c r="AE87" s="34"/>
      <c r="AF87" s="34"/>
    </row>
    <row r="88" spans="2:32" x14ac:dyDescent="0.35">
      <c r="B88" s="33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5">
        <v>36.340000000000003</v>
      </c>
      <c r="N88" s="13">
        <f>M88*$B$1/10</f>
        <v>26.564540000000001</v>
      </c>
      <c r="O88" s="17">
        <v>37.130000000000003</v>
      </c>
      <c r="P88" s="5">
        <f>O88*$B$1/10</f>
        <v>27.142029999999998</v>
      </c>
      <c r="Q88" s="16">
        <f>(($J$47/COS(RADIANS(0))*$N$88)+(1/COS(RADIANS(180-165))*$P$88))</f>
        <v>53.778691797155474</v>
      </c>
      <c r="R88" s="34"/>
      <c r="S88" s="124"/>
      <c r="T88" s="34"/>
      <c r="U88" s="106"/>
      <c r="V88" s="106"/>
      <c r="W88" s="130"/>
      <c r="X88" s="23">
        <v>61.11</v>
      </c>
      <c r="Y88" s="13">
        <f>X88*$E$1/10</f>
        <v>16.493589</v>
      </c>
      <c r="Z88" s="23">
        <v>66.319999999999993</v>
      </c>
      <c r="AA88" s="5">
        <f>Z88*$E$1/10</f>
        <v>17.899767999999998</v>
      </c>
      <c r="AB88" s="12">
        <f>(($J$45/COS(RADIANS(0))*Y88)+(1/COS(RADIANS(180-165))*AA88))</f>
        <v>32.787116705938182</v>
      </c>
      <c r="AC88" s="34"/>
      <c r="AD88" s="34"/>
      <c r="AE88" s="34"/>
      <c r="AF88" s="34"/>
    </row>
    <row r="89" spans="2:32" x14ac:dyDescent="0.35">
      <c r="B89" s="33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124"/>
      <c r="T89" s="34"/>
      <c r="U89" s="106"/>
      <c r="V89" s="106"/>
      <c r="W89" s="130"/>
      <c r="X89" s="34"/>
      <c r="Y89" s="34"/>
      <c r="Z89" s="34"/>
      <c r="AA89" s="34"/>
      <c r="AB89" s="34"/>
      <c r="AC89" s="34"/>
      <c r="AD89" s="34"/>
      <c r="AE89" s="34"/>
      <c r="AF89" s="34"/>
    </row>
    <row r="90" spans="2:32" ht="15" thickBot="1" x14ac:dyDescent="0.4">
      <c r="B90" s="33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124"/>
      <c r="T90" s="34"/>
      <c r="U90" s="106"/>
      <c r="V90" s="106"/>
      <c r="W90" s="130"/>
      <c r="X90" s="34"/>
      <c r="Y90" s="34"/>
      <c r="Z90" s="34"/>
      <c r="AA90" s="34"/>
      <c r="AB90" s="34"/>
      <c r="AC90" s="34"/>
      <c r="AD90" s="34"/>
      <c r="AE90" s="34"/>
      <c r="AF90" s="34"/>
    </row>
    <row r="91" spans="2:32" ht="44" thickBot="1" x14ac:dyDescent="0.4">
      <c r="B91" s="33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11" t="s">
        <v>34</v>
      </c>
      <c r="N91" s="1" t="s">
        <v>17</v>
      </c>
      <c r="O91" s="2" t="s">
        <v>18</v>
      </c>
      <c r="P91" s="3" t="s">
        <v>8</v>
      </c>
      <c r="Q91" s="79" t="s">
        <v>14</v>
      </c>
      <c r="R91" s="75"/>
      <c r="S91" s="125"/>
      <c r="T91" s="93" t="s">
        <v>39</v>
      </c>
      <c r="U91" s="94" t="s">
        <v>37</v>
      </c>
      <c r="V91" s="106"/>
      <c r="W91" s="130"/>
      <c r="X91" s="6"/>
      <c r="Y91" s="7" t="s">
        <v>20</v>
      </c>
      <c r="Z91" s="8" t="s">
        <v>21</v>
      </c>
      <c r="AA91" s="9" t="s">
        <v>8</v>
      </c>
      <c r="AB91" s="96" t="s">
        <v>14</v>
      </c>
      <c r="AC91" s="97"/>
      <c r="AD91" s="97"/>
      <c r="AE91" s="101" t="s">
        <v>39</v>
      </c>
      <c r="AF91" s="34"/>
    </row>
    <row r="92" spans="2:32" ht="15" thickBot="1" x14ac:dyDescent="0.4">
      <c r="B92" s="33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24"/>
      <c r="N92" s="18">
        <v>434</v>
      </c>
      <c r="O92" s="19">
        <v>425.5</v>
      </c>
      <c r="P92" s="22">
        <f>(N92-O92)*D83</f>
        <v>85.240403279970749</v>
      </c>
      <c r="Q92" s="83">
        <f>P92*10^3/Q88</f>
        <v>1585.021881928325</v>
      </c>
      <c r="R92" s="86" t="s">
        <v>40</v>
      </c>
      <c r="S92" s="126">
        <f>Q92/D83*D84</f>
        <v>83.768443988789002</v>
      </c>
      <c r="T92" s="113">
        <v>1497</v>
      </c>
      <c r="U92" s="111">
        <v>1661</v>
      </c>
      <c r="V92" s="86" t="s">
        <v>40</v>
      </c>
      <c r="W92" s="130">
        <v>66</v>
      </c>
      <c r="X92" s="21"/>
      <c r="Y92" s="18">
        <v>378</v>
      </c>
      <c r="Z92" s="19">
        <v>373.5</v>
      </c>
      <c r="AA92" s="20">
        <f>(Y92-Z92)*D83</f>
        <v>45.127272324690395</v>
      </c>
      <c r="AB92" s="98">
        <f>AA92*10^3/AB88</f>
        <v>1376.3720893614668</v>
      </c>
      <c r="AC92" s="86" t="s">
        <v>40</v>
      </c>
      <c r="AD92" s="87">
        <f>AB92/D83*D84</f>
        <v>72.741297511388083</v>
      </c>
      <c r="AE92" s="89">
        <v>9.3000000000000007</v>
      </c>
      <c r="AF92" s="34"/>
    </row>
    <row r="93" spans="2:32" ht="15" thickBot="1" x14ac:dyDescent="0.4">
      <c r="B93" s="33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73"/>
      <c r="Q93" s="90"/>
      <c r="R93" s="88"/>
      <c r="S93" s="127"/>
      <c r="T93" s="113"/>
      <c r="U93" s="111"/>
      <c r="V93" s="107"/>
      <c r="W93" s="131"/>
      <c r="X93" s="71"/>
      <c r="Y93" s="34"/>
      <c r="Z93" s="34"/>
      <c r="AA93" s="73"/>
      <c r="AB93" s="90"/>
      <c r="AC93" s="88"/>
      <c r="AD93" s="88"/>
      <c r="AE93" s="89"/>
      <c r="AF93" s="34"/>
    </row>
    <row r="94" spans="2:32" ht="15" thickBot="1" x14ac:dyDescent="0.4">
      <c r="B94" s="33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74"/>
      <c r="Q94" s="103">
        <f>Q92*$B$1*10^(-7)*10^3</f>
        <v>1.1586509956896056</v>
      </c>
      <c r="R94" s="104" t="s">
        <v>40</v>
      </c>
      <c r="S94" s="128">
        <f>S92*$B$1*10^(-7)*10^3</f>
        <v>6.1234732555804756E-2</v>
      </c>
      <c r="T94" s="114">
        <f>T92*$B$1*10^(-7)*10^3</f>
        <v>1.0943069999999999</v>
      </c>
      <c r="U94" s="112">
        <f>U92*$B$1*10^(-7)*10^3</f>
        <v>1.2141909999999998</v>
      </c>
      <c r="V94" s="109" t="s">
        <v>40</v>
      </c>
      <c r="W94" s="132">
        <f>W92*$B$1*10^(-7)*10^3</f>
        <v>4.8245999999999997E-2</v>
      </c>
      <c r="X94" s="105" t="s">
        <v>36</v>
      </c>
      <c r="Y94" s="34"/>
      <c r="Z94" s="34"/>
      <c r="AA94" s="74"/>
      <c r="AB94" s="99">
        <f>AB92*$E$1/10</f>
        <v>371.4828269186599</v>
      </c>
      <c r="AC94" s="91" t="s">
        <v>40</v>
      </c>
      <c r="AD94" s="102">
        <f>AD92*$E$1*10^(-7)*10^6</f>
        <v>19.63287619832364</v>
      </c>
      <c r="AE94" s="100">
        <f>AE92*$E$1/10</f>
        <v>2.5100699999999998</v>
      </c>
      <c r="AF94" s="85" t="s">
        <v>38</v>
      </c>
    </row>
    <row r="95" spans="2:32" x14ac:dyDescent="0.35">
      <c r="B95" s="33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124"/>
      <c r="T95" s="34"/>
      <c r="U95" s="106"/>
      <c r="V95" s="106"/>
      <c r="W95" s="130"/>
      <c r="X95" s="34"/>
      <c r="Y95" s="34"/>
      <c r="Z95" s="34"/>
      <c r="AA95" s="34"/>
      <c r="AB95" s="34"/>
      <c r="AC95" s="34"/>
      <c r="AD95" s="34"/>
      <c r="AE95" s="34"/>
      <c r="AF95" s="34"/>
    </row>
    <row r="96" spans="2:32" ht="15" thickBot="1" x14ac:dyDescent="0.4">
      <c r="B96" s="70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84"/>
      <c r="S96" s="129"/>
      <c r="T96" s="71"/>
      <c r="U96" s="108"/>
      <c r="V96" s="108"/>
      <c r="W96" s="131"/>
      <c r="X96" s="71"/>
      <c r="Y96" s="71"/>
      <c r="Z96" s="71"/>
      <c r="AA96" s="71"/>
      <c r="AB96" s="71"/>
      <c r="AC96" s="71"/>
      <c r="AD96" s="71"/>
      <c r="AE96" s="71"/>
      <c r="AF96" s="34"/>
    </row>
    <row r="97" spans="2:32" ht="15" thickBot="1" x14ac:dyDescent="0.4">
      <c r="U97" s="110"/>
      <c r="V97" s="110"/>
      <c r="W97" s="133"/>
      <c r="AD97" s="34"/>
      <c r="AF97" s="34"/>
    </row>
    <row r="98" spans="2:32" ht="15" thickBot="1" x14ac:dyDescent="0.4">
      <c r="B98" s="68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123"/>
      <c r="T98" s="69"/>
      <c r="U98" s="88"/>
      <c r="V98" s="88"/>
      <c r="W98" s="120"/>
      <c r="X98" s="69"/>
      <c r="Y98" s="69"/>
      <c r="Z98" s="69"/>
      <c r="AA98" s="69"/>
      <c r="AB98" s="69"/>
      <c r="AC98" s="69"/>
      <c r="AD98" s="69"/>
      <c r="AE98" s="69"/>
      <c r="AF98" s="34"/>
    </row>
    <row r="99" spans="2:32" ht="29.5" thickBot="1" x14ac:dyDescent="0.4">
      <c r="B99" s="33"/>
      <c r="C99" s="65" t="s">
        <v>28</v>
      </c>
      <c r="D99" s="72">
        <v>5</v>
      </c>
      <c r="E99" s="67" t="s">
        <v>29</v>
      </c>
      <c r="F99" s="34"/>
      <c r="G99" s="30" t="s">
        <v>1</v>
      </c>
      <c r="H99" s="25" t="s">
        <v>2</v>
      </c>
      <c r="I99" s="25" t="s">
        <v>3</v>
      </c>
      <c r="J99" s="25" t="s">
        <v>4</v>
      </c>
      <c r="K99" s="25" t="s">
        <v>5</v>
      </c>
      <c r="L99" s="26" t="s">
        <v>6</v>
      </c>
      <c r="M99" s="34"/>
      <c r="N99" s="34"/>
      <c r="O99" s="34"/>
      <c r="P99" s="34"/>
      <c r="Q99" s="34"/>
      <c r="R99" s="34"/>
      <c r="S99" s="124"/>
      <c r="T99" s="34"/>
      <c r="U99" s="106"/>
      <c r="V99" s="106"/>
      <c r="W99" s="130"/>
      <c r="X99" s="34"/>
      <c r="Y99" s="34"/>
      <c r="Z99" s="34"/>
      <c r="AA99" s="34"/>
      <c r="AB99" s="34"/>
      <c r="AC99" s="34"/>
      <c r="AD99" s="34"/>
      <c r="AE99" s="34"/>
      <c r="AF99" s="34"/>
    </row>
    <row r="100" spans="2:32" x14ac:dyDescent="0.35">
      <c r="B100" s="33"/>
      <c r="C100" s="34"/>
      <c r="D100" s="34"/>
      <c r="E100" s="34"/>
      <c r="F100" s="34"/>
      <c r="G100" s="53" t="s">
        <v>23</v>
      </c>
      <c r="H100" s="54">
        <v>6</v>
      </c>
      <c r="I100" s="54">
        <v>12.010999999999999</v>
      </c>
      <c r="J100" s="55">
        <f>((SQRT(1-(1/I100)^2*SIN(RADIANS(165))^2)+1/I100*COS(RADIANS(165)))/(1+1/I100))^2</f>
        <v>0.72027206504080021</v>
      </c>
      <c r="K100" s="59">
        <f>$D$99*1000*J100</f>
        <v>3601.3603252040011</v>
      </c>
      <c r="L100" s="56">
        <v>339</v>
      </c>
      <c r="M100" s="34"/>
      <c r="N100" s="34"/>
      <c r="O100" s="34"/>
      <c r="P100" s="34"/>
      <c r="Q100" s="34"/>
      <c r="R100" s="34"/>
      <c r="S100" s="124"/>
      <c r="T100" s="34"/>
      <c r="U100" s="106"/>
      <c r="V100" s="106"/>
      <c r="W100" s="130"/>
      <c r="X100" s="34"/>
      <c r="Y100" s="34"/>
      <c r="Z100" s="34"/>
      <c r="AA100" s="34"/>
      <c r="AB100" s="34"/>
      <c r="AC100" s="34"/>
      <c r="AD100" s="34"/>
      <c r="AE100" s="34"/>
      <c r="AF100" s="34"/>
    </row>
    <row r="101" spans="2:32" x14ac:dyDescent="0.35">
      <c r="B101" s="33"/>
      <c r="C101" s="34"/>
      <c r="D101" s="34"/>
      <c r="E101" s="34"/>
      <c r="F101" s="34"/>
      <c r="G101" s="48" t="s">
        <v>7</v>
      </c>
      <c r="H101" s="49">
        <v>8</v>
      </c>
      <c r="I101" s="50">
        <v>15.999000000000001</v>
      </c>
      <c r="J101" s="51">
        <f t="shared" ref="J101:J103" si="10">((SQRT(1-(1/I101)^2*SIN(RADIANS(165))^2)+1/I101*COS(RADIANS(165)))/(1+1/I101))^2</f>
        <v>0.78185798881983415</v>
      </c>
      <c r="K101" s="60">
        <f t="shared" ref="K101:K105" si="11">$D$99*1000*J101</f>
        <v>3909.289944099171</v>
      </c>
      <c r="L101" s="52">
        <v>370.5</v>
      </c>
      <c r="M101" s="34"/>
      <c r="N101" s="34"/>
      <c r="O101" s="34"/>
      <c r="P101" s="34"/>
      <c r="Q101" s="34"/>
      <c r="R101" s="34"/>
      <c r="S101" s="124"/>
      <c r="T101" s="34"/>
      <c r="U101" s="106"/>
      <c r="V101" s="106"/>
      <c r="W101" s="130"/>
      <c r="X101" s="34"/>
      <c r="Y101" s="34"/>
      <c r="Z101" s="34"/>
      <c r="AA101" s="34"/>
      <c r="AB101" s="34"/>
      <c r="AC101" s="34"/>
      <c r="AD101" s="34"/>
      <c r="AE101" s="34"/>
      <c r="AF101" s="34"/>
    </row>
    <row r="102" spans="2:32" x14ac:dyDescent="0.35">
      <c r="B102" s="33"/>
      <c r="C102" s="34"/>
      <c r="D102" s="34">
        <f t="array" ref="D102:E105">LINEST(K100:K105,L100:L105,TRUE,TRUE)</f>
        <v>9.80127738708428</v>
      </c>
      <c r="E102" s="34">
        <v>294.51733917568345</v>
      </c>
      <c r="F102" s="34"/>
      <c r="G102" s="28" t="s">
        <v>19</v>
      </c>
      <c r="H102" s="27">
        <v>13</v>
      </c>
      <c r="I102" s="27">
        <v>26.98</v>
      </c>
      <c r="J102" s="47">
        <f t="shared" si="10"/>
        <v>0.86433057478706143</v>
      </c>
      <c r="K102" s="61">
        <f t="shared" si="11"/>
        <v>4321.6528739353071</v>
      </c>
      <c r="L102" s="29">
        <v>405</v>
      </c>
      <c r="M102" s="34"/>
      <c r="N102" s="34"/>
      <c r="O102" s="34"/>
      <c r="P102" s="34"/>
      <c r="Q102" s="34"/>
      <c r="R102" s="34"/>
      <c r="S102" s="124"/>
      <c r="T102" s="34"/>
      <c r="U102" s="106"/>
      <c r="V102" s="106"/>
      <c r="W102" s="130"/>
      <c r="X102" s="34"/>
      <c r="Y102" s="34"/>
      <c r="Z102" s="34"/>
      <c r="AA102" s="34"/>
      <c r="AB102" s="34"/>
      <c r="AC102" s="34"/>
      <c r="AD102" s="34"/>
      <c r="AE102" s="34"/>
      <c r="AF102" s="34"/>
    </row>
    <row r="103" spans="2:32" x14ac:dyDescent="0.35">
      <c r="B103" s="33"/>
      <c r="C103" s="34"/>
      <c r="D103" s="34">
        <v>0.28321744167471208</v>
      </c>
      <c r="E103" s="34">
        <v>117.04882382677867</v>
      </c>
      <c r="F103" s="34"/>
      <c r="G103" s="35" t="s">
        <v>26</v>
      </c>
      <c r="H103" s="36">
        <v>14</v>
      </c>
      <c r="I103" s="36">
        <v>28.09</v>
      </c>
      <c r="J103" s="45">
        <f t="shared" si="10"/>
        <v>0.86932910407021868</v>
      </c>
      <c r="K103" s="62">
        <f t="shared" si="11"/>
        <v>4346.6455203510932</v>
      </c>
      <c r="L103" s="37">
        <v>413.5</v>
      </c>
      <c r="M103" s="34"/>
      <c r="N103" s="34"/>
      <c r="O103" s="34"/>
      <c r="P103" s="34"/>
      <c r="Q103" s="34"/>
      <c r="R103" s="34"/>
      <c r="S103" s="124"/>
      <c r="T103" s="34"/>
      <c r="U103" s="106"/>
      <c r="V103" s="106"/>
      <c r="W103" s="130"/>
      <c r="X103" s="34"/>
      <c r="Y103" s="34"/>
      <c r="Z103" s="34"/>
      <c r="AA103" s="34"/>
      <c r="AB103" s="34"/>
      <c r="AC103" s="34"/>
      <c r="AD103" s="34"/>
      <c r="AE103" s="34"/>
      <c r="AF103" s="34"/>
    </row>
    <row r="104" spans="2:32" x14ac:dyDescent="0.35">
      <c r="B104" s="33"/>
      <c r="C104" s="34"/>
      <c r="D104" s="34">
        <v>0.99667120895590811</v>
      </c>
      <c r="E104" s="34">
        <v>32.714628413016257</v>
      </c>
      <c r="F104" s="34"/>
      <c r="G104" s="40" t="s">
        <v>16</v>
      </c>
      <c r="H104" s="38">
        <v>50</v>
      </c>
      <c r="I104" s="38">
        <v>116</v>
      </c>
      <c r="J104" s="39">
        <f>((SQRT(1-(1/I104)^2*SIN(RADIANS(165))^2)+1/I104*COS(RADIANS(165)))/(1+1/I104))^2</f>
        <v>0.96667191113339779</v>
      </c>
      <c r="K104" s="63">
        <f t="shared" si="11"/>
        <v>4833.3595556669889</v>
      </c>
      <c r="L104" s="43">
        <v>463.5</v>
      </c>
      <c r="M104" s="34"/>
      <c r="N104" s="34"/>
      <c r="O104" s="34"/>
      <c r="P104" s="34"/>
      <c r="Q104" s="34"/>
      <c r="R104" s="34"/>
      <c r="S104" s="124"/>
      <c r="T104" s="34"/>
      <c r="U104" s="106"/>
      <c r="V104" s="106"/>
      <c r="W104" s="130"/>
      <c r="X104" s="34"/>
      <c r="Y104" s="34"/>
      <c r="Z104" s="34"/>
      <c r="AA104" s="34"/>
      <c r="AB104" s="34"/>
      <c r="AC104" s="34"/>
      <c r="AD104" s="34"/>
      <c r="AE104" s="34"/>
      <c r="AF104" s="34"/>
    </row>
    <row r="105" spans="2:32" ht="15" thickBot="1" x14ac:dyDescent="0.4">
      <c r="B105" s="33"/>
      <c r="C105" s="34"/>
      <c r="D105" s="34">
        <v>1197.637455465825</v>
      </c>
      <c r="E105" s="34">
        <v>4</v>
      </c>
      <c r="F105" s="34"/>
      <c r="G105" s="41" t="s">
        <v>27</v>
      </c>
      <c r="H105" s="42">
        <v>78</v>
      </c>
      <c r="I105" s="42">
        <v>195.1</v>
      </c>
      <c r="J105" s="46">
        <f>((SQRT(1-(1/I105)^2*SIN(RADIANS(165))^2)+1/I105*COS(RADIANS(165)))/(1+1/I105))^2</f>
        <v>0.9800485317759321</v>
      </c>
      <c r="K105" s="64">
        <f t="shared" si="11"/>
        <v>4900.2426588796607</v>
      </c>
      <c r="L105" s="44">
        <v>472</v>
      </c>
      <c r="M105" s="34"/>
      <c r="N105" s="34"/>
      <c r="O105" s="34"/>
      <c r="P105" s="34"/>
      <c r="Q105" s="34"/>
      <c r="R105" s="34"/>
      <c r="S105" s="124"/>
      <c r="T105" s="34"/>
      <c r="U105" s="106"/>
      <c r="V105" s="106"/>
      <c r="W105" s="130"/>
      <c r="X105" s="34"/>
      <c r="Y105" s="34"/>
      <c r="Z105" s="34"/>
      <c r="AA105" s="34"/>
      <c r="AB105" s="34"/>
      <c r="AC105" s="34"/>
      <c r="AD105" s="34"/>
      <c r="AE105" s="34"/>
      <c r="AF105" s="34"/>
    </row>
    <row r="106" spans="2:32" ht="14.25" customHeight="1" thickBot="1" x14ac:dyDescent="0.4">
      <c r="B106" s="33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2" t="s">
        <v>9</v>
      </c>
      <c r="N106" s="3" t="s">
        <v>10</v>
      </c>
      <c r="O106" s="2" t="s">
        <v>11</v>
      </c>
      <c r="P106" s="3" t="s">
        <v>12</v>
      </c>
      <c r="Q106" s="4" t="s">
        <v>13</v>
      </c>
      <c r="R106" s="34"/>
      <c r="S106" s="124"/>
      <c r="T106" s="34"/>
      <c r="U106" s="106"/>
      <c r="V106" s="106"/>
      <c r="W106" s="130"/>
      <c r="X106" s="8" t="s">
        <v>24</v>
      </c>
      <c r="Y106" s="9" t="s">
        <v>10</v>
      </c>
      <c r="Z106" s="8" t="s">
        <v>25</v>
      </c>
      <c r="AA106" s="9" t="s">
        <v>12</v>
      </c>
      <c r="AB106" s="10" t="s">
        <v>13</v>
      </c>
      <c r="AC106" s="34"/>
      <c r="AD106" s="34"/>
      <c r="AE106" s="34"/>
      <c r="AF106" s="34"/>
    </row>
    <row r="107" spans="2:32" x14ac:dyDescent="0.35">
      <c r="B107" s="33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5">
        <v>34.93</v>
      </c>
      <c r="N107" s="13">
        <f>M107*$B$1/10</f>
        <v>25.533829999999998</v>
      </c>
      <c r="O107" s="17">
        <v>35.700000000000003</v>
      </c>
      <c r="P107" s="5">
        <f>O107*$B$1/10</f>
        <v>26.096699999999998</v>
      </c>
      <c r="Q107" s="16">
        <f>(($J$47/COS(RADIANS(0))*$N$107)+(1/COS(RADIANS(180-165))*$P$107))</f>
        <v>51.700128141963091</v>
      </c>
      <c r="R107" s="34"/>
      <c r="S107" s="124"/>
      <c r="T107" s="34"/>
      <c r="U107" s="106"/>
      <c r="V107" s="106"/>
      <c r="W107" s="130"/>
      <c r="X107" s="23">
        <v>58.39</v>
      </c>
      <c r="Y107" s="13">
        <f>X107*$E$1/10</f>
        <v>15.759460999999998</v>
      </c>
      <c r="Z107" s="23">
        <v>63.39</v>
      </c>
      <c r="AA107" s="5">
        <f>Z107*$E$1/10</f>
        <v>17.108961000000001</v>
      </c>
      <c r="AB107" s="12">
        <f>(($J$102/COS(RADIANS(0))*Y107)+(1/COS(RADIANS(180-165))*AA107))</f>
        <v>31.333883779329351</v>
      </c>
      <c r="AC107" s="34"/>
      <c r="AD107" s="34"/>
      <c r="AE107" s="34"/>
      <c r="AF107" s="34"/>
    </row>
    <row r="108" spans="2:32" x14ac:dyDescent="0.35">
      <c r="B108" s="33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124"/>
      <c r="T108" s="34"/>
      <c r="U108" s="106"/>
      <c r="V108" s="106"/>
      <c r="W108" s="130"/>
      <c r="X108" s="34"/>
      <c r="Y108" s="34"/>
      <c r="Z108" s="34"/>
      <c r="AA108" s="34"/>
      <c r="AB108" s="34"/>
      <c r="AC108" s="34"/>
      <c r="AD108" s="34"/>
      <c r="AE108" s="34"/>
      <c r="AF108" s="34"/>
    </row>
    <row r="109" spans="2:32" ht="15" thickBot="1" x14ac:dyDescent="0.4">
      <c r="B109" s="33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124"/>
      <c r="T109" s="34"/>
      <c r="U109" s="106"/>
      <c r="V109" s="106"/>
      <c r="W109" s="130"/>
      <c r="X109" s="34"/>
      <c r="Y109" s="34"/>
      <c r="Z109" s="34"/>
      <c r="AA109" s="34"/>
      <c r="AB109" s="34"/>
      <c r="AC109" s="34"/>
      <c r="AD109" s="34"/>
      <c r="AE109" s="34"/>
      <c r="AF109" s="34"/>
    </row>
    <row r="110" spans="2:32" ht="44" thickBot="1" x14ac:dyDescent="0.4">
      <c r="B110" s="33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11" t="s">
        <v>35</v>
      </c>
      <c r="N110" s="1" t="s">
        <v>17</v>
      </c>
      <c r="O110" s="2" t="s">
        <v>18</v>
      </c>
      <c r="P110" s="3" t="s">
        <v>8</v>
      </c>
      <c r="Q110" s="79" t="s">
        <v>14</v>
      </c>
      <c r="R110" s="75"/>
      <c r="S110" s="125"/>
      <c r="T110" s="93" t="s">
        <v>39</v>
      </c>
      <c r="U110" s="94" t="s">
        <v>37</v>
      </c>
      <c r="V110" s="106"/>
      <c r="W110" s="130"/>
      <c r="X110" s="6"/>
      <c r="Y110" s="7" t="s">
        <v>20</v>
      </c>
      <c r="Z110" s="8" t="s">
        <v>21</v>
      </c>
      <c r="AA110" s="9" t="s">
        <v>8</v>
      </c>
      <c r="AB110" s="96" t="s">
        <v>14</v>
      </c>
      <c r="AC110" s="97"/>
      <c r="AD110" s="97"/>
      <c r="AE110" s="101" t="s">
        <v>39</v>
      </c>
      <c r="AF110" s="34"/>
    </row>
    <row r="111" spans="2:32" ht="15" thickBot="1" x14ac:dyDescent="0.4">
      <c r="B111" s="33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24"/>
      <c r="N111" s="18">
        <v>463.5</v>
      </c>
      <c r="O111" s="19">
        <v>454.5</v>
      </c>
      <c r="P111" s="22">
        <f>(N111-O111)*D102</f>
        <v>88.211496483758523</v>
      </c>
      <c r="Q111" s="83">
        <f>P111*10^3/Q107</f>
        <v>1706.2142716849573</v>
      </c>
      <c r="R111" s="86" t="s">
        <v>40</v>
      </c>
      <c r="S111" s="126">
        <f>Q111/D102*D103</f>
        <v>49.302720644584134</v>
      </c>
      <c r="T111" s="115">
        <v>1543</v>
      </c>
      <c r="U111" s="111">
        <v>1708</v>
      </c>
      <c r="V111" s="86" t="s">
        <v>40</v>
      </c>
      <c r="W111" s="130">
        <v>59</v>
      </c>
      <c r="X111" s="21"/>
      <c r="Y111" s="18">
        <v>404</v>
      </c>
      <c r="Z111" s="19">
        <v>401</v>
      </c>
      <c r="AA111" s="20">
        <f>(Y111-Z111)*D102</f>
        <v>29.40383216125284</v>
      </c>
      <c r="AB111" s="98">
        <f>AA111*10^3/AB107</f>
        <v>938.40369002230921</v>
      </c>
      <c r="AC111" s="86" t="s">
        <v>40</v>
      </c>
      <c r="AD111" s="87">
        <f>AB111/D102*D103</f>
        <v>27.116087204760856</v>
      </c>
      <c r="AE111" s="89">
        <v>59.1</v>
      </c>
      <c r="AF111" s="34"/>
    </row>
    <row r="112" spans="2:32" ht="15" thickBot="1" x14ac:dyDescent="0.4">
      <c r="B112" s="33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73"/>
      <c r="Q112" s="90"/>
      <c r="R112" s="88"/>
      <c r="S112" s="127"/>
      <c r="T112" s="115"/>
      <c r="U112" s="111"/>
      <c r="V112" s="107"/>
      <c r="W112" s="131"/>
      <c r="X112" s="71"/>
      <c r="Y112" s="34"/>
      <c r="Z112" s="34"/>
      <c r="AA112" s="73"/>
      <c r="AB112" s="90"/>
      <c r="AC112" s="88"/>
      <c r="AD112" s="88"/>
      <c r="AE112" s="89"/>
      <c r="AF112" s="34"/>
    </row>
    <row r="113" spans="2:32" ht="15" thickBot="1" x14ac:dyDescent="0.4">
      <c r="B113" s="33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74"/>
      <c r="Q113" s="103">
        <f>Q111*$B$1*10^(-7)*10^3</f>
        <v>1.2472426326017036</v>
      </c>
      <c r="R113" s="104" t="s">
        <v>40</v>
      </c>
      <c r="S113" s="128">
        <f>S111*$B$1*10^(-7)*10^3</f>
        <v>3.6040288791190998E-2</v>
      </c>
      <c r="T113" s="116">
        <f>T111*$B$1*10^(-7)*10^3</f>
        <v>1.1279330000000001</v>
      </c>
      <c r="U113" s="112">
        <f>U111*$B$1*10^(-7)*10^3</f>
        <v>1.248548</v>
      </c>
      <c r="V113" s="109" t="s">
        <v>40</v>
      </c>
      <c r="W113" s="132">
        <f>W111*$B$1*10^(-7)*10^3</f>
        <v>4.3128999999999994E-2</v>
      </c>
      <c r="X113" s="105" t="s">
        <v>36</v>
      </c>
      <c r="Y113" s="34"/>
      <c r="Z113" s="34"/>
      <c r="AA113" s="74"/>
      <c r="AB113" s="99">
        <f>AB111*$E$1/10</f>
        <v>253.27515593702122</v>
      </c>
      <c r="AC113" s="91" t="s">
        <v>40</v>
      </c>
      <c r="AD113" s="102">
        <f>AD111*$E$1*10^(-7)*10^6</f>
        <v>7.3186319365649535</v>
      </c>
      <c r="AE113" s="100">
        <f>AE111*$E$1/10</f>
        <v>15.951089999999999</v>
      </c>
      <c r="AF113" s="85" t="s">
        <v>38</v>
      </c>
    </row>
    <row r="114" spans="2:32" x14ac:dyDescent="0.35">
      <c r="B114" s="33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124"/>
      <c r="T114" s="34"/>
      <c r="U114" s="34"/>
      <c r="V114" s="34"/>
      <c r="W114" s="119"/>
      <c r="X114" s="34"/>
      <c r="Y114" s="34"/>
      <c r="Z114" s="34"/>
      <c r="AA114" s="34"/>
      <c r="AB114" s="34"/>
      <c r="AC114" s="34"/>
      <c r="AD114" s="34"/>
      <c r="AE114" s="34"/>
      <c r="AF114" s="34"/>
    </row>
    <row r="115" spans="2:32" ht="15" thickBot="1" x14ac:dyDescent="0.4">
      <c r="B115" s="70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84"/>
      <c r="S115" s="129"/>
      <c r="T115" s="71"/>
      <c r="U115" s="71"/>
      <c r="V115" s="71"/>
      <c r="W115" s="121"/>
      <c r="X115" s="71"/>
      <c r="Y115" s="71"/>
      <c r="Z115" s="71"/>
      <c r="AA115" s="71"/>
      <c r="AB115" s="71"/>
      <c r="AC115" s="71"/>
      <c r="AD115" s="71"/>
      <c r="AE115" s="71"/>
      <c r="AF115" s="3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Sn+Al targets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Pires</dc:creator>
  <dc:description/>
  <cp:lastModifiedBy>Ricardo Matoza Pires</cp:lastModifiedBy>
  <cp:revision>27</cp:revision>
  <dcterms:created xsi:type="dcterms:W3CDTF">2022-08-29T11:45:38Z</dcterms:created>
  <dcterms:modified xsi:type="dcterms:W3CDTF">2025-07-21T21:25:30Z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