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116Sn(p,g)117Sb_Analysis\CNA\"/>
    </mc:Choice>
  </mc:AlternateContent>
  <bookViews>
    <workbookView xWindow="0" yWindow="0" windowWidth="16380" windowHeight="7310" tabRatio="668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37" i="8" l="1"/>
  <c r="U37" i="8"/>
  <c r="W37" i="8"/>
  <c r="W113" i="8" l="1"/>
  <c r="W94" i="8"/>
  <c r="W75" i="8"/>
  <c r="W56" i="8" l="1"/>
  <c r="W18" i="8" l="1"/>
  <c r="AF113" i="8" l="1"/>
  <c r="AF94" i="8"/>
  <c r="AF75" i="8"/>
  <c r="AF56" i="8"/>
  <c r="AF37" i="8"/>
  <c r="AF18" i="8" l="1"/>
  <c r="U113" i="8" l="1"/>
  <c r="T113" i="8"/>
  <c r="U94" i="8"/>
  <c r="T94" i="8"/>
  <c r="U75" i="8"/>
  <c r="T75" i="8"/>
  <c r="U56" i="8"/>
  <c r="T56" i="8"/>
  <c r="U18" i="8" l="1"/>
  <c r="T18" i="8"/>
  <c r="AB107" i="8" l="1"/>
  <c r="Z107" i="8"/>
  <c r="P107" i="8"/>
  <c r="N107" i="8"/>
  <c r="J105" i="8"/>
  <c r="K105" i="8" s="1"/>
  <c r="J104" i="8"/>
  <c r="K104" i="8" s="1"/>
  <c r="J103" i="8"/>
  <c r="K103" i="8" s="1"/>
  <c r="J102" i="8"/>
  <c r="J101" i="8"/>
  <c r="K101" i="8" s="1"/>
  <c r="J100" i="8"/>
  <c r="K100" i="8" s="1"/>
  <c r="AC107" i="8" l="1"/>
  <c r="K102" i="8"/>
  <c r="D102" i="8" s="1" a="1"/>
  <c r="E104" i="8" s="1"/>
  <c r="AB88" i="8"/>
  <c r="Z88" i="8"/>
  <c r="P88" i="8"/>
  <c r="N88" i="8"/>
  <c r="J85" i="8"/>
  <c r="K85" i="8" s="1"/>
  <c r="J84" i="8"/>
  <c r="K84" i="8" s="1"/>
  <c r="J83" i="8"/>
  <c r="K83" i="8" s="1"/>
  <c r="J82" i="8"/>
  <c r="K82" i="8" s="1"/>
  <c r="J81" i="8"/>
  <c r="K81" i="8" s="1"/>
  <c r="D83" i="8" s="1" a="1"/>
  <c r="AB69" i="8"/>
  <c r="Z69" i="8"/>
  <c r="P69" i="8"/>
  <c r="N69" i="8"/>
  <c r="J67" i="8"/>
  <c r="K67" i="8" s="1"/>
  <c r="J66" i="8"/>
  <c r="K66" i="8" s="1"/>
  <c r="J65" i="8"/>
  <c r="K65" i="8" s="1"/>
  <c r="J64" i="8"/>
  <c r="K64" i="8" s="1"/>
  <c r="J63" i="8"/>
  <c r="K63" i="8" s="1"/>
  <c r="J62" i="8"/>
  <c r="AB50" i="8"/>
  <c r="Z50" i="8"/>
  <c r="P50" i="8"/>
  <c r="N50" i="8"/>
  <c r="J48" i="8"/>
  <c r="K48" i="8" s="1"/>
  <c r="J47" i="8"/>
  <c r="Q107" i="8" s="1"/>
  <c r="J46" i="8"/>
  <c r="K46" i="8" s="1"/>
  <c r="J45" i="8"/>
  <c r="K45" i="8" s="1"/>
  <c r="J44" i="8"/>
  <c r="K44" i="8" s="1"/>
  <c r="J43" i="8"/>
  <c r="K43" i="8" s="1"/>
  <c r="AB31" i="8"/>
  <c r="Z31" i="8"/>
  <c r="P31" i="8"/>
  <c r="N31" i="8"/>
  <c r="J29" i="8"/>
  <c r="K29" i="8" s="1"/>
  <c r="J28" i="8"/>
  <c r="J27" i="8"/>
  <c r="K27" i="8" s="1"/>
  <c r="J26" i="8"/>
  <c r="K26" i="8" s="1"/>
  <c r="J25" i="8"/>
  <c r="K25" i="8" s="1"/>
  <c r="J24" i="8"/>
  <c r="K24" i="8" s="1"/>
  <c r="J10" i="8"/>
  <c r="K10" i="8" s="1"/>
  <c r="J8" i="8"/>
  <c r="K8" i="8" s="1"/>
  <c r="D83" i="8" l="1"/>
  <c r="E84" i="8"/>
  <c r="E83" i="8"/>
  <c r="D86" i="8"/>
  <c r="E86" i="8"/>
  <c r="D84" i="8"/>
  <c r="D85" i="8"/>
  <c r="E85" i="8"/>
  <c r="Q31" i="8"/>
  <c r="AC69" i="8"/>
  <c r="K28" i="8"/>
  <c r="D26" i="8" a="1"/>
  <c r="D26" i="8" s="1"/>
  <c r="Q69" i="8"/>
  <c r="K47" i="8"/>
  <c r="AC88" i="8"/>
  <c r="D104" i="8"/>
  <c r="E105" i="8"/>
  <c r="K62" i="8"/>
  <c r="D64" i="8" s="1" a="1"/>
  <c r="E66" i="8" s="1"/>
  <c r="D102" i="8"/>
  <c r="E103" i="8"/>
  <c r="AC31" i="8"/>
  <c r="E102" i="8"/>
  <c r="D103" i="8"/>
  <c r="AC50" i="8"/>
  <c r="D45" i="8" a="1"/>
  <c r="E47" i="8" s="1"/>
  <c r="Q50" i="8"/>
  <c r="D105" i="8"/>
  <c r="Q88" i="8"/>
  <c r="J9" i="8"/>
  <c r="K9" i="8" s="1"/>
  <c r="J7" i="8"/>
  <c r="J6" i="8"/>
  <c r="K6" i="8" s="1"/>
  <c r="J5" i="8"/>
  <c r="K5" i="8" s="1"/>
  <c r="E29" i="8" l="1"/>
  <c r="K7" i="8"/>
  <c r="D7" i="8" s="1" a="1"/>
  <c r="D7" i="8" s="1"/>
  <c r="AB16" i="8" s="1"/>
  <c r="E28" i="8"/>
  <c r="D27" i="8"/>
  <c r="D28" i="8"/>
  <c r="D29" i="8"/>
  <c r="E26" i="8"/>
  <c r="E27" i="8"/>
  <c r="E46" i="8"/>
  <c r="D46" i="8"/>
  <c r="D65" i="8"/>
  <c r="D64" i="8"/>
  <c r="P73" i="8" s="1"/>
  <c r="Q73" i="8" s="1"/>
  <c r="E48" i="8"/>
  <c r="D48" i="8"/>
  <c r="D67" i="8"/>
  <c r="D66" i="8"/>
  <c r="P92" i="8"/>
  <c r="Q92" i="8" s="1"/>
  <c r="AB92" i="8"/>
  <c r="AC92" i="8" s="1"/>
  <c r="D45" i="8"/>
  <c r="P54" i="8" s="1"/>
  <c r="Q54" i="8" s="1"/>
  <c r="E45" i="8"/>
  <c r="E65" i="8"/>
  <c r="E64" i="8"/>
  <c r="P111" i="8"/>
  <c r="Q111" i="8" s="1"/>
  <c r="AB111" i="8"/>
  <c r="AC111" i="8" s="1"/>
  <c r="D47" i="8"/>
  <c r="E67" i="8"/>
  <c r="AB35" i="8"/>
  <c r="AC35" i="8" s="1"/>
  <c r="P35" i="8"/>
  <c r="Q35" i="8" s="1"/>
  <c r="AB12" i="8"/>
  <c r="Z12" i="8"/>
  <c r="P12" i="8"/>
  <c r="N12" i="8"/>
  <c r="S35" i="8" l="1"/>
  <c r="S37" i="8" s="1"/>
  <c r="Q37" i="8"/>
  <c r="Q94" i="8"/>
  <c r="S92" i="8"/>
  <c r="S94" i="8" s="1"/>
  <c r="Q113" i="8"/>
  <c r="S111" i="8"/>
  <c r="S113" i="8" s="1"/>
  <c r="S54" i="8"/>
  <c r="S56" i="8" s="1"/>
  <c r="Q56" i="8"/>
  <c r="Q75" i="8"/>
  <c r="S73" i="8"/>
  <c r="S75" i="8" s="1"/>
  <c r="AC113" i="8"/>
  <c r="AE111" i="8"/>
  <c r="AE113" i="8" s="1"/>
  <c r="AE92" i="8"/>
  <c r="AE94" i="8" s="1"/>
  <c r="AC94" i="8"/>
  <c r="AC37" i="8"/>
  <c r="AE35" i="8"/>
  <c r="AE37" i="8" s="1"/>
  <c r="E7" i="8"/>
  <c r="D9" i="8"/>
  <c r="AB54" i="8"/>
  <c r="AC54" i="8" s="1"/>
  <c r="P16" i="8"/>
  <c r="E9" i="8"/>
  <c r="E8" i="8"/>
  <c r="D8" i="8"/>
  <c r="D10" i="8"/>
  <c r="E10" i="8"/>
  <c r="AB73" i="8"/>
  <c r="AC73" i="8" s="1"/>
  <c r="AC12" i="8"/>
  <c r="AC16" i="8" s="1"/>
  <c r="AC18" i="8" s="1"/>
  <c r="Q12" i="8"/>
  <c r="Q16" i="8" l="1"/>
  <c r="AC75" i="8"/>
  <c r="AE73" i="8"/>
  <c r="AE75" i="8" s="1"/>
  <c r="AE54" i="8"/>
  <c r="AE56" i="8" s="1"/>
  <c r="AC56" i="8"/>
  <c r="S16" i="8"/>
  <c r="S18" i="8" s="1"/>
  <c r="Q18" i="8"/>
  <c r="AE16" i="8"/>
  <c r="AE18" i="8" s="1"/>
</calcChain>
</file>

<file path=xl/sharedStrings.xml><?xml version="1.0" encoding="utf-8"?>
<sst xmlns="http://schemas.openxmlformats.org/spreadsheetml/2006/main" count="281" uniqueCount="46">
  <si>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</si>
  <si>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</si>
  <si>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</si>
  <si>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</si>
  <si>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</si>
  <si>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</si>
  <si>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</si>
  <si>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</si>
  <si>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</si>
  <si>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</si>
  <si>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</si>
  <si>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</si>
  <si>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</si>
  <si>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</si>
  <si>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</si>
  <si>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</si>
  <si>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</si>
  <si>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</si>
  <si>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</si>
  <si>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</si>
  <si>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</si>
  <si>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</si>
  <si>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</si>
  <si>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C</t>
  </si>
  <si>
    <r>
      <t>(dE/dx)_</t>
    </r>
    <r>
      <rPr>
        <b/>
        <sz val="11"/>
        <color rgb="FFFF0000"/>
        <rFont val="Calibri"/>
        <family val="2"/>
      </rPr>
      <t>in</t>
    </r>
    <r>
      <rPr>
        <b/>
        <sz val="11"/>
        <color rgb="FF0070C0"/>
        <rFont val="Calibri"/>
        <family val="2"/>
      </rPr>
      <t xml:space="preserve"> [E_0] (MeV cm^2 / g)</t>
    </r>
  </si>
  <si>
    <r>
      <t>(dE/dx)_</t>
    </r>
    <r>
      <rPr>
        <b/>
        <sz val="11"/>
        <color rgb="FFFF0000"/>
        <rFont val="Calibri"/>
        <family val="2"/>
      </rPr>
      <t>out</t>
    </r>
    <r>
      <rPr>
        <b/>
        <sz val="11"/>
        <color rgb="FF0070C0"/>
        <rFont val="Calibri"/>
        <family val="2"/>
      </rPr>
      <t xml:space="preserve"> [K * E_0] (MeV cm^2 / g)</t>
    </r>
  </si>
  <si>
    <t>Si</t>
  </si>
  <si>
    <t>Pt</t>
  </si>
  <si>
    <t>Ebeam =</t>
  </si>
  <si>
    <t>MeV</t>
  </si>
  <si>
    <t>116Sn-C3</t>
  </si>
  <si>
    <t>116Sn-C10</t>
  </si>
  <si>
    <t>116Sn-D4</t>
  </si>
  <si>
    <t>116Sn-G1</t>
  </si>
  <si>
    <t>116Sn-D8</t>
  </si>
  <si>
    <t>116Sn-D5</t>
  </si>
  <si>
    <t>mg/cm2</t>
  </si>
  <si>
    <t>AEL</t>
  </si>
  <si>
    <t>ug/cm2</t>
  </si>
  <si>
    <t>SimNRA (nm)</t>
  </si>
  <si>
    <t>+-</t>
  </si>
  <si>
    <t>Analytical</t>
  </si>
  <si>
    <t>SimNRA</t>
  </si>
  <si>
    <t>nm</t>
  </si>
  <si>
    <t>Chu et al, Backscattering spectometry, 1978</t>
  </si>
  <si>
    <t>Surface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</si>
</sst>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</font>
    <font>
      <i/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FBDDE"/>
        <bgColor rgb="FFDEEBF7"/>
      </patternFill>
    </fill>
    <fill>
      <patternFill patternType="solid">
        <fgColor rgb="FFFF8F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F8F"/>
        <bgColor rgb="FFDEEBF7"/>
      </patternFill>
    </fill>
    <fill>
      <patternFill patternType="solid">
        <fgColor theme="4" tint="0.59999389629810485"/>
        <bgColor rgb="FFDEEBF7"/>
      </patternFill>
    </fill>
    <fill>
      <patternFill patternType="solid">
        <fgColor theme="0" tint="-0.14999847407452621"/>
        <bgColor rgb="FFDEEBF7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DEEBF7"/>
      </patternFill>
    </fill>
    <fill>
      <patternFill patternType="solid">
        <fgColor theme="7" tint="0.59999389629810485"/>
        <bgColor rgb="FFDEEBF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D7D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4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2" fontId="0" fillId="7" borderId="17" xfId="0" applyNumberForma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6" fontId="0" fillId="7" borderId="18" xfId="0" applyNumberFormat="1" applyFill="1" applyBorder="1" applyAlignment="1">
      <alignment horizontal="center" vertical="center" wrapText="1"/>
    </xf>
    <xf numFmtId="2" fontId="5" fillId="7" borderId="17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7" borderId="18" xfId="0" applyNumberFormat="1" applyFill="1" applyBorder="1" applyAlignment="1">
      <alignment horizontal="center" vertical="center" wrapText="1"/>
    </xf>
    <xf numFmtId="2" fontId="2" fillId="7" borderId="17" xfId="0" applyNumberFormat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1" fontId="0" fillId="8" borderId="19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1" fillId="11" borderId="13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165" fontId="0" fillId="10" borderId="0" xfId="0" applyNumberForma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" fontId="0" fillId="4" borderId="19" xfId="0" applyNumberFormat="1" applyFill="1" applyBorder="1" applyAlignment="1">
      <alignment horizontal="center" vertical="center" wrapText="1"/>
    </xf>
    <xf numFmtId="1" fontId="0" fillId="12" borderId="8" xfId="0" applyNumberFormat="1" applyFill="1" applyBorder="1" applyAlignment="1">
      <alignment horizontal="center" vertical="center"/>
    </xf>
    <xf numFmtId="165" fontId="0" fillId="14" borderId="0" xfId="0" applyNumberFormat="1" applyFill="1" applyBorder="1" applyAlignment="1">
      <alignment horizontal="center" vertical="center" wrapText="1"/>
    </xf>
    <xf numFmtId="165" fontId="0" fillId="15" borderId="2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164" fontId="0" fillId="18" borderId="0" xfId="0" applyNumberFormat="1" applyFill="1" applyBorder="1" applyAlignment="1">
      <alignment horizontal="center" vertical="center" wrapText="1"/>
    </xf>
    <xf numFmtId="165" fontId="0" fillId="18" borderId="0" xfId="0" applyNumberFormat="1" applyFill="1" applyBorder="1" applyAlignment="1">
      <alignment horizontal="center" vertical="center" wrapText="1"/>
    </xf>
    <xf numFmtId="1" fontId="0" fillId="18" borderId="19" xfId="0" applyNumberForma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65" fontId="0" fillId="19" borderId="4" xfId="0" applyNumberFormat="1" applyFill="1" applyBorder="1" applyAlignment="1">
      <alignment horizontal="center" vertical="center" wrapText="1"/>
    </xf>
    <xf numFmtId="1" fontId="0" fillId="13" borderId="7" xfId="0" applyNumberForma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1" fontId="0" fillId="19" borderId="5" xfId="0" applyNumberFormat="1" applyFill="1" applyBorder="1" applyAlignment="1">
      <alignment horizontal="center" vertical="center" wrapText="1"/>
    </xf>
    <xf numFmtId="1" fontId="0" fillId="18" borderId="21" xfId="0" applyNumberFormat="1" applyFill="1" applyBorder="1" applyAlignment="1">
      <alignment horizontal="center" vertical="center" wrapText="1"/>
    </xf>
    <xf numFmtId="1" fontId="0" fillId="9" borderId="21" xfId="0" applyNumberFormat="1" applyFill="1" applyBorder="1" applyAlignment="1">
      <alignment horizontal="center" vertical="center" wrapText="1"/>
    </xf>
    <xf numFmtId="1" fontId="0" fillId="11" borderId="21" xfId="0" applyNumberFormat="1" applyFill="1" applyBorder="1" applyAlignment="1">
      <alignment horizontal="center" vertical="center"/>
    </xf>
    <xf numFmtId="1" fontId="0" fillId="6" borderId="21" xfId="0" applyNumberFormat="1" applyFill="1" applyBorder="1" applyAlignment="1">
      <alignment horizontal="center" vertical="center" wrapText="1"/>
    </xf>
    <xf numFmtId="1" fontId="0" fillId="12" borderId="3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2" xfId="0" applyBorder="1"/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3" borderId="4" xfId="0" applyFont="1" applyFill="1" applyBorder="1"/>
    <xf numFmtId="2" fontId="0" fillId="7" borderId="24" xfId="0" applyNumberForma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4" xfId="0" applyFill="1" applyBorder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1" borderId="2" xfId="0" quotePrefix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64" fontId="0" fillId="20" borderId="24" xfId="0" applyNumberForma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8" fillId="0" borderId="0" xfId="0" applyFont="1"/>
    <xf numFmtId="0" fontId="8" fillId="0" borderId="4" xfId="0" applyFont="1" applyBorder="1"/>
    <xf numFmtId="0" fontId="8" fillId="0" borderId="0" xfId="0" applyFont="1" applyBorder="1"/>
    <xf numFmtId="0" fontId="8" fillId="3" borderId="4" xfId="0" applyFont="1" applyFill="1" applyBorder="1"/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2" xfId="0" quotePrefix="1" applyFill="1" applyBorder="1" applyAlignment="1">
      <alignment horizontal="center" vertical="center" wrapText="1"/>
    </xf>
    <xf numFmtId="2" fontId="8" fillId="5" borderId="2" xfId="0" applyNumberFormat="1" applyFont="1" applyFill="1" applyBorder="1" applyAlignment="1">
      <alignment horizontal="center" vertical="center" wrapText="1"/>
    </xf>
    <xf numFmtId="2" fontId="0" fillId="5" borderId="10" xfId="0" applyNumberFormat="1" applyFill="1" applyBorder="1" applyAlignment="1">
      <alignment horizontal="center" vertical="center" wrapText="1"/>
    </xf>
    <xf numFmtId="2" fontId="0" fillId="21" borderId="24" xfId="0" applyNumberFormat="1" applyFill="1" applyBorder="1" applyAlignment="1">
      <alignment horizontal="center" vertical="center" wrapText="1"/>
    </xf>
    <xf numFmtId="0" fontId="7" fillId="20" borderId="11" xfId="0" applyFont="1" applyFill="1" applyBorder="1" applyAlignment="1">
      <alignment horizontal="center" vertical="center" wrapText="1"/>
    </xf>
    <xf numFmtId="0" fontId="7" fillId="21" borderId="11" xfId="0" applyFont="1" applyFill="1" applyBorder="1" applyAlignment="1">
      <alignment horizontal="center" vertical="center" wrapText="1"/>
    </xf>
    <xf numFmtId="0" fontId="0" fillId="21" borderId="6" xfId="0" applyFill="1" applyBorder="1"/>
    <xf numFmtId="0" fontId="2" fillId="21" borderId="12" xfId="0" applyFont="1" applyFill="1" applyBorder="1"/>
    <xf numFmtId="0" fontId="0" fillId="0" borderId="27" xfId="0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2" fontId="0" fillId="0" borderId="28" xfId="0" applyNumberForma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2" fontId="2" fillId="21" borderId="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" fontId="9" fillId="5" borderId="11" xfId="0" applyNumberFormat="1" applyFont="1" applyFill="1" applyBorder="1" applyAlignment="1">
      <alignment horizontal="center" vertical="center" wrapText="1"/>
    </xf>
    <xf numFmtId="0" fontId="0" fillId="5" borderId="6" xfId="0" quotePrefix="1" applyFill="1" applyBorder="1" applyAlignment="1">
      <alignment horizontal="center" vertical="center" wrapText="1"/>
    </xf>
    <xf numFmtId="1" fontId="8" fillId="5" borderId="6" xfId="0" applyNumberFormat="1" applyFont="1" applyFill="1" applyBorder="1" applyAlignment="1">
      <alignment horizontal="center" vertical="center" wrapText="1"/>
    </xf>
    <xf numFmtId="0" fontId="0" fillId="22" borderId="28" xfId="0" applyFill="1" applyBorder="1" applyAlignment="1">
      <alignment horizontal="center" vertical="center" wrapText="1"/>
    </xf>
    <xf numFmtId="0" fontId="0" fillId="23" borderId="28" xfId="0" applyFill="1" applyBorder="1" applyAlignment="1">
      <alignment horizontal="center" vertical="center" wrapText="1"/>
    </xf>
    <xf numFmtId="0" fontId="0" fillId="23" borderId="6" xfId="0" quotePrefix="1" applyFill="1" applyBorder="1" applyAlignment="1">
      <alignment horizontal="center" vertical="center" wrapText="1"/>
    </xf>
    <xf numFmtId="0" fontId="2" fillId="23" borderId="12" xfId="0" applyFont="1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1" fontId="9" fillId="7" borderId="11" xfId="0" applyNumberFormat="1" applyFont="1" applyFill="1" applyBorder="1" applyAlignment="1">
      <alignment horizontal="center" vertical="center" wrapText="1"/>
    </xf>
    <xf numFmtId="1" fontId="0" fillId="8" borderId="10" xfId="0" applyNumberFormat="1" applyFill="1" applyBorder="1" applyAlignment="1">
      <alignment horizontal="center" vertical="center" wrapText="1"/>
    </xf>
    <xf numFmtId="0" fontId="0" fillId="8" borderId="2" xfId="0" quotePrefix="1" applyFill="1" applyBorder="1" applyAlignment="1">
      <alignment horizontal="center" vertical="center" wrapText="1"/>
    </xf>
    <xf numFmtId="1" fontId="8" fillId="8" borderId="2" xfId="0" applyNumberFormat="1" applyFont="1" applyFill="1" applyBorder="1" applyAlignment="1">
      <alignment horizontal="center" vertical="center" wrapText="1"/>
    </xf>
    <xf numFmtId="0" fontId="0" fillId="7" borderId="6" xfId="0" quotePrefix="1" applyFill="1" applyBorder="1" applyAlignment="1">
      <alignment horizontal="center" vertical="center" wrapText="1"/>
    </xf>
    <xf numFmtId="1" fontId="8" fillId="7" borderId="6" xfId="0" applyNumberFormat="1" applyFont="1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1" fontId="0" fillId="20" borderId="30" xfId="0" applyNumberForma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5" xfId="0" applyBorder="1"/>
    <xf numFmtId="0" fontId="0" fillId="0" borderId="21" xfId="0" applyBorder="1"/>
    <xf numFmtId="0" fontId="0" fillId="0" borderId="3" xfId="0" applyBorder="1"/>
    <xf numFmtId="0" fontId="1" fillId="24" borderId="11" xfId="0" applyFont="1" applyFill="1" applyBorder="1" applyAlignment="1">
      <alignment horizontal="center" vertical="center"/>
    </xf>
    <xf numFmtId="0" fontId="1" fillId="24" borderId="16" xfId="0" applyFont="1" applyFill="1" applyBorder="1" applyAlignment="1">
      <alignment horizontal="center" vertical="center"/>
    </xf>
    <xf numFmtId="0" fontId="10" fillId="0" borderId="31" xfId="0" applyFont="1" applyBorder="1"/>
    <xf numFmtId="0" fontId="10" fillId="0" borderId="32" xfId="0" applyFont="1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D7D7"/>
      <color rgb="FFFFBDDE"/>
      <color rgb="FFFFEBFF"/>
      <color rgb="FFFF97BC"/>
      <color rgb="FFFF8F8F"/>
      <color rgb="FFDCCBB2"/>
      <color rgb="FFC0A072"/>
      <color rgb="FFCEB692"/>
      <color rgb="FFFFFF9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3.2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04155730533684"/>
                  <c:y val="-0.193773330417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targets'!$L$5:$L$10</c:f>
              <c:numCache>
                <c:formatCode>0</c:formatCode>
                <c:ptCount val="6"/>
                <c:pt idx="0">
                  <c:v>317.5</c:v>
                </c:pt>
                <c:pt idx="1">
                  <c:v>346.5</c:v>
                </c:pt>
                <c:pt idx="2">
                  <c:v>376</c:v>
                </c:pt>
                <c:pt idx="3" formatCode="General">
                  <c:v>386.5</c:v>
                </c:pt>
                <c:pt idx="4">
                  <c:v>434</c:v>
                </c:pt>
                <c:pt idx="5">
                  <c:v>442</c:v>
                </c:pt>
              </c:numCache>
            </c:numRef>
          </c:xVal>
          <c:yVal>
            <c:numRef>
              <c:f>'Sn+Al targets'!$K$5:$K$10</c:f>
              <c:numCache>
                <c:formatCode>0</c:formatCode>
                <c:ptCount val="6"/>
                <c:pt idx="0">
                  <c:v>2304.8706081305609</c:v>
                </c:pt>
                <c:pt idx="1">
                  <c:v>2501.9455642234693</c:v>
                </c:pt>
                <c:pt idx="2">
                  <c:v>2673.6770834573981</c:v>
                </c:pt>
                <c:pt idx="3">
                  <c:v>2781.8531330246997</c:v>
                </c:pt>
                <c:pt idx="4">
                  <c:v>3093.350115626873</c:v>
                </c:pt>
                <c:pt idx="5">
                  <c:v>3136.1553016829826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9145264"/>
        <c:axId val="-307680048"/>
      </c:scatterChart>
      <c:valAx>
        <c:axId val="-519145264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307680048"/>
        <c:crosses val="autoZero"/>
        <c:crossBetween val="midCat"/>
      </c:valAx>
      <c:valAx>
        <c:axId val="-307680048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51914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3.5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3.5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'Sn+Al targets'!$L$24:$L$29</c:f>
              <c:numCache>
                <c:formatCode>0</c:formatCode>
                <c:ptCount val="6"/>
                <c:pt idx="0">
                  <c:v>350</c:v>
                </c:pt>
                <c:pt idx="1">
                  <c:v>382</c:v>
                </c:pt>
                <c:pt idx="2">
                  <c:v>420</c:v>
                </c:pt>
                <c:pt idx="3" formatCode="General">
                  <c:v>426</c:v>
                </c:pt>
                <c:pt idx="4">
                  <c:v>477</c:v>
                </c:pt>
                <c:pt idx="5">
                  <c:v>486</c:v>
                </c:pt>
              </c:numCache>
            </c:numRef>
          </c:xVal>
          <c:yVal>
            <c:numRef>
              <c:f>'Sn+Al targets'!$K$24:$K$29</c:f>
              <c:numCache>
                <c:formatCode>0</c:formatCode>
                <c:ptCount val="6"/>
                <c:pt idx="0">
                  <c:v>2520.9522276428006</c:v>
                </c:pt>
                <c:pt idx="1">
                  <c:v>2736.5029608694194</c:v>
                </c:pt>
                <c:pt idx="2">
                  <c:v>3025.1570117547149</c:v>
                </c:pt>
                <c:pt idx="3">
                  <c:v>3042.6518642457654</c:v>
                </c:pt>
                <c:pt idx="4">
                  <c:v>3383.3516889668922</c:v>
                </c:pt>
                <c:pt idx="5">
                  <c:v>3430.1698612157625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07677328"/>
        <c:axId val="-266083728"/>
      </c:scatterChart>
      <c:valAx>
        <c:axId val="-30767732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83728"/>
        <c:crosses val="autoZero"/>
        <c:crossBetween val="midCat"/>
      </c:valAx>
      <c:valAx>
        <c:axId val="-266083728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30767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3.9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3.9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'Sn+Al targets'!$L$43:$L$48</c:f>
              <c:numCache>
                <c:formatCode>0</c:formatCode>
                <c:ptCount val="6"/>
                <c:pt idx="0">
                  <c:v>300</c:v>
                </c:pt>
                <c:pt idx="1">
                  <c:v>328</c:v>
                </c:pt>
                <c:pt idx="2">
                  <c:v>356.5</c:v>
                </c:pt>
                <c:pt idx="3" formatCode="General">
                  <c:v>366</c:v>
                </c:pt>
                <c:pt idx="4">
                  <c:v>410</c:v>
                </c:pt>
                <c:pt idx="5">
                  <c:v>418</c:v>
                </c:pt>
              </c:numCache>
            </c:numRef>
          </c:xVal>
          <c:yVal>
            <c:numRef>
              <c:f>'Sn+Al targets'!$K$43:$K$48</c:f>
              <c:numCache>
                <c:formatCode>0</c:formatCode>
                <c:ptCount val="6"/>
                <c:pt idx="0">
                  <c:v>2809.0610536591207</c:v>
                </c:pt>
                <c:pt idx="1">
                  <c:v>3049.2461563973534</c:v>
                </c:pt>
                <c:pt idx="2">
                  <c:v>3370.8892416695394</c:v>
                </c:pt>
                <c:pt idx="3">
                  <c:v>3390.3835058738528</c:v>
                </c:pt>
                <c:pt idx="4">
                  <c:v>3770.0204534202512</c:v>
                </c:pt>
                <c:pt idx="5">
                  <c:v>3822.1892739261352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6095152"/>
        <c:axId val="-266094064"/>
      </c:scatterChart>
      <c:valAx>
        <c:axId val="-266095152"/>
        <c:scaling>
          <c:orientation val="minMax"/>
          <c:min val="2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94064"/>
        <c:crosses val="autoZero"/>
        <c:crossBetween val="midCat"/>
      </c:valAx>
      <c:valAx>
        <c:axId val="-266094064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9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4.3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4.3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'Sn+Al targets'!$L$62:$L$67</c:f>
              <c:numCache>
                <c:formatCode>0</c:formatCode>
                <c:ptCount val="6"/>
                <c:pt idx="0">
                  <c:v>334</c:v>
                </c:pt>
                <c:pt idx="1">
                  <c:v>364</c:v>
                </c:pt>
                <c:pt idx="2">
                  <c:v>397</c:v>
                </c:pt>
                <c:pt idx="3" formatCode="General">
                  <c:v>406</c:v>
                </c:pt>
                <c:pt idx="4">
                  <c:v>454.5</c:v>
                </c:pt>
                <c:pt idx="5">
                  <c:v>462</c:v>
                </c:pt>
              </c:numCache>
            </c:numRef>
          </c:xVal>
          <c:yVal>
            <c:numRef>
              <c:f>'Sn+Al targets'!$K$62:$K$67</c:f>
              <c:numCache>
                <c:formatCode>0</c:formatCode>
                <c:ptCount val="6"/>
                <c:pt idx="0">
                  <c:v>3097.1698796754408</c:v>
                </c:pt>
                <c:pt idx="1">
                  <c:v>3361.9893519252869</c:v>
                </c:pt>
                <c:pt idx="2">
                  <c:v>3716.6214715843644</c:v>
                </c:pt>
                <c:pt idx="3">
                  <c:v>3738.1151475019406</c:v>
                </c:pt>
                <c:pt idx="4">
                  <c:v>4156.6892178736107</c:v>
                </c:pt>
                <c:pt idx="5">
                  <c:v>4214.208686636508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6095696"/>
        <c:axId val="-266094608"/>
      </c:scatterChart>
      <c:valAx>
        <c:axId val="-266095696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94608"/>
        <c:crosses val="autoZero"/>
        <c:crossBetween val="midCat"/>
      </c:valAx>
      <c:valAx>
        <c:axId val="-266094608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9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4.7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4.7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203905320490975"/>
                  <c:y val="-0.24307086787793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targets'!$L$81:$L$85</c:f>
              <c:numCache>
                <c:formatCode>0</c:formatCode>
                <c:ptCount val="5"/>
                <c:pt idx="0">
                  <c:v>317.5</c:v>
                </c:pt>
                <c:pt idx="1">
                  <c:v>346.5</c:v>
                </c:pt>
                <c:pt idx="2">
                  <c:v>378</c:v>
                </c:pt>
                <c:pt idx="3" formatCode="General">
                  <c:v>434</c:v>
                </c:pt>
              </c:numCache>
            </c:numRef>
          </c:xVal>
          <c:yVal>
            <c:numRef>
              <c:f>'Sn+Al targets'!$K$81:$K$85</c:f>
              <c:numCache>
                <c:formatCode>0</c:formatCode>
                <c:ptCount val="5"/>
                <c:pt idx="0">
                  <c:v>3385.2787056917609</c:v>
                </c:pt>
                <c:pt idx="1">
                  <c:v>3674.7325474532204</c:v>
                </c:pt>
                <c:pt idx="2">
                  <c:v>4062.3537014991889</c:v>
                </c:pt>
                <c:pt idx="3">
                  <c:v>4543.3579823269692</c:v>
                </c:pt>
                <c:pt idx="4">
                  <c:v>4606.2280993468812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6081552"/>
        <c:axId val="-266085360"/>
      </c:scatterChart>
      <c:valAx>
        <c:axId val="-266081552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85360"/>
        <c:crosses val="autoZero"/>
        <c:crossBetween val="midCat"/>
      </c:valAx>
      <c:valAx>
        <c:axId val="-266085360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5.0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5.0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11547360680142"/>
                  <c:y val="-0.2292478901633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targets'!$L$100:$L$105</c:f>
              <c:numCache>
                <c:formatCode>0</c:formatCode>
                <c:ptCount val="6"/>
                <c:pt idx="0">
                  <c:v>339</c:v>
                </c:pt>
                <c:pt idx="1">
                  <c:v>370.5</c:v>
                </c:pt>
                <c:pt idx="2">
                  <c:v>405</c:v>
                </c:pt>
                <c:pt idx="3" formatCode="General">
                  <c:v>413.5</c:v>
                </c:pt>
                <c:pt idx="4">
                  <c:v>463.5</c:v>
                </c:pt>
                <c:pt idx="5">
                  <c:v>472</c:v>
                </c:pt>
              </c:numCache>
            </c:numRef>
          </c:xVal>
          <c:yVal>
            <c:numRef>
              <c:f>'Sn+Al targets'!$K$100:$K$105</c:f>
              <c:numCache>
                <c:formatCode>0</c:formatCode>
                <c:ptCount val="6"/>
                <c:pt idx="0">
                  <c:v>3601.3603252040011</c:v>
                </c:pt>
                <c:pt idx="1">
                  <c:v>3909.289944099171</c:v>
                </c:pt>
                <c:pt idx="2">
                  <c:v>4321.6528739353071</c:v>
                </c:pt>
                <c:pt idx="3">
                  <c:v>4346.6455203510932</c:v>
                </c:pt>
                <c:pt idx="4">
                  <c:v>4833.3595556669889</c:v>
                </c:pt>
                <c:pt idx="5">
                  <c:v>4900.2426588796607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6093520"/>
        <c:axId val="-266089168"/>
      </c:scatterChart>
      <c:valAx>
        <c:axId val="-266093520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89168"/>
        <c:crosses val="autoZero"/>
        <c:crossBetween val="midCat"/>
      </c:valAx>
      <c:valAx>
        <c:axId val="-266089168"/>
        <c:scaling>
          <c:orientation val="minMax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6609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119062</xdr:rowOff>
    </xdr:from>
    <xdr:to>
      <xdr:col>11</xdr:col>
      <xdr:colOff>390525</xdr:colOff>
      <xdr:row>19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29</xdr:row>
      <xdr:rowOff>119062</xdr:rowOff>
    </xdr:from>
    <xdr:to>
      <xdr:col>11</xdr:col>
      <xdr:colOff>390525</xdr:colOff>
      <xdr:row>38</xdr:row>
      <xdr:rowOff>9525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48</xdr:row>
      <xdr:rowOff>119062</xdr:rowOff>
    </xdr:from>
    <xdr:to>
      <xdr:col>11</xdr:col>
      <xdr:colOff>390525</xdr:colOff>
      <xdr:row>57</xdr:row>
      <xdr:rowOff>9525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67</xdr:row>
      <xdr:rowOff>119062</xdr:rowOff>
    </xdr:from>
    <xdr:to>
      <xdr:col>11</xdr:col>
      <xdr:colOff>390525</xdr:colOff>
      <xdr:row>76</xdr:row>
      <xdr:rowOff>9525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9525</xdr:colOff>
      <xdr:row>86</xdr:row>
      <xdr:rowOff>119062</xdr:rowOff>
    </xdr:from>
    <xdr:to>
      <xdr:col>11</xdr:col>
      <xdr:colOff>390525</xdr:colOff>
      <xdr:row>95</xdr:row>
      <xdr:rowOff>9525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9525</xdr:colOff>
      <xdr:row>105</xdr:row>
      <xdr:rowOff>119062</xdr:rowOff>
    </xdr:from>
    <xdr:to>
      <xdr:col>11</xdr:col>
      <xdr:colOff>390525</xdr:colOff>
      <xdr:row>114</xdr:row>
      <xdr:rowOff>9525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13</xdr:col>
      <xdr:colOff>114300</xdr:colOff>
      <xdr:row>2</xdr:row>
      <xdr:rowOff>12700</xdr:rowOff>
    </xdr:from>
    <xdr:to>
      <xdr:col>15</xdr:col>
      <xdr:colOff>660064</xdr:colOff>
      <xdr:row>8</xdr:row>
      <xdr:rowOff>171264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97900" y="577850"/>
          <a:ext cx="2685714" cy="148571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abSelected="1" zoomScaleNormal="100" workbookViewId="0">
      <selection activeCell="K26" sqref="K26"/>
    </sheetView>
  </sheetViews>
  <sheetFormatPr defaultColWidth="8.54296875" defaultRowHeight="14.5" x14ac:dyDescent="0.35"/>
  <cols>
    <col min="1" max="1" width="15.54296875" bestFit="1" customWidth="1"/>
    <col min="4" max="4" width="9.453125" customWidth="1"/>
    <col min="5" max="5" width="8.54296875" bestFit="1" customWidth="1"/>
    <col min="6" max="6" width="7.453125" bestFit="1" customWidth="1"/>
    <col min="7" max="7" width="8.453125" bestFit="1" customWidth="1"/>
    <col min="8" max="8" width="3" bestFit="1" customWidth="1"/>
    <col min="9" max="9" width="7" bestFit="1" customWidth="1"/>
    <col min="10" max="10" width="9.81640625" bestFit="1" customWidth="1"/>
    <col min="11" max="11" width="12.7265625" bestFit="1" customWidth="1"/>
    <col min="12" max="12" width="8" bestFit="1" customWidth="1"/>
    <col min="13" max="13" width="14.36328125" bestFit="1" customWidth="1"/>
    <col min="14" max="14" width="11.81640625" bestFit="1" customWidth="1"/>
    <col min="15" max="15" width="18.81640625" bestFit="1" customWidth="1"/>
    <col min="16" max="16" width="10.90625" bestFit="1" customWidth="1"/>
    <col min="17" max="17" width="9.08984375" customWidth="1"/>
    <col min="18" max="18" width="2.453125" bestFit="1" customWidth="1"/>
    <col min="19" max="19" width="4.26953125" style="83" bestFit="1" customWidth="1"/>
    <col min="20" max="20" width="7.36328125" bestFit="1" customWidth="1"/>
    <col min="21" max="21" width="5.26953125" bestFit="1" customWidth="1"/>
    <col min="22" max="22" width="2.453125" bestFit="1" customWidth="1"/>
    <col min="23" max="23" width="4.26953125" style="80" bestFit="1" customWidth="1"/>
    <col min="24" max="24" width="7.26953125" bestFit="1" customWidth="1"/>
    <col min="25" max="25" width="14.36328125" bestFit="1" customWidth="1"/>
    <col min="26" max="26" width="12.54296875" bestFit="1" customWidth="1"/>
    <col min="27" max="27" width="18.453125" customWidth="1"/>
    <col min="28" max="28" width="10.90625" bestFit="1" customWidth="1"/>
    <col min="29" max="29" width="8.90625" bestFit="1" customWidth="1"/>
    <col min="30" max="30" width="2.453125" bestFit="1" customWidth="1"/>
    <col min="31" max="31" width="2.81640625" bestFit="1" customWidth="1"/>
    <col min="32" max="32" width="7.36328125" bestFit="1" customWidth="1"/>
    <col min="33" max="33" width="7.0898437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1796875" customWidth="1"/>
    <col min="42" max="42" width="6.453125" customWidth="1"/>
    <col min="43" max="44" width="8.453125" customWidth="1"/>
    <col min="45" max="45" width="7.81640625" bestFit="1" customWidth="1"/>
    <col min="46" max="46" width="6.1796875" bestFit="1" customWidth="1"/>
  </cols>
  <sheetData>
    <row r="1" spans="1:34" ht="29.5" thickBot="1" x14ac:dyDescent="0.4">
      <c r="A1" s="125" t="s">
        <v>15</v>
      </c>
      <c r="B1" s="126">
        <v>7.31</v>
      </c>
      <c r="C1" s="127" t="s">
        <v>0</v>
      </c>
      <c r="D1" s="49" t="s">
        <v>22</v>
      </c>
      <c r="E1" s="12">
        <v>2.6989999999999998</v>
      </c>
      <c r="F1" s="13" t="s">
        <v>0</v>
      </c>
      <c r="N1" t="s">
        <v>45</v>
      </c>
    </row>
    <row r="2" spans="1:34" ht="15" thickBot="1" x14ac:dyDescent="0.4">
      <c r="M2" s="62"/>
      <c r="N2" s="133" t="s">
        <v>44</v>
      </c>
      <c r="O2" s="134"/>
      <c r="P2" s="135"/>
    </row>
    <row r="3" spans="1:34" ht="15" thickBot="1" x14ac:dyDescent="0.4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26"/>
      <c r="O3" s="26"/>
      <c r="P3" s="26"/>
      <c r="Q3" s="60"/>
      <c r="R3" s="60"/>
      <c r="S3" s="84"/>
      <c r="T3" s="60"/>
      <c r="U3" s="60"/>
      <c r="V3" s="60"/>
      <c r="W3" s="81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128"/>
    </row>
    <row r="4" spans="1:34" ht="29.5" thickBot="1" x14ac:dyDescent="0.4">
      <c r="B4" s="25"/>
      <c r="C4" s="56" t="s">
        <v>28</v>
      </c>
      <c r="D4" s="57">
        <v>3.2</v>
      </c>
      <c r="E4" s="58" t="s">
        <v>29</v>
      </c>
      <c r="F4" s="26"/>
      <c r="G4" s="24" t="s">
        <v>1</v>
      </c>
      <c r="H4" s="19" t="s">
        <v>2</v>
      </c>
      <c r="I4" s="19" t="s">
        <v>3</v>
      </c>
      <c r="J4" s="19" t="s">
        <v>4</v>
      </c>
      <c r="K4" s="19" t="s">
        <v>5</v>
      </c>
      <c r="L4" s="20" t="s">
        <v>6</v>
      </c>
      <c r="M4" s="26"/>
      <c r="N4" s="26"/>
      <c r="O4" s="26"/>
      <c r="P4" s="26"/>
      <c r="Q4" s="26"/>
      <c r="R4" s="26"/>
      <c r="S4" s="85"/>
      <c r="T4" s="26"/>
      <c r="U4" s="26"/>
      <c r="V4" s="26"/>
      <c r="W4" s="82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29"/>
    </row>
    <row r="5" spans="1:34" x14ac:dyDescent="0.35">
      <c r="B5" s="25"/>
      <c r="C5" s="26"/>
      <c r="D5" s="26"/>
      <c r="E5" s="26"/>
      <c r="F5" s="26"/>
      <c r="G5" s="45" t="s">
        <v>23</v>
      </c>
      <c r="H5" s="46">
        <v>6</v>
      </c>
      <c r="I5" s="46">
        <v>12.010999999999999</v>
      </c>
      <c r="J5" s="47">
        <f>((SQRT(1-(1/I5)^2*SIN(RADIANS(165))^2)+1/I5*COS(RADIANS(165)))/(1+1/I5))^2</f>
        <v>0.72027206504080021</v>
      </c>
      <c r="K5" s="50">
        <f t="shared" ref="K5:K10" si="0">$D$4*1000*J5</f>
        <v>2304.8706081305609</v>
      </c>
      <c r="L5" s="48">
        <v>317.5</v>
      </c>
      <c r="M5" s="26"/>
      <c r="N5" s="26"/>
      <c r="O5" s="26"/>
      <c r="P5" s="26"/>
      <c r="Q5" s="26"/>
      <c r="R5" s="26"/>
      <c r="S5" s="85"/>
      <c r="T5" s="26"/>
      <c r="U5" s="26"/>
      <c r="V5" s="26"/>
      <c r="W5" s="82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29"/>
    </row>
    <row r="6" spans="1:34" ht="15" thickBot="1" x14ac:dyDescent="0.4">
      <c r="B6" s="25"/>
      <c r="C6" s="26"/>
      <c r="D6" s="26"/>
      <c r="E6" s="26"/>
      <c r="F6" s="26"/>
      <c r="G6" s="40" t="s">
        <v>7</v>
      </c>
      <c r="H6" s="41">
        <v>8</v>
      </c>
      <c r="I6" s="42">
        <v>15.999000000000001</v>
      </c>
      <c r="J6" s="43">
        <f t="shared" ref="J6:J8" si="1">((SQRT(1-(1/I6)^2*SIN(RADIANS(165))^2)+1/I6*COS(RADIANS(165)))/(1+1/I6))^2</f>
        <v>0.78185798881983415</v>
      </c>
      <c r="K6" s="51">
        <f t="shared" si="0"/>
        <v>2501.9455642234693</v>
      </c>
      <c r="L6" s="44">
        <v>346.5</v>
      </c>
      <c r="M6" s="26"/>
      <c r="N6" s="26"/>
      <c r="O6" s="26"/>
      <c r="P6" s="26"/>
      <c r="Q6" s="26"/>
      <c r="R6" s="26"/>
      <c r="S6" s="85"/>
      <c r="T6" s="26"/>
      <c r="U6" s="26"/>
      <c r="V6" s="26"/>
      <c r="W6" s="82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129"/>
    </row>
    <row r="7" spans="1:34" ht="15" thickBot="1" x14ac:dyDescent="0.4">
      <c r="B7" s="25"/>
      <c r="C7" s="26"/>
      <c r="D7" s="131">
        <f t="array" ref="D7:E10">LINEST(K5:K10,L5:L10,TRUE,TRUE)</f>
        <v>6.7295795531372953</v>
      </c>
      <c r="E7" s="132">
        <v>166.16581417456018</v>
      </c>
      <c r="F7" s="26"/>
      <c r="G7" s="22" t="s">
        <v>19</v>
      </c>
      <c r="H7" s="21">
        <v>13</v>
      </c>
      <c r="I7" s="21">
        <v>26.98</v>
      </c>
      <c r="J7" s="39">
        <f t="shared" si="1"/>
        <v>0.86433057478706143</v>
      </c>
      <c r="K7" s="52">
        <f>$K$9*J7</f>
        <v>2673.6770834573981</v>
      </c>
      <c r="L7" s="23">
        <v>376</v>
      </c>
      <c r="M7" s="26"/>
      <c r="N7" s="26"/>
      <c r="O7" s="26"/>
      <c r="P7" s="26"/>
      <c r="Q7" s="26"/>
      <c r="R7" s="26"/>
      <c r="S7" s="85"/>
      <c r="T7" s="26"/>
      <c r="U7" s="26"/>
      <c r="V7" s="26"/>
      <c r="W7" s="82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29"/>
    </row>
    <row r="8" spans="1:34" ht="15.75" customHeight="1" x14ac:dyDescent="0.35">
      <c r="B8" s="25"/>
      <c r="C8" s="26"/>
      <c r="D8" s="25">
        <v>0.13198714197934402</v>
      </c>
      <c r="E8" s="129">
        <v>50.986080861768841</v>
      </c>
      <c r="F8" s="26"/>
      <c r="G8" s="27" t="s">
        <v>26</v>
      </c>
      <c r="H8" s="28">
        <v>14</v>
      </c>
      <c r="I8" s="28">
        <v>28.09</v>
      </c>
      <c r="J8" s="37">
        <f t="shared" si="1"/>
        <v>0.86932910407021868</v>
      </c>
      <c r="K8" s="53">
        <f t="shared" si="0"/>
        <v>2781.8531330246997</v>
      </c>
      <c r="L8" s="29">
        <v>386.5</v>
      </c>
      <c r="M8" s="26"/>
      <c r="N8" s="26"/>
      <c r="O8" s="26"/>
      <c r="P8" s="26"/>
      <c r="Q8" s="26"/>
      <c r="R8" s="26"/>
      <c r="S8" s="85"/>
      <c r="T8" s="26"/>
      <c r="U8" s="26"/>
      <c r="V8" s="26"/>
      <c r="W8" s="82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29"/>
    </row>
    <row r="9" spans="1:34" x14ac:dyDescent="0.35">
      <c r="B9" s="25"/>
      <c r="C9" s="26"/>
      <c r="D9" s="25">
        <v>0.9984636871861734</v>
      </c>
      <c r="E9" s="129">
        <v>14.31459731733414</v>
      </c>
      <c r="F9" s="26"/>
      <c r="G9" s="32" t="s">
        <v>16</v>
      </c>
      <c r="H9" s="30">
        <v>50</v>
      </c>
      <c r="I9" s="30">
        <v>116</v>
      </c>
      <c r="J9" s="31">
        <f>((SQRT(1-(1/I9)^2*SIN(RADIANS(165))^2)+1/I9*COS(RADIANS(165)))/(1+1/I9))^2</f>
        <v>0.96667191113339779</v>
      </c>
      <c r="K9" s="54">
        <f t="shared" si="0"/>
        <v>3093.350115626873</v>
      </c>
      <c r="L9" s="35">
        <v>434</v>
      </c>
      <c r="M9" s="26"/>
      <c r="N9" s="26"/>
      <c r="O9" s="26"/>
      <c r="P9" s="26"/>
      <c r="Q9" s="26"/>
      <c r="R9" s="26"/>
      <c r="S9" s="85"/>
      <c r="T9" s="26"/>
      <c r="U9" s="26"/>
      <c r="V9" s="26"/>
      <c r="W9" s="82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129"/>
    </row>
    <row r="10" spans="1:34" ht="15" thickBot="1" x14ac:dyDescent="0.4">
      <c r="B10" s="25"/>
      <c r="C10" s="26"/>
      <c r="D10" s="61">
        <v>2599.6364235204678</v>
      </c>
      <c r="E10" s="130">
        <v>4</v>
      </c>
      <c r="F10" s="26"/>
      <c r="G10" s="33" t="s">
        <v>27</v>
      </c>
      <c r="H10" s="34">
        <v>78</v>
      </c>
      <c r="I10" s="34">
        <v>195.1</v>
      </c>
      <c r="J10" s="38">
        <f>((SQRT(1-(1/I10)^2*SIN(RADIANS(165))^2)+1/I10*COS(RADIANS(165)))/(1+1/I10))^2</f>
        <v>0.9800485317759321</v>
      </c>
      <c r="K10" s="55">
        <f t="shared" si="0"/>
        <v>3136.1553016829826</v>
      </c>
      <c r="L10" s="36">
        <v>442</v>
      </c>
      <c r="M10" s="26"/>
      <c r="N10" s="26"/>
      <c r="O10" s="26"/>
      <c r="P10" s="26"/>
      <c r="Q10" s="26"/>
      <c r="R10" s="26"/>
      <c r="S10" s="85"/>
      <c r="T10" s="26"/>
      <c r="U10" s="26"/>
      <c r="V10" s="26"/>
      <c r="W10" s="82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129"/>
    </row>
    <row r="11" spans="1:34" ht="44" thickBot="1" x14ac:dyDescent="0.4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" t="s">
        <v>9</v>
      </c>
      <c r="N11" s="2" t="s">
        <v>10</v>
      </c>
      <c r="O11" s="1" t="s">
        <v>11</v>
      </c>
      <c r="P11" s="2" t="s">
        <v>12</v>
      </c>
      <c r="Q11" s="3" t="s">
        <v>13</v>
      </c>
      <c r="R11" s="26"/>
      <c r="S11" s="85"/>
      <c r="T11" s="26"/>
      <c r="U11" s="26"/>
      <c r="V11" s="26"/>
      <c r="W11" s="82"/>
      <c r="X11" s="26"/>
      <c r="Y11" s="6" t="s">
        <v>24</v>
      </c>
      <c r="Z11" s="7" t="s">
        <v>10</v>
      </c>
      <c r="AA11" s="6" t="s">
        <v>25</v>
      </c>
      <c r="AB11" s="7" t="s">
        <v>12</v>
      </c>
      <c r="AC11" s="8" t="s">
        <v>13</v>
      </c>
      <c r="AD11" s="26"/>
      <c r="AE11" s="26"/>
      <c r="AF11" s="26"/>
      <c r="AG11" s="26"/>
      <c r="AH11" s="129"/>
    </row>
    <row r="12" spans="1:34" x14ac:dyDescent="0.35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4">
        <v>46.15</v>
      </c>
      <c r="N12" s="11">
        <f>M12*$B$1/10</f>
        <v>33.73565</v>
      </c>
      <c r="O12" s="15">
        <v>47.1</v>
      </c>
      <c r="P12" s="4">
        <f>O12*$B$1/10</f>
        <v>34.430099999999996</v>
      </c>
      <c r="Q12" s="14">
        <f>(($J$9/COS(RADIANS(0))*$N$12)+(1/COS(RADIANS(180-165))*$P$12))</f>
        <v>68.255967677964605</v>
      </c>
      <c r="R12" s="26"/>
      <c r="S12" s="85"/>
      <c r="T12" s="26"/>
      <c r="U12" s="26"/>
      <c r="V12" s="26"/>
      <c r="W12" s="82"/>
      <c r="X12" s="26"/>
      <c r="Y12" s="17">
        <v>80.72</v>
      </c>
      <c r="Z12" s="11">
        <f>Y12*$E$1/10</f>
        <v>21.786327999999997</v>
      </c>
      <c r="AA12" s="17">
        <v>89.5</v>
      </c>
      <c r="AB12" s="4">
        <f>AA12*$E$1/10</f>
        <v>24.15605</v>
      </c>
      <c r="AC12" s="10">
        <f>(($J$7/COS(RADIANS(0))*Z12)+(1/COS(RADIANS(180-165))*AB12))</f>
        <v>43.838772580534439</v>
      </c>
      <c r="AD12" s="26"/>
      <c r="AE12" s="26"/>
      <c r="AF12" s="26"/>
      <c r="AG12" s="26"/>
      <c r="AH12" s="129"/>
    </row>
    <row r="13" spans="1:34" ht="17.25" customHeight="1" x14ac:dyDescent="0.35"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85"/>
      <c r="T13" s="26"/>
      <c r="U13" s="26"/>
      <c r="V13" s="26"/>
      <c r="W13" s="82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29"/>
    </row>
    <row r="14" spans="1:34" ht="15" thickBot="1" x14ac:dyDescent="0.4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85"/>
      <c r="T14" s="26"/>
      <c r="U14" s="26"/>
      <c r="V14" s="26"/>
      <c r="W14" s="82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129"/>
    </row>
    <row r="15" spans="1:34" ht="29.5" thickBot="1" x14ac:dyDescent="0.4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9" t="s">
        <v>30</v>
      </c>
      <c r="N15" s="63" t="s">
        <v>17</v>
      </c>
      <c r="O15" s="64" t="s">
        <v>18</v>
      </c>
      <c r="P15" s="102" t="s">
        <v>8</v>
      </c>
      <c r="Q15" s="104" t="s">
        <v>41</v>
      </c>
      <c r="R15" s="70"/>
      <c r="S15" s="86"/>
      <c r="T15" s="96" t="s">
        <v>42</v>
      </c>
      <c r="U15" s="97" t="s">
        <v>37</v>
      </c>
      <c r="V15" s="98"/>
      <c r="W15" s="99"/>
      <c r="X15" s="26"/>
      <c r="Y15" s="26"/>
      <c r="Z15" s="5" t="s">
        <v>20</v>
      </c>
      <c r="AA15" s="6" t="s">
        <v>21</v>
      </c>
      <c r="AB15" s="7" t="s">
        <v>8</v>
      </c>
      <c r="AC15" s="72" t="s">
        <v>41</v>
      </c>
      <c r="AD15" s="73"/>
      <c r="AE15" s="73"/>
      <c r="AF15" s="101" t="s">
        <v>42</v>
      </c>
      <c r="AG15" s="26"/>
      <c r="AH15" s="129"/>
    </row>
    <row r="16" spans="1:34" ht="15" thickBot="1" x14ac:dyDescent="0.4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8"/>
      <c r="N16" s="65">
        <v>434</v>
      </c>
      <c r="O16" s="66">
        <v>420</v>
      </c>
      <c r="P16" s="103">
        <f>(N16-O16)*D7</f>
        <v>94.214113743922127</v>
      </c>
      <c r="Q16" s="109">
        <f>P16*10^3/Q12</f>
        <v>1380.3058831196925</v>
      </c>
      <c r="R16" s="110" t="s">
        <v>40</v>
      </c>
      <c r="S16" s="111">
        <f>Q16/D7*D8</f>
        <v>27.071918406152147</v>
      </c>
      <c r="T16" s="112">
        <v>1383</v>
      </c>
      <c r="U16" s="113">
        <v>1339</v>
      </c>
      <c r="V16" s="114" t="s">
        <v>40</v>
      </c>
      <c r="W16" s="115">
        <v>37</v>
      </c>
      <c r="X16" s="67" t="s">
        <v>43</v>
      </c>
      <c r="Y16" s="26"/>
      <c r="Z16" s="116">
        <v>376</v>
      </c>
      <c r="AA16" s="16">
        <v>368</v>
      </c>
      <c r="AB16" s="71">
        <f>(Z16-AA16)*D7</f>
        <v>53.836636425098362</v>
      </c>
      <c r="AC16" s="117">
        <f>AB16*10^3/AC12</f>
        <v>1228.0598487605293</v>
      </c>
      <c r="AD16" s="121" t="s">
        <v>40</v>
      </c>
      <c r="AE16" s="122">
        <f>AC16/D7*D8</f>
        <v>24.08591923724612</v>
      </c>
      <c r="AF16" s="123">
        <v>3.32</v>
      </c>
      <c r="AG16" s="67" t="s">
        <v>43</v>
      </c>
      <c r="AH16" s="129"/>
    </row>
    <row r="17" spans="2:34" ht="15" thickBot="1" x14ac:dyDescent="0.4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107"/>
      <c r="R17" s="74"/>
      <c r="S17" s="108"/>
      <c r="T17" s="100"/>
      <c r="U17" s="100"/>
      <c r="V17" s="74"/>
      <c r="W17" s="105"/>
      <c r="X17" s="26"/>
      <c r="Y17" s="26"/>
      <c r="Z17" s="26"/>
      <c r="AA17" s="26"/>
      <c r="AB17" s="26"/>
      <c r="AC17" s="69"/>
      <c r="AD17" s="68"/>
      <c r="AE17" s="87"/>
      <c r="AF17" s="78"/>
      <c r="AG17" s="26"/>
      <c r="AH17" s="129"/>
    </row>
    <row r="18" spans="2:34" ht="15" thickBot="1" x14ac:dyDescent="0.4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94">
        <f>Q16*$B$1*10^(-7)*10^3</f>
        <v>1.009003600560495</v>
      </c>
      <c r="R18" s="92" t="s">
        <v>40</v>
      </c>
      <c r="S18" s="93">
        <f>S16*$B$1*10^(-7)*10^3</f>
        <v>1.9789572354897218E-2</v>
      </c>
      <c r="T18" s="79">
        <f>T16*$B$1*10^(-7)*10^3</f>
        <v>1.0109729999999999</v>
      </c>
      <c r="U18" s="95">
        <f>U16*$B$1*10^(-7)*10^3</f>
        <v>0.97880899999999993</v>
      </c>
      <c r="V18" s="76" t="s">
        <v>40</v>
      </c>
      <c r="W18" s="106">
        <f>W16*$B$1*10^(-7)*10^3</f>
        <v>2.7046999999999998E-2</v>
      </c>
      <c r="X18" s="67" t="s">
        <v>36</v>
      </c>
      <c r="Y18" s="26"/>
      <c r="Z18" s="26"/>
      <c r="AA18" s="26"/>
      <c r="AB18" s="26"/>
      <c r="AC18" s="118">
        <f>AC16*$E$1/10</f>
        <v>331.45335318046688</v>
      </c>
      <c r="AD18" s="119" t="s">
        <v>40</v>
      </c>
      <c r="AE18" s="120">
        <f>AE16*$E$1*10^(-7)*10^6</f>
        <v>6.5007896021327269</v>
      </c>
      <c r="AF18" s="124">
        <f>AF16*$E$1/10</f>
        <v>0.89606799999999986</v>
      </c>
      <c r="AG18" s="67" t="s">
        <v>38</v>
      </c>
      <c r="AH18" s="129"/>
    </row>
    <row r="19" spans="2:34" x14ac:dyDescent="0.35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85"/>
      <c r="T19" s="26"/>
      <c r="U19" s="74"/>
      <c r="V19" s="74"/>
      <c r="W19" s="89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129"/>
    </row>
    <row r="20" spans="2:34" ht="15" thickBot="1" x14ac:dyDescent="0.4"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88"/>
      <c r="T20" s="62"/>
      <c r="U20" s="75"/>
      <c r="V20" s="75"/>
      <c r="W20" s="90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130"/>
    </row>
    <row r="21" spans="2:34" ht="15" thickBot="1" x14ac:dyDescent="0.4">
      <c r="U21" s="77"/>
      <c r="V21" s="77"/>
      <c r="W21" s="91"/>
      <c r="AD21" s="26"/>
      <c r="AF21" s="26"/>
    </row>
    <row r="22" spans="2:34" ht="15" thickBot="1" x14ac:dyDescent="0.4">
      <c r="B22" s="59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84"/>
      <c r="T22" s="60"/>
      <c r="U22" s="60"/>
      <c r="V22" s="60"/>
      <c r="W22" s="81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128"/>
    </row>
    <row r="23" spans="2:34" ht="29.5" thickBot="1" x14ac:dyDescent="0.4">
      <c r="B23" s="25"/>
      <c r="C23" s="56" t="s">
        <v>28</v>
      </c>
      <c r="D23" s="57">
        <v>3.5</v>
      </c>
      <c r="E23" s="58" t="s">
        <v>29</v>
      </c>
      <c r="F23" s="26"/>
      <c r="G23" s="24" t="s">
        <v>1</v>
      </c>
      <c r="H23" s="19" t="s">
        <v>2</v>
      </c>
      <c r="I23" s="19" t="s">
        <v>3</v>
      </c>
      <c r="J23" s="19" t="s">
        <v>4</v>
      </c>
      <c r="K23" s="19" t="s">
        <v>5</v>
      </c>
      <c r="L23" s="20" t="s">
        <v>6</v>
      </c>
      <c r="M23" s="26"/>
      <c r="N23" s="26"/>
      <c r="O23" s="26"/>
      <c r="P23" s="26"/>
      <c r="Q23" s="26"/>
      <c r="R23" s="26"/>
      <c r="S23" s="85"/>
      <c r="T23" s="26"/>
      <c r="U23" s="26"/>
      <c r="V23" s="26"/>
      <c r="W23" s="82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129"/>
    </row>
    <row r="24" spans="2:34" x14ac:dyDescent="0.35">
      <c r="B24" s="25"/>
      <c r="C24" s="26"/>
      <c r="D24" s="26"/>
      <c r="E24" s="26"/>
      <c r="F24" s="26"/>
      <c r="G24" s="45" t="s">
        <v>23</v>
      </c>
      <c r="H24" s="46">
        <v>6</v>
      </c>
      <c r="I24" s="46">
        <v>12.010999999999999</v>
      </c>
      <c r="J24" s="47">
        <f>((SQRT(1-(1/I24)^2*SIN(RADIANS(165))^2)+1/I24*COS(RADIANS(165)))/(1+1/I24))^2</f>
        <v>0.72027206504080021</v>
      </c>
      <c r="K24" s="50">
        <f>$D$23*1000*J24</f>
        <v>2520.9522276428006</v>
      </c>
      <c r="L24" s="48">
        <v>350</v>
      </c>
      <c r="M24" s="26"/>
      <c r="N24" s="26"/>
      <c r="O24" s="26"/>
      <c r="P24" s="26"/>
      <c r="Q24" s="26"/>
      <c r="R24" s="26"/>
      <c r="S24" s="85"/>
      <c r="T24" s="26"/>
      <c r="U24" s="26"/>
      <c r="V24" s="26"/>
      <c r="W24" s="82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129"/>
    </row>
    <row r="25" spans="2:34" ht="15" thickBot="1" x14ac:dyDescent="0.4">
      <c r="B25" s="25"/>
      <c r="C25" s="26"/>
      <c r="D25" s="26"/>
      <c r="E25" s="26"/>
      <c r="F25" s="26"/>
      <c r="G25" s="40" t="s">
        <v>7</v>
      </c>
      <c r="H25" s="41">
        <v>8</v>
      </c>
      <c r="I25" s="42">
        <v>15.999000000000001</v>
      </c>
      <c r="J25" s="43">
        <f t="shared" ref="J25:J27" si="2">((SQRT(1-(1/I25)^2*SIN(RADIANS(165))^2)+1/I25*COS(RADIANS(165)))/(1+1/I25))^2</f>
        <v>0.78185798881983415</v>
      </c>
      <c r="K25" s="51">
        <f t="shared" ref="K25:K29" si="3">$D$23*1000*J25</f>
        <v>2736.5029608694194</v>
      </c>
      <c r="L25" s="44">
        <v>382</v>
      </c>
      <c r="M25" s="26"/>
      <c r="N25" s="26"/>
      <c r="O25" s="26"/>
      <c r="P25" s="26"/>
      <c r="Q25" s="26"/>
      <c r="R25" s="26"/>
      <c r="S25" s="85"/>
      <c r="T25" s="26"/>
      <c r="U25" s="26"/>
      <c r="V25" s="26"/>
      <c r="W25" s="82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129"/>
    </row>
    <row r="26" spans="2:34" ht="15" thickBot="1" x14ac:dyDescent="0.4">
      <c r="B26" s="25"/>
      <c r="C26" s="26"/>
      <c r="D26" s="131">
        <f t="array" ref="D26:E29">LINEST(K24:K29,L24:L29,TRUE,TRUE)</f>
        <v>6.7252740680271748</v>
      </c>
      <c r="E26" s="132">
        <v>174.9773679730506</v>
      </c>
      <c r="F26" s="26"/>
      <c r="G26" s="22" t="s">
        <v>19</v>
      </c>
      <c r="H26" s="21">
        <v>13</v>
      </c>
      <c r="I26" s="21">
        <v>26.98</v>
      </c>
      <c r="J26" s="39">
        <f t="shared" si="2"/>
        <v>0.86433057478706143</v>
      </c>
      <c r="K26" s="52">
        <f t="shared" si="3"/>
        <v>3025.1570117547149</v>
      </c>
      <c r="L26" s="23">
        <v>420</v>
      </c>
      <c r="M26" s="26"/>
      <c r="N26" s="26"/>
      <c r="O26" s="26"/>
      <c r="P26" s="26"/>
      <c r="Q26" s="26"/>
      <c r="R26" s="26"/>
      <c r="S26" s="85"/>
      <c r="T26" s="26"/>
      <c r="U26" s="26"/>
      <c r="V26" s="26"/>
      <c r="W26" s="82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129"/>
    </row>
    <row r="27" spans="2:34" x14ac:dyDescent="0.35">
      <c r="B27" s="25"/>
      <c r="C27" s="26"/>
      <c r="D27" s="25">
        <v>0.13109567423964927</v>
      </c>
      <c r="E27" s="129">
        <v>55.876727831054865</v>
      </c>
      <c r="F27" s="26"/>
      <c r="G27" s="27" t="s">
        <v>26</v>
      </c>
      <c r="H27" s="28">
        <v>14</v>
      </c>
      <c r="I27" s="28">
        <v>28.09</v>
      </c>
      <c r="J27" s="37">
        <f t="shared" si="2"/>
        <v>0.86932910407021868</v>
      </c>
      <c r="K27" s="53">
        <f t="shared" si="3"/>
        <v>3042.6518642457654</v>
      </c>
      <c r="L27" s="29">
        <v>426</v>
      </c>
      <c r="M27" s="26"/>
      <c r="N27" s="26"/>
      <c r="O27" s="26"/>
      <c r="P27" s="26"/>
      <c r="Q27" s="26"/>
      <c r="R27" s="26"/>
      <c r="S27" s="85"/>
      <c r="T27" s="26"/>
      <c r="U27" s="26"/>
      <c r="V27" s="26"/>
      <c r="W27" s="82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29"/>
    </row>
    <row r="28" spans="2:34" x14ac:dyDescent="0.35">
      <c r="B28" s="25"/>
      <c r="C28" s="26"/>
      <c r="D28" s="25">
        <v>0.99848240057289417</v>
      </c>
      <c r="E28" s="129">
        <v>15.462344374388723</v>
      </c>
      <c r="F28" s="26"/>
      <c r="G28" s="32" t="s">
        <v>16</v>
      </c>
      <c r="H28" s="30">
        <v>50</v>
      </c>
      <c r="I28" s="30">
        <v>116</v>
      </c>
      <c r="J28" s="31">
        <f>((SQRT(1-(1/I28)^2*SIN(RADIANS(165))^2)+1/I28*COS(RADIANS(165)))/(1+1/I28))^2</f>
        <v>0.96667191113339779</v>
      </c>
      <c r="K28" s="54">
        <f t="shared" si="3"/>
        <v>3383.3516889668922</v>
      </c>
      <c r="L28" s="35">
        <v>477</v>
      </c>
      <c r="M28" s="26"/>
      <c r="N28" s="26"/>
      <c r="O28" s="26"/>
      <c r="P28" s="26"/>
      <c r="Q28" s="26"/>
      <c r="R28" s="26"/>
      <c r="S28" s="85"/>
      <c r="T28" s="26"/>
      <c r="U28" s="26"/>
      <c r="V28" s="26"/>
      <c r="W28" s="82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129"/>
    </row>
    <row r="29" spans="2:34" ht="15" thickBot="1" x14ac:dyDescent="0.4">
      <c r="B29" s="25"/>
      <c r="C29" s="26"/>
      <c r="D29" s="61">
        <v>2631.7416381135326</v>
      </c>
      <c r="E29" s="130">
        <v>4</v>
      </c>
      <c r="F29" s="26"/>
      <c r="G29" s="33" t="s">
        <v>27</v>
      </c>
      <c r="H29" s="34">
        <v>78</v>
      </c>
      <c r="I29" s="34">
        <v>195.1</v>
      </c>
      <c r="J29" s="38">
        <f>((SQRT(1-(1/I29)^2*SIN(RADIANS(165))^2)+1/I29*COS(RADIANS(165)))/(1+1/I29))^2</f>
        <v>0.9800485317759321</v>
      </c>
      <c r="K29" s="55">
        <f t="shared" si="3"/>
        <v>3430.1698612157625</v>
      </c>
      <c r="L29" s="36">
        <v>486</v>
      </c>
      <c r="M29" s="26"/>
      <c r="N29" s="26"/>
      <c r="O29" s="26"/>
      <c r="P29" s="26"/>
      <c r="Q29" s="26"/>
      <c r="R29" s="26"/>
      <c r="S29" s="85"/>
      <c r="T29" s="26"/>
      <c r="U29" s="26"/>
      <c r="V29" s="26"/>
      <c r="W29" s="82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129"/>
    </row>
    <row r="30" spans="2:34" ht="44" thickBot="1" x14ac:dyDescent="0.4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1" t="s">
        <v>9</v>
      </c>
      <c r="N30" s="2" t="s">
        <v>10</v>
      </c>
      <c r="O30" s="1" t="s">
        <v>11</v>
      </c>
      <c r="P30" s="2" t="s">
        <v>12</v>
      </c>
      <c r="Q30" s="3" t="s">
        <v>13</v>
      </c>
      <c r="R30" s="26"/>
      <c r="S30" s="85"/>
      <c r="T30" s="26"/>
      <c r="U30" s="26"/>
      <c r="V30" s="26"/>
      <c r="W30" s="82"/>
      <c r="X30" s="26"/>
      <c r="Y30" s="6" t="s">
        <v>24</v>
      </c>
      <c r="Z30" s="7" t="s">
        <v>10</v>
      </c>
      <c r="AA30" s="6" t="s">
        <v>25</v>
      </c>
      <c r="AB30" s="7" t="s">
        <v>12</v>
      </c>
      <c r="AC30" s="8" t="s">
        <v>13</v>
      </c>
      <c r="AD30" s="26"/>
      <c r="AE30" s="26"/>
      <c r="AF30" s="26"/>
      <c r="AG30" s="26"/>
      <c r="AH30" s="129"/>
    </row>
    <row r="31" spans="2:34" x14ac:dyDescent="0.3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4">
        <v>43.69</v>
      </c>
      <c r="N31" s="11">
        <f>M31*$B$1/10</f>
        <v>31.937390000000001</v>
      </c>
      <c r="O31" s="15">
        <v>44.61</v>
      </c>
      <c r="P31" s="4">
        <f>O31*$B$1/10</f>
        <v>32.609909999999999</v>
      </c>
      <c r="Q31" s="14">
        <f>(($J$28/COS(RADIANS(0))*$N$31)+(1/COS(RADIANS(180-165))*$P$31))</f>
        <v>64.633240896229239</v>
      </c>
      <c r="R31" s="26"/>
      <c r="S31" s="85"/>
      <c r="T31" s="26"/>
      <c r="U31" s="26"/>
      <c r="V31" s="26"/>
      <c r="W31" s="82"/>
      <c r="X31" s="26"/>
      <c r="Y31" s="17">
        <v>75.7</v>
      </c>
      <c r="Z31" s="11">
        <f>Y31*$E$1/10</f>
        <v>20.431429999999999</v>
      </c>
      <c r="AA31" s="17">
        <v>82.01</v>
      </c>
      <c r="AB31" s="4">
        <f>AA31*$E$1/10</f>
        <v>22.134498999999998</v>
      </c>
      <c r="AC31" s="10">
        <f>(($J$26/COS(RADIANS(0))*Z31)+(1/COS(RADIANS(180-165))*AB31))</f>
        <v>40.574829215632406</v>
      </c>
      <c r="AD31" s="26"/>
      <c r="AE31" s="26"/>
      <c r="AF31" s="26"/>
      <c r="AG31" s="26"/>
      <c r="AH31" s="129"/>
    </row>
    <row r="32" spans="2:34" x14ac:dyDescent="0.3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85"/>
      <c r="T32" s="26"/>
      <c r="U32" s="26"/>
      <c r="V32" s="26"/>
      <c r="W32" s="82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129"/>
    </row>
    <row r="33" spans="2:34" ht="15" thickBot="1" x14ac:dyDescent="0.4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85"/>
      <c r="T33" s="26"/>
      <c r="U33" s="26"/>
      <c r="V33" s="26"/>
      <c r="W33" s="82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129"/>
    </row>
    <row r="34" spans="2:34" ht="29.5" thickBot="1" x14ac:dyDescent="0.4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9" t="s">
        <v>31</v>
      </c>
      <c r="N34" s="63" t="s">
        <v>17</v>
      </c>
      <c r="O34" s="64" t="s">
        <v>18</v>
      </c>
      <c r="P34" s="102" t="s">
        <v>8</v>
      </c>
      <c r="Q34" s="104" t="s">
        <v>41</v>
      </c>
      <c r="R34" s="70"/>
      <c r="S34" s="86"/>
      <c r="T34" s="96" t="s">
        <v>42</v>
      </c>
      <c r="U34" s="97" t="s">
        <v>37</v>
      </c>
      <c r="V34" s="98"/>
      <c r="W34" s="99"/>
      <c r="X34" s="26"/>
      <c r="Y34" s="26"/>
      <c r="Z34" s="5" t="s">
        <v>20</v>
      </c>
      <c r="AA34" s="6" t="s">
        <v>21</v>
      </c>
      <c r="AB34" s="7" t="s">
        <v>8</v>
      </c>
      <c r="AC34" s="72" t="s">
        <v>14</v>
      </c>
      <c r="AD34" s="73"/>
      <c r="AE34" s="73"/>
      <c r="AF34" s="101" t="s">
        <v>39</v>
      </c>
      <c r="AG34" s="26"/>
      <c r="AH34" s="129"/>
    </row>
    <row r="35" spans="2:34" ht="15" thickBot="1" x14ac:dyDescent="0.4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18"/>
      <c r="N35" s="65">
        <v>477</v>
      </c>
      <c r="O35" s="66">
        <v>464</v>
      </c>
      <c r="P35" s="103">
        <f>(N35-O35)*D26</f>
        <v>87.428562884353269</v>
      </c>
      <c r="Q35" s="109">
        <f>P35*10^3/Q31</f>
        <v>1352.6872809104941</v>
      </c>
      <c r="R35" s="110" t="s">
        <v>40</v>
      </c>
      <c r="S35" s="111">
        <f>Q35/D26*D27</f>
        <v>26.36791442737119</v>
      </c>
      <c r="T35" s="112">
        <v>1387</v>
      </c>
      <c r="U35" s="113">
        <v>1361</v>
      </c>
      <c r="V35" s="114" t="s">
        <v>40</v>
      </c>
      <c r="W35" s="115">
        <v>21</v>
      </c>
      <c r="X35" s="67" t="s">
        <v>43</v>
      </c>
      <c r="Y35" s="26"/>
      <c r="Z35" s="116">
        <v>414</v>
      </c>
      <c r="AA35" s="16">
        <v>407</v>
      </c>
      <c r="AB35" s="71">
        <f>(Z35-AA35)*D26</f>
        <v>47.076918476190222</v>
      </c>
      <c r="AC35" s="117">
        <f>AB35*10^3/AC31</f>
        <v>1160.2493315745796</v>
      </c>
      <c r="AD35" s="121" t="s">
        <v>40</v>
      </c>
      <c r="AE35" s="122">
        <f>AC35/D26*D27</f>
        <v>22.616724146900197</v>
      </c>
      <c r="AF35" s="123">
        <v>2.4900000000000002</v>
      </c>
      <c r="AG35" s="67" t="s">
        <v>43</v>
      </c>
      <c r="AH35" s="129"/>
    </row>
    <row r="36" spans="2:34" ht="15" thickBot="1" x14ac:dyDescent="0.4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107"/>
      <c r="R36" s="74"/>
      <c r="S36" s="108"/>
      <c r="T36" s="100"/>
      <c r="U36" s="100"/>
      <c r="V36" s="74"/>
      <c r="W36" s="105"/>
      <c r="X36" s="26"/>
      <c r="Y36" s="26"/>
      <c r="Z36" s="26"/>
      <c r="AA36" s="26"/>
      <c r="AB36" s="26"/>
      <c r="AC36" s="69"/>
      <c r="AD36" s="68"/>
      <c r="AE36" s="87"/>
      <c r="AF36" s="78"/>
      <c r="AG36" s="26"/>
      <c r="AH36" s="129"/>
    </row>
    <row r="37" spans="2:34" ht="15" thickBot="1" x14ac:dyDescent="0.4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94">
        <f>Q35*$B$1*10^(-7)*10^3</f>
        <v>0.98881440234557116</v>
      </c>
      <c r="R37" s="92" t="s">
        <v>40</v>
      </c>
      <c r="S37" s="93">
        <f>S35*$B$1*10^(-7)*10^3</f>
        <v>1.9274945446408339E-2</v>
      </c>
      <c r="T37" s="79">
        <f>T35*$B$1*10^(-7)*10^3</f>
        <v>1.0138969999999998</v>
      </c>
      <c r="U37" s="95">
        <f>U35*$B$1*10^(-7)*10^3</f>
        <v>0.99489099999999997</v>
      </c>
      <c r="V37" s="76" t="s">
        <v>40</v>
      </c>
      <c r="W37" s="106">
        <f>W35*$B$1*10^(-7)*10^3</f>
        <v>1.5351E-2</v>
      </c>
      <c r="X37" s="67" t="s">
        <v>36</v>
      </c>
      <c r="Y37" s="26"/>
      <c r="Z37" s="26"/>
      <c r="AA37" s="26"/>
      <c r="AB37" s="26"/>
      <c r="AC37" s="118">
        <f>AC35*$E$1/10</f>
        <v>313.15129459197902</v>
      </c>
      <c r="AD37" s="119" t="s">
        <v>40</v>
      </c>
      <c r="AE37" s="120">
        <f>AE35*$E$1*10^(-7)*10^6</f>
        <v>6.104253847248363</v>
      </c>
      <c r="AF37" s="124">
        <f>AF35*$E$1/10</f>
        <v>0.67205099999999995</v>
      </c>
      <c r="AG37" s="67" t="s">
        <v>38</v>
      </c>
      <c r="AH37" s="129"/>
    </row>
    <row r="38" spans="2:34" x14ac:dyDescent="0.35"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85"/>
      <c r="T38" s="26"/>
      <c r="U38" s="74"/>
      <c r="V38" s="74"/>
      <c r="W38" s="89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129"/>
    </row>
    <row r="39" spans="2:34" ht="15" thickBot="1" x14ac:dyDescent="0.4"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88"/>
      <c r="T39" s="62"/>
      <c r="U39" s="75"/>
      <c r="V39" s="75"/>
      <c r="W39" s="90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130"/>
    </row>
    <row r="40" spans="2:34" ht="15" thickBot="1" x14ac:dyDescent="0.4">
      <c r="U40" s="77"/>
      <c r="V40" s="77"/>
      <c r="W40" s="91"/>
      <c r="AD40" s="26"/>
      <c r="AF40" s="26"/>
    </row>
    <row r="41" spans="2:34" ht="15" thickBot="1" x14ac:dyDescent="0.4">
      <c r="B41" s="59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84"/>
      <c r="T41" s="60"/>
      <c r="U41" s="60"/>
      <c r="V41" s="60"/>
      <c r="W41" s="81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128"/>
    </row>
    <row r="42" spans="2:34" ht="29.5" thickBot="1" x14ac:dyDescent="0.4">
      <c r="B42" s="25"/>
      <c r="C42" s="56" t="s">
        <v>28</v>
      </c>
      <c r="D42" s="57">
        <v>3.9</v>
      </c>
      <c r="E42" s="58" t="s">
        <v>29</v>
      </c>
      <c r="F42" s="26"/>
      <c r="G42" s="24" t="s">
        <v>1</v>
      </c>
      <c r="H42" s="19" t="s">
        <v>2</v>
      </c>
      <c r="I42" s="19" t="s">
        <v>3</v>
      </c>
      <c r="J42" s="19" t="s">
        <v>4</v>
      </c>
      <c r="K42" s="19" t="s">
        <v>5</v>
      </c>
      <c r="L42" s="20" t="s">
        <v>6</v>
      </c>
      <c r="M42" s="26"/>
      <c r="N42" s="26"/>
      <c r="O42" s="26"/>
      <c r="P42" s="26"/>
      <c r="Q42" s="26"/>
      <c r="R42" s="26"/>
      <c r="S42" s="85"/>
      <c r="T42" s="26"/>
      <c r="U42" s="26"/>
      <c r="V42" s="26"/>
      <c r="W42" s="82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129"/>
    </row>
    <row r="43" spans="2:34" x14ac:dyDescent="0.35">
      <c r="B43" s="25"/>
      <c r="C43" s="26"/>
      <c r="D43" s="26"/>
      <c r="E43" s="26"/>
      <c r="F43" s="26"/>
      <c r="G43" s="45" t="s">
        <v>23</v>
      </c>
      <c r="H43" s="46">
        <v>6</v>
      </c>
      <c r="I43" s="46">
        <v>12.010999999999999</v>
      </c>
      <c r="J43" s="47">
        <f>((SQRT(1-(1/I43)^2*SIN(RADIANS(165))^2)+1/I43*COS(RADIANS(165)))/(1+1/I43))^2</f>
        <v>0.72027206504080021</v>
      </c>
      <c r="K43" s="50">
        <f>$D$42*1000*J43</f>
        <v>2809.0610536591207</v>
      </c>
      <c r="L43" s="48">
        <v>300</v>
      </c>
      <c r="M43" s="26"/>
      <c r="N43" s="26"/>
      <c r="O43" s="26"/>
      <c r="P43" s="26"/>
      <c r="Q43" s="26"/>
      <c r="R43" s="26"/>
      <c r="S43" s="85"/>
      <c r="T43" s="26"/>
      <c r="U43" s="26"/>
      <c r="V43" s="26"/>
      <c r="W43" s="82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129"/>
    </row>
    <row r="44" spans="2:34" ht="15" thickBot="1" x14ac:dyDescent="0.4">
      <c r="B44" s="25"/>
      <c r="C44" s="26"/>
      <c r="D44" s="26"/>
      <c r="E44" s="26"/>
      <c r="F44" s="26"/>
      <c r="G44" s="40" t="s">
        <v>7</v>
      </c>
      <c r="H44" s="41">
        <v>8</v>
      </c>
      <c r="I44" s="42">
        <v>15.999000000000001</v>
      </c>
      <c r="J44" s="43">
        <f t="shared" ref="J44:J46" si="4">((SQRT(1-(1/I44)^2*SIN(RADIANS(165))^2)+1/I44*COS(RADIANS(165)))/(1+1/I44))^2</f>
        <v>0.78185798881983415</v>
      </c>
      <c r="K44" s="51">
        <f t="shared" ref="K44:K48" si="5">$D$42*1000*J44</f>
        <v>3049.2461563973534</v>
      </c>
      <c r="L44" s="44">
        <v>328</v>
      </c>
      <c r="M44" s="26"/>
      <c r="N44" s="26"/>
      <c r="O44" s="26"/>
      <c r="P44" s="26"/>
      <c r="Q44" s="26"/>
      <c r="R44" s="26"/>
      <c r="S44" s="85"/>
      <c r="T44" s="26"/>
      <c r="U44" s="26"/>
      <c r="V44" s="26"/>
      <c r="W44" s="82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129"/>
    </row>
    <row r="45" spans="2:34" ht="15" thickBot="1" x14ac:dyDescent="0.4">
      <c r="B45" s="25"/>
      <c r="C45" s="26"/>
      <c r="D45" s="131">
        <f t="array" ref="D45:E48">LINEST(K43:K48,L43:L48,TRUE,TRUE)</f>
        <v>8.6163917435189159</v>
      </c>
      <c r="E45" s="132">
        <v>240.16337861504917</v>
      </c>
      <c r="F45" s="26"/>
      <c r="G45" s="22" t="s">
        <v>19</v>
      </c>
      <c r="H45" s="21">
        <v>13</v>
      </c>
      <c r="I45" s="21">
        <v>26.98</v>
      </c>
      <c r="J45" s="39">
        <f t="shared" si="4"/>
        <v>0.86433057478706143</v>
      </c>
      <c r="K45" s="52">
        <f t="shared" si="5"/>
        <v>3370.8892416695394</v>
      </c>
      <c r="L45" s="23">
        <v>356.5</v>
      </c>
      <c r="M45" s="26"/>
      <c r="N45" s="26"/>
      <c r="O45" s="26"/>
      <c r="P45" s="26"/>
      <c r="Q45" s="26"/>
      <c r="R45" s="26"/>
      <c r="S45" s="85"/>
      <c r="T45" s="26"/>
      <c r="U45" s="26"/>
      <c r="V45" s="26"/>
      <c r="W45" s="82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129"/>
    </row>
    <row r="46" spans="2:34" x14ac:dyDescent="0.35">
      <c r="B46" s="25"/>
      <c r="C46" s="26"/>
      <c r="D46" s="25">
        <v>0.32518562881215768</v>
      </c>
      <c r="E46" s="129">
        <v>118.8490265802717</v>
      </c>
      <c r="F46" s="26"/>
      <c r="G46" s="27" t="s">
        <v>26</v>
      </c>
      <c r="H46" s="28">
        <v>14</v>
      </c>
      <c r="I46" s="28">
        <v>28.09</v>
      </c>
      <c r="J46" s="37">
        <f t="shared" si="4"/>
        <v>0.86932910407021868</v>
      </c>
      <c r="K46" s="53">
        <f t="shared" si="5"/>
        <v>3390.3835058738528</v>
      </c>
      <c r="L46" s="29">
        <v>366</v>
      </c>
      <c r="M46" s="26"/>
      <c r="N46" s="26"/>
      <c r="O46" s="26"/>
      <c r="P46" s="26"/>
      <c r="Q46" s="26"/>
      <c r="R46" s="26"/>
      <c r="S46" s="85"/>
      <c r="T46" s="26"/>
      <c r="U46" s="26"/>
      <c r="V46" s="26"/>
      <c r="W46" s="82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129"/>
    </row>
    <row r="47" spans="2:34" x14ac:dyDescent="0.35">
      <c r="B47" s="25"/>
      <c r="C47" s="26"/>
      <c r="D47" s="25">
        <v>0.99433494007238665</v>
      </c>
      <c r="E47" s="129">
        <v>33.288603894552338</v>
      </c>
      <c r="F47" s="26"/>
      <c r="G47" s="32" t="s">
        <v>16</v>
      </c>
      <c r="H47" s="30">
        <v>50</v>
      </c>
      <c r="I47" s="30">
        <v>116</v>
      </c>
      <c r="J47" s="31">
        <f>((SQRT(1-(1/I47)^2*SIN(RADIANS(165))^2)+1/I47*COS(RADIANS(165)))/(1+1/I47))^2</f>
        <v>0.96667191113339779</v>
      </c>
      <c r="K47" s="54">
        <f t="shared" si="5"/>
        <v>3770.0204534202512</v>
      </c>
      <c r="L47" s="35">
        <v>410</v>
      </c>
      <c r="M47" s="26"/>
      <c r="N47" s="26"/>
      <c r="O47" s="26"/>
      <c r="P47" s="26"/>
      <c r="Q47" s="26"/>
      <c r="R47" s="26"/>
      <c r="S47" s="85"/>
      <c r="T47" s="26"/>
      <c r="U47" s="26"/>
      <c r="V47" s="26"/>
      <c r="W47" s="82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129"/>
    </row>
    <row r="48" spans="2:34" ht="15" thickBot="1" x14ac:dyDescent="0.4">
      <c r="B48" s="25"/>
      <c r="C48" s="26"/>
      <c r="D48" s="61">
        <v>702.08255713282642</v>
      </c>
      <c r="E48" s="130">
        <v>4</v>
      </c>
      <c r="F48" s="26"/>
      <c r="G48" s="33" t="s">
        <v>27</v>
      </c>
      <c r="H48" s="34">
        <v>78</v>
      </c>
      <c r="I48" s="34">
        <v>195.1</v>
      </c>
      <c r="J48" s="38">
        <f>((SQRT(1-(1/I48)^2*SIN(RADIANS(165))^2)+1/I48*COS(RADIANS(165)))/(1+1/I48))^2</f>
        <v>0.9800485317759321</v>
      </c>
      <c r="K48" s="55">
        <f t="shared" si="5"/>
        <v>3822.1892739261352</v>
      </c>
      <c r="L48" s="36">
        <v>418</v>
      </c>
      <c r="M48" s="26"/>
      <c r="N48" s="26"/>
      <c r="O48" s="26"/>
      <c r="P48" s="26"/>
      <c r="Q48" s="26"/>
      <c r="R48" s="26"/>
      <c r="S48" s="85"/>
      <c r="T48" s="26"/>
      <c r="U48" s="26"/>
      <c r="V48" s="26"/>
      <c r="W48" s="82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129"/>
    </row>
    <row r="49" spans="2:34" ht="44" thickBot="1" x14ac:dyDescent="0.4"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1" t="s">
        <v>9</v>
      </c>
      <c r="N49" s="2" t="s">
        <v>10</v>
      </c>
      <c r="O49" s="1" t="s">
        <v>11</v>
      </c>
      <c r="P49" s="2" t="s">
        <v>12</v>
      </c>
      <c r="Q49" s="3" t="s">
        <v>13</v>
      </c>
      <c r="R49" s="26"/>
      <c r="S49" s="85"/>
      <c r="T49" s="26"/>
      <c r="U49" s="26"/>
      <c r="V49" s="26"/>
      <c r="W49" s="82"/>
      <c r="X49" s="26"/>
      <c r="Y49" s="6" t="s">
        <v>24</v>
      </c>
      <c r="Z49" s="7" t="s">
        <v>10</v>
      </c>
      <c r="AA49" s="6" t="s">
        <v>25</v>
      </c>
      <c r="AB49" s="7" t="s">
        <v>12</v>
      </c>
      <c r="AC49" s="8" t="s">
        <v>13</v>
      </c>
      <c r="AD49" s="26"/>
      <c r="AE49" s="26"/>
      <c r="AF49" s="26"/>
      <c r="AG49" s="26"/>
      <c r="AH49" s="129"/>
    </row>
    <row r="50" spans="2:34" x14ac:dyDescent="0.35"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4">
        <v>40.86</v>
      </c>
      <c r="N50" s="11">
        <f>M50*$B$1/10</f>
        <v>29.868659999999998</v>
      </c>
      <c r="O50" s="15">
        <v>41.73</v>
      </c>
      <c r="P50" s="4">
        <f>O50*$B$1/10</f>
        <v>30.504629999999999</v>
      </c>
      <c r="Q50" s="14">
        <f>(($J$47/COS(RADIANS(0))*$N$50)+(1/COS(RADIANS(180-165))*$P$50))</f>
        <v>60.453911476416494</v>
      </c>
      <c r="R50" s="26"/>
      <c r="S50" s="85"/>
      <c r="T50" s="26"/>
      <c r="U50" s="26"/>
      <c r="V50" s="26"/>
      <c r="W50" s="82"/>
      <c r="X50" s="26"/>
      <c r="Y50" s="17">
        <v>70.010000000000005</v>
      </c>
      <c r="Z50" s="11">
        <f>Y50*$E$1/10</f>
        <v>18.895699</v>
      </c>
      <c r="AA50" s="17">
        <v>75.900000000000006</v>
      </c>
      <c r="AB50" s="4">
        <f>AA50*$E$1/10</f>
        <v>20.485410000000002</v>
      </c>
      <c r="AC50" s="10">
        <f>(($J$45/COS(RADIANS(0))*Z50)+(1/COS(RADIANS(180-165))*AB50))</f>
        <v>37.54018739660782</v>
      </c>
      <c r="AD50" s="26"/>
      <c r="AE50" s="26"/>
      <c r="AF50" s="26"/>
      <c r="AG50" s="26"/>
      <c r="AH50" s="129"/>
    </row>
    <row r="51" spans="2:34" x14ac:dyDescent="0.35"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85"/>
      <c r="T51" s="26"/>
      <c r="U51" s="26"/>
      <c r="V51" s="26"/>
      <c r="W51" s="82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129"/>
    </row>
    <row r="52" spans="2:34" ht="15" thickBot="1" x14ac:dyDescent="0.4"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85"/>
      <c r="T52" s="26"/>
      <c r="U52" s="26"/>
      <c r="V52" s="26"/>
      <c r="W52" s="82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129"/>
    </row>
    <row r="53" spans="2:34" ht="29.5" thickBot="1" x14ac:dyDescent="0.4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9" t="s">
        <v>32</v>
      </c>
      <c r="N53" s="63" t="s">
        <v>17</v>
      </c>
      <c r="O53" s="64" t="s">
        <v>18</v>
      </c>
      <c r="P53" s="102" t="s">
        <v>8</v>
      </c>
      <c r="Q53" s="104" t="s">
        <v>41</v>
      </c>
      <c r="R53" s="70"/>
      <c r="S53" s="86"/>
      <c r="T53" s="96" t="s">
        <v>42</v>
      </c>
      <c r="U53" s="97" t="s">
        <v>37</v>
      </c>
      <c r="V53" s="98"/>
      <c r="W53" s="99"/>
      <c r="X53" s="26"/>
      <c r="Y53" s="26"/>
      <c r="Z53" s="5" t="s">
        <v>20</v>
      </c>
      <c r="AA53" s="6" t="s">
        <v>21</v>
      </c>
      <c r="AB53" s="7" t="s">
        <v>8</v>
      </c>
      <c r="AC53" s="72" t="s">
        <v>14</v>
      </c>
      <c r="AD53" s="73"/>
      <c r="AE53" s="73"/>
      <c r="AF53" s="101" t="s">
        <v>39</v>
      </c>
      <c r="AG53" s="26"/>
      <c r="AH53" s="129"/>
    </row>
    <row r="54" spans="2:34" ht="15" thickBot="1" x14ac:dyDescent="0.4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18"/>
      <c r="N54" s="65">
        <v>410</v>
      </c>
      <c r="O54" s="66">
        <v>401</v>
      </c>
      <c r="P54" s="103">
        <f>(N54-O54)*D45</f>
        <v>77.547525691670245</v>
      </c>
      <c r="Q54" s="109">
        <f>P54*10^3/Q50</f>
        <v>1282.7544785406003</v>
      </c>
      <c r="R54" s="110" t="s">
        <v>40</v>
      </c>
      <c r="S54" s="111">
        <f>Q54/D45*D46</f>
        <v>48.411601298141555</v>
      </c>
      <c r="T54" s="112">
        <v>1438</v>
      </c>
      <c r="U54" s="113">
        <v>1439</v>
      </c>
      <c r="V54" s="114" t="s">
        <v>40</v>
      </c>
      <c r="W54" s="115">
        <v>77</v>
      </c>
      <c r="X54" s="67" t="s">
        <v>43</v>
      </c>
      <c r="Y54" s="26"/>
      <c r="Z54" s="116">
        <v>356.5</v>
      </c>
      <c r="AA54" s="16">
        <v>352.5</v>
      </c>
      <c r="AB54" s="71">
        <f>(Z54-AA54)*D45</f>
        <v>34.465566974075664</v>
      </c>
      <c r="AC54" s="117">
        <f>AB54*10^3/AC50</f>
        <v>918.09789359735635</v>
      </c>
      <c r="AD54" s="121" t="s">
        <v>40</v>
      </c>
      <c r="AE54" s="122">
        <f>AC54/D45*D46</f>
        <v>34.649334631882191</v>
      </c>
      <c r="AF54" s="123">
        <v>16.93</v>
      </c>
      <c r="AG54" s="67" t="s">
        <v>43</v>
      </c>
      <c r="AH54" s="129"/>
    </row>
    <row r="55" spans="2:34" ht="15" thickBot="1" x14ac:dyDescent="0.4"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107"/>
      <c r="R55" s="74"/>
      <c r="S55" s="108"/>
      <c r="T55" s="100"/>
      <c r="U55" s="100"/>
      <c r="V55" s="74"/>
      <c r="W55" s="105"/>
      <c r="X55" s="26"/>
      <c r="Y55" s="26"/>
      <c r="Z55" s="26"/>
      <c r="AA55" s="26"/>
      <c r="AB55" s="26"/>
      <c r="AC55" s="69"/>
      <c r="AD55" s="68"/>
      <c r="AE55" s="87"/>
      <c r="AF55" s="78"/>
      <c r="AG55" s="26"/>
      <c r="AH55" s="129"/>
    </row>
    <row r="56" spans="2:34" ht="15" thickBot="1" x14ac:dyDescent="0.4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94">
        <f>Q54*$B$1*10^(-7)*10^3</f>
        <v>0.93769352381317872</v>
      </c>
      <c r="R56" s="92" t="s">
        <v>40</v>
      </c>
      <c r="S56" s="93">
        <f>S54*$B$1*10^(-7)*10^3</f>
        <v>3.5388880548941466E-2</v>
      </c>
      <c r="T56" s="79">
        <f>T54*$B$1*10^(-7)*10^3</f>
        <v>1.0511779999999997</v>
      </c>
      <c r="U56" s="95">
        <f>U54*$B$1*10^(-7)*10^3</f>
        <v>1.051909</v>
      </c>
      <c r="V56" s="76" t="s">
        <v>40</v>
      </c>
      <c r="W56" s="106">
        <f>W54*$B$1*10^(-7)*10^3</f>
        <v>5.6286999999999997E-2</v>
      </c>
      <c r="X56" s="67" t="s">
        <v>36</v>
      </c>
      <c r="Y56" s="26"/>
      <c r="Z56" s="26"/>
      <c r="AA56" s="26"/>
      <c r="AB56" s="26"/>
      <c r="AC56" s="118">
        <f>AC54*$E$1/10</f>
        <v>247.79462148192647</v>
      </c>
      <c r="AD56" s="119" t="s">
        <v>40</v>
      </c>
      <c r="AE56" s="120">
        <f>AE54*$E$1*10^(-7)*10^6</f>
        <v>9.3518554171450017</v>
      </c>
      <c r="AF56" s="124">
        <f>AF54*$E$1/10</f>
        <v>4.569407</v>
      </c>
      <c r="AG56" s="67" t="s">
        <v>38</v>
      </c>
      <c r="AH56" s="129"/>
    </row>
    <row r="57" spans="2:34" x14ac:dyDescent="0.35"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85"/>
      <c r="T57" s="26"/>
      <c r="U57" s="74"/>
      <c r="V57" s="74"/>
      <c r="W57" s="89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129"/>
    </row>
    <row r="58" spans="2:34" ht="15" thickBot="1" x14ac:dyDescent="0.4">
      <c r="B58" s="61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88"/>
      <c r="T58" s="62"/>
      <c r="U58" s="75"/>
      <c r="V58" s="75"/>
      <c r="W58" s="90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130"/>
    </row>
    <row r="59" spans="2:34" ht="15" thickBot="1" x14ac:dyDescent="0.4">
      <c r="U59" s="77"/>
      <c r="V59" s="77"/>
      <c r="W59" s="91"/>
      <c r="AD59" s="26"/>
      <c r="AF59" s="26"/>
    </row>
    <row r="60" spans="2:34" ht="15" thickBot="1" x14ac:dyDescent="0.4">
      <c r="B60" s="59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84"/>
      <c r="T60" s="60"/>
      <c r="U60" s="60"/>
      <c r="V60" s="60"/>
      <c r="W60" s="81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128"/>
    </row>
    <row r="61" spans="2:34" ht="29.5" thickBot="1" x14ac:dyDescent="0.4">
      <c r="B61" s="25"/>
      <c r="C61" s="56" t="s">
        <v>28</v>
      </c>
      <c r="D61" s="57">
        <v>4.3</v>
      </c>
      <c r="E61" s="58" t="s">
        <v>29</v>
      </c>
      <c r="F61" s="26"/>
      <c r="G61" s="24" t="s">
        <v>1</v>
      </c>
      <c r="H61" s="19" t="s">
        <v>2</v>
      </c>
      <c r="I61" s="19" t="s">
        <v>3</v>
      </c>
      <c r="J61" s="19" t="s">
        <v>4</v>
      </c>
      <c r="K61" s="19" t="s">
        <v>5</v>
      </c>
      <c r="L61" s="20" t="s">
        <v>6</v>
      </c>
      <c r="M61" s="26"/>
      <c r="N61" s="26"/>
      <c r="O61" s="26"/>
      <c r="P61" s="26"/>
      <c r="Q61" s="26"/>
      <c r="R61" s="26"/>
      <c r="S61" s="85"/>
      <c r="T61" s="26"/>
      <c r="U61" s="26"/>
      <c r="V61" s="26"/>
      <c r="W61" s="82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129"/>
    </row>
    <row r="62" spans="2:34" x14ac:dyDescent="0.35">
      <c r="B62" s="25"/>
      <c r="C62" s="26"/>
      <c r="D62" s="26"/>
      <c r="E62" s="26"/>
      <c r="F62" s="26"/>
      <c r="G62" s="45" t="s">
        <v>23</v>
      </c>
      <c r="H62" s="46">
        <v>6</v>
      </c>
      <c r="I62" s="46">
        <v>12.010999999999999</v>
      </c>
      <c r="J62" s="47">
        <f>((SQRT(1-(1/I62)^2*SIN(RADIANS(165))^2)+1/I62*COS(RADIANS(165)))/(1+1/I62))^2</f>
        <v>0.72027206504080021</v>
      </c>
      <c r="K62" s="50">
        <f>$D$61*1000*J62</f>
        <v>3097.1698796754408</v>
      </c>
      <c r="L62" s="48">
        <v>334</v>
      </c>
      <c r="M62" s="26"/>
      <c r="N62" s="26"/>
      <c r="O62" s="26"/>
      <c r="P62" s="26"/>
      <c r="Q62" s="26"/>
      <c r="R62" s="26"/>
      <c r="S62" s="85"/>
      <c r="T62" s="26"/>
      <c r="U62" s="26"/>
      <c r="V62" s="26"/>
      <c r="W62" s="82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129"/>
    </row>
    <row r="63" spans="2:34" ht="15" thickBot="1" x14ac:dyDescent="0.4">
      <c r="B63" s="25"/>
      <c r="C63" s="26"/>
      <c r="D63" s="26"/>
      <c r="E63" s="26"/>
      <c r="F63" s="26"/>
      <c r="G63" s="40" t="s">
        <v>7</v>
      </c>
      <c r="H63" s="41">
        <v>8</v>
      </c>
      <c r="I63" s="42">
        <v>15.999000000000001</v>
      </c>
      <c r="J63" s="43">
        <f t="shared" ref="J63:J65" si="6">((SQRT(1-(1/I63)^2*SIN(RADIANS(165))^2)+1/I63*COS(RADIANS(165)))/(1+1/I63))^2</f>
        <v>0.78185798881983415</v>
      </c>
      <c r="K63" s="51">
        <f t="shared" ref="K63:K67" si="7">$D$61*1000*J63</f>
        <v>3361.9893519252869</v>
      </c>
      <c r="L63" s="44">
        <v>364</v>
      </c>
      <c r="M63" s="26"/>
      <c r="N63" s="26"/>
      <c r="O63" s="26"/>
      <c r="P63" s="26"/>
      <c r="Q63" s="26"/>
      <c r="R63" s="26"/>
      <c r="S63" s="85"/>
      <c r="T63" s="26"/>
      <c r="U63" s="26"/>
      <c r="V63" s="26"/>
      <c r="W63" s="82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129"/>
    </row>
    <row r="64" spans="2:34" ht="15" thickBot="1" x14ac:dyDescent="0.4">
      <c r="B64" s="25"/>
      <c r="C64" s="26"/>
      <c r="D64" s="131">
        <f t="array" ref="D64:E67">LINEST(K62:K67,L62:L67,TRUE,TRUE)</f>
        <v>8.7203344167160974</v>
      </c>
      <c r="E64" s="132">
        <v>200.56421713099689</v>
      </c>
      <c r="F64" s="26"/>
      <c r="G64" s="22" t="s">
        <v>19</v>
      </c>
      <c r="H64" s="21">
        <v>13</v>
      </c>
      <c r="I64" s="21">
        <v>26.98</v>
      </c>
      <c r="J64" s="39">
        <f t="shared" si="6"/>
        <v>0.86433057478706143</v>
      </c>
      <c r="K64" s="52">
        <f t="shared" si="7"/>
        <v>3716.6214715843644</v>
      </c>
      <c r="L64" s="23">
        <v>397</v>
      </c>
      <c r="M64" s="26"/>
      <c r="N64" s="26"/>
      <c r="O64" s="26"/>
      <c r="P64" s="26"/>
      <c r="Q64" s="26"/>
      <c r="R64" s="26"/>
      <c r="S64" s="85"/>
      <c r="T64" s="26"/>
      <c r="U64" s="26"/>
      <c r="V64" s="26"/>
      <c r="W64" s="82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129"/>
    </row>
    <row r="65" spans="2:34" x14ac:dyDescent="0.35">
      <c r="B65" s="25"/>
      <c r="C65" s="26"/>
      <c r="D65" s="25">
        <v>0.27004832371656518</v>
      </c>
      <c r="E65" s="129">
        <v>109.50069653454334</v>
      </c>
      <c r="F65" s="26"/>
      <c r="G65" s="27" t="s">
        <v>26</v>
      </c>
      <c r="H65" s="28">
        <v>14</v>
      </c>
      <c r="I65" s="28">
        <v>28.09</v>
      </c>
      <c r="J65" s="37">
        <f t="shared" si="6"/>
        <v>0.86932910407021868</v>
      </c>
      <c r="K65" s="53">
        <f t="shared" si="7"/>
        <v>3738.1151475019406</v>
      </c>
      <c r="L65" s="29">
        <v>406</v>
      </c>
      <c r="M65" s="26"/>
      <c r="N65" s="26"/>
      <c r="O65" s="26"/>
      <c r="P65" s="26"/>
      <c r="Q65" s="26"/>
      <c r="R65" s="26"/>
      <c r="S65" s="85"/>
      <c r="T65" s="26"/>
      <c r="U65" s="26"/>
      <c r="V65" s="26"/>
      <c r="W65" s="82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129"/>
    </row>
    <row r="66" spans="2:34" x14ac:dyDescent="0.35">
      <c r="B66" s="25"/>
      <c r="C66" s="26"/>
      <c r="D66" s="25">
        <v>0.99617867545651317</v>
      </c>
      <c r="E66" s="129">
        <v>30.144226036304268</v>
      </c>
      <c r="F66" s="26"/>
      <c r="G66" s="32" t="s">
        <v>16</v>
      </c>
      <c r="H66" s="30">
        <v>50</v>
      </c>
      <c r="I66" s="30">
        <v>116</v>
      </c>
      <c r="J66" s="31">
        <f>((SQRT(1-(1/I66)^2*SIN(RADIANS(165))^2)+1/I66*COS(RADIANS(165)))/(1+1/I66))^2</f>
        <v>0.96667191113339779</v>
      </c>
      <c r="K66" s="54">
        <f t="shared" si="7"/>
        <v>4156.6892178736107</v>
      </c>
      <c r="L66" s="35">
        <v>454.5</v>
      </c>
      <c r="M66" s="26"/>
      <c r="N66" s="26"/>
      <c r="O66" s="26"/>
      <c r="P66" s="26"/>
      <c r="Q66" s="26"/>
      <c r="R66" s="26"/>
      <c r="S66" s="85"/>
      <c r="T66" s="26"/>
      <c r="U66" s="26"/>
      <c r="V66" s="26"/>
      <c r="W66" s="82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129"/>
    </row>
    <row r="67" spans="2:34" ht="15" thickBot="1" x14ac:dyDescent="0.4">
      <c r="B67" s="25"/>
      <c r="C67" s="26"/>
      <c r="D67" s="61">
        <v>1042.7574670718977</v>
      </c>
      <c r="E67" s="130">
        <v>4</v>
      </c>
      <c r="F67" s="26"/>
      <c r="G67" s="33" t="s">
        <v>27</v>
      </c>
      <c r="H67" s="34">
        <v>78</v>
      </c>
      <c r="I67" s="34">
        <v>195.1</v>
      </c>
      <c r="J67" s="38">
        <f>((SQRT(1-(1/I67)^2*SIN(RADIANS(165))^2)+1/I67*COS(RADIANS(165)))/(1+1/I67))^2</f>
        <v>0.9800485317759321</v>
      </c>
      <c r="K67" s="55">
        <f t="shared" si="7"/>
        <v>4214.208686636508</v>
      </c>
      <c r="L67" s="36">
        <v>462</v>
      </c>
      <c r="M67" s="26"/>
      <c r="N67" s="26"/>
      <c r="O67" s="26"/>
      <c r="P67" s="26"/>
      <c r="Q67" s="26"/>
      <c r="R67" s="26"/>
      <c r="S67" s="85"/>
      <c r="T67" s="26"/>
      <c r="U67" s="26"/>
      <c r="V67" s="26"/>
      <c r="W67" s="82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129"/>
    </row>
    <row r="68" spans="2:34" ht="44" thickBot="1" x14ac:dyDescent="0.4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1" t="s">
        <v>9</v>
      </c>
      <c r="N68" s="2" t="s">
        <v>10</v>
      </c>
      <c r="O68" s="1" t="s">
        <v>11</v>
      </c>
      <c r="P68" s="2" t="s">
        <v>12</v>
      </c>
      <c r="Q68" s="3" t="s">
        <v>13</v>
      </c>
      <c r="R68" s="26"/>
      <c r="S68" s="85"/>
      <c r="T68" s="26"/>
      <c r="U68" s="26"/>
      <c r="V68" s="26"/>
      <c r="W68" s="82"/>
      <c r="X68" s="26"/>
      <c r="Y68" s="6" t="s">
        <v>24</v>
      </c>
      <c r="Z68" s="7" t="s">
        <v>10</v>
      </c>
      <c r="AA68" s="6" t="s">
        <v>25</v>
      </c>
      <c r="AB68" s="7" t="s">
        <v>12</v>
      </c>
      <c r="AC68" s="8" t="s">
        <v>13</v>
      </c>
      <c r="AD68" s="26"/>
      <c r="AE68" s="26"/>
      <c r="AF68" s="26"/>
      <c r="AG68" s="26"/>
      <c r="AH68" s="129"/>
    </row>
    <row r="69" spans="2:34" x14ac:dyDescent="0.35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4">
        <v>38.450000000000003</v>
      </c>
      <c r="N69" s="11">
        <f>M69*$B$1/10</f>
        <v>28.106950000000001</v>
      </c>
      <c r="O69" s="15">
        <v>39.270000000000003</v>
      </c>
      <c r="P69" s="4">
        <f>O69*$B$1/10</f>
        <v>28.70637</v>
      </c>
      <c r="Q69" s="14">
        <f>(($J$47/COS(RADIANS(0))*$N$69)+(1/COS(RADIANS(180-165))*$P$69))</f>
        <v>56.889220159669449</v>
      </c>
      <c r="R69" s="26"/>
      <c r="S69" s="85"/>
      <c r="T69" s="26"/>
      <c r="U69" s="26"/>
      <c r="V69" s="26"/>
      <c r="W69" s="82"/>
      <c r="X69" s="26"/>
      <c r="Y69" s="17">
        <v>65.209999999999994</v>
      </c>
      <c r="Z69" s="11">
        <f>Y69*$E$1/10</f>
        <v>17.600178999999997</v>
      </c>
      <c r="AA69" s="17">
        <v>70.73</v>
      </c>
      <c r="AB69" s="4">
        <f>AA69*$E$1/10</f>
        <v>19.090026999999999</v>
      </c>
      <c r="AC69" s="10">
        <f>(($J$45/COS(RADIANS(0))*Z69)+(1/COS(RADIANS(180-165))*AB69))</f>
        <v>34.975823067910518</v>
      </c>
      <c r="AD69" s="26"/>
      <c r="AE69" s="26"/>
      <c r="AF69" s="26"/>
      <c r="AG69" s="26"/>
      <c r="AH69" s="129"/>
    </row>
    <row r="70" spans="2:34" x14ac:dyDescent="0.35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85"/>
      <c r="T70" s="26"/>
      <c r="U70" s="26"/>
      <c r="V70" s="26"/>
      <c r="W70" s="82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129"/>
    </row>
    <row r="71" spans="2:34" ht="15" thickBot="1" x14ac:dyDescent="0.4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85"/>
      <c r="T71" s="26"/>
      <c r="U71" s="26"/>
      <c r="V71" s="26"/>
      <c r="W71" s="82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129"/>
    </row>
    <row r="72" spans="2:34" ht="29.5" thickBot="1" x14ac:dyDescent="0.4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9" t="s">
        <v>33</v>
      </c>
      <c r="N72" s="63" t="s">
        <v>17</v>
      </c>
      <c r="O72" s="64" t="s">
        <v>18</v>
      </c>
      <c r="P72" s="102" t="s">
        <v>8</v>
      </c>
      <c r="Q72" s="104" t="s">
        <v>41</v>
      </c>
      <c r="R72" s="70"/>
      <c r="S72" s="86"/>
      <c r="T72" s="96" t="s">
        <v>42</v>
      </c>
      <c r="U72" s="97" t="s">
        <v>37</v>
      </c>
      <c r="V72" s="98"/>
      <c r="W72" s="99"/>
      <c r="X72" s="26"/>
      <c r="Y72" s="26"/>
      <c r="Z72" s="5" t="s">
        <v>20</v>
      </c>
      <c r="AA72" s="6" t="s">
        <v>21</v>
      </c>
      <c r="AB72" s="7" t="s">
        <v>8</v>
      </c>
      <c r="AC72" s="72" t="s">
        <v>14</v>
      </c>
      <c r="AD72" s="73"/>
      <c r="AE72" s="73"/>
      <c r="AF72" s="101" t="s">
        <v>39</v>
      </c>
      <c r="AG72" s="26"/>
      <c r="AH72" s="129"/>
    </row>
    <row r="73" spans="2:34" ht="15" thickBot="1" x14ac:dyDescent="0.4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18"/>
      <c r="N73" s="65">
        <v>454.5</v>
      </c>
      <c r="O73" s="66">
        <v>446.5</v>
      </c>
      <c r="P73" s="103">
        <f>(N73-O73)*D64</f>
        <v>69.762675333728779</v>
      </c>
      <c r="Q73" s="109">
        <f>P73*10^3/Q69</f>
        <v>1226.2898865185311</v>
      </c>
      <c r="R73" s="110" t="s">
        <v>40</v>
      </c>
      <c r="S73" s="111">
        <f>Q73/D64*D65</f>
        <v>37.975324387801805</v>
      </c>
      <c r="T73" s="112">
        <v>1349</v>
      </c>
      <c r="U73" s="113">
        <v>1407</v>
      </c>
      <c r="V73" s="114" t="s">
        <v>40</v>
      </c>
      <c r="W73" s="115">
        <v>47</v>
      </c>
      <c r="X73" s="67" t="s">
        <v>43</v>
      </c>
      <c r="Y73" s="26"/>
      <c r="Z73" s="116">
        <v>397</v>
      </c>
      <c r="AA73" s="16">
        <v>392</v>
      </c>
      <c r="AB73" s="71">
        <f>(Z73-AA73)*D64</f>
        <v>43.601672083580489</v>
      </c>
      <c r="AC73" s="117">
        <f>AB73*10^3/AC69</f>
        <v>1246.6231887930603</v>
      </c>
      <c r="AD73" s="121" t="s">
        <v>40</v>
      </c>
      <c r="AE73" s="122">
        <f>AC73/D64*D65</f>
        <v>38.604999114992673</v>
      </c>
      <c r="AF73" s="123">
        <v>10.29</v>
      </c>
      <c r="AG73" s="67" t="s">
        <v>43</v>
      </c>
      <c r="AH73" s="129"/>
    </row>
    <row r="74" spans="2:34" ht="15" thickBot="1" x14ac:dyDescent="0.4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107"/>
      <c r="R74" s="74"/>
      <c r="S74" s="108"/>
      <c r="T74" s="100"/>
      <c r="U74" s="100"/>
      <c r="V74" s="74"/>
      <c r="W74" s="105"/>
      <c r="X74" s="26"/>
      <c r="Y74" s="26"/>
      <c r="Z74" s="26"/>
      <c r="AA74" s="26"/>
      <c r="AB74" s="26"/>
      <c r="AC74" s="69"/>
      <c r="AD74" s="68"/>
      <c r="AE74" s="87"/>
      <c r="AF74" s="78"/>
      <c r="AG74" s="26"/>
      <c r="AH74" s="129"/>
    </row>
    <row r="75" spans="2:34" ht="15" thickBot="1" x14ac:dyDescent="0.4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94">
        <f>Q73*$B$1*10^(-7)*10^3</f>
        <v>0.89641790704504609</v>
      </c>
      <c r="R75" s="92" t="s">
        <v>40</v>
      </c>
      <c r="S75" s="93">
        <f>S73*$B$1*10^(-7)*10^3</f>
        <v>2.7759962127483113E-2</v>
      </c>
      <c r="T75" s="79">
        <f>T73*$B$1*10^(-7)*10^3</f>
        <v>0.98611899999999997</v>
      </c>
      <c r="U75" s="95">
        <f>U73*$B$1*10^(-7)*10^3</f>
        <v>1.0285170000000001</v>
      </c>
      <c r="V75" s="76" t="s">
        <v>40</v>
      </c>
      <c r="W75" s="106">
        <f>W73*$B$1*10^(-7)*10^3</f>
        <v>3.4356999999999999E-2</v>
      </c>
      <c r="X75" s="67" t="s">
        <v>36</v>
      </c>
      <c r="Y75" s="26"/>
      <c r="Z75" s="26"/>
      <c r="AA75" s="26"/>
      <c r="AB75" s="26"/>
      <c r="AC75" s="118">
        <f>AC73*$E$1/10</f>
        <v>336.46359865524698</v>
      </c>
      <c r="AD75" s="119" t="s">
        <v>40</v>
      </c>
      <c r="AE75" s="120">
        <f>AE73*$E$1*10^(-7)*10^6</f>
        <v>10.419489261136521</v>
      </c>
      <c r="AF75" s="124">
        <f>AF73*$E$1/10</f>
        <v>2.7772709999999998</v>
      </c>
      <c r="AG75" s="67" t="s">
        <v>38</v>
      </c>
      <c r="AH75" s="129"/>
    </row>
    <row r="76" spans="2:34" x14ac:dyDescent="0.35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85"/>
      <c r="T76" s="26"/>
      <c r="U76" s="74"/>
      <c r="V76" s="74"/>
      <c r="W76" s="89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129"/>
    </row>
    <row r="77" spans="2:34" ht="15" thickBot="1" x14ac:dyDescent="0.4">
      <c r="B77" s="61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88"/>
      <c r="T77" s="62"/>
      <c r="U77" s="75"/>
      <c r="V77" s="75"/>
      <c r="W77" s="90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130"/>
    </row>
    <row r="78" spans="2:34" ht="15" thickBot="1" x14ac:dyDescent="0.4">
      <c r="U78" s="77"/>
      <c r="V78" s="77"/>
      <c r="W78" s="91"/>
      <c r="AD78" s="26"/>
      <c r="AF78" s="26"/>
    </row>
    <row r="79" spans="2:34" ht="15" thickBot="1" x14ac:dyDescent="0.4">
      <c r="B79" s="59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84"/>
      <c r="T79" s="60"/>
      <c r="U79" s="60"/>
      <c r="V79" s="60"/>
      <c r="W79" s="81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128"/>
    </row>
    <row r="80" spans="2:34" ht="29.5" thickBot="1" x14ac:dyDescent="0.4">
      <c r="B80" s="25"/>
      <c r="C80" s="56" t="s">
        <v>28</v>
      </c>
      <c r="D80" s="57">
        <v>4.7</v>
      </c>
      <c r="E80" s="58" t="s">
        <v>29</v>
      </c>
      <c r="F80" s="26"/>
      <c r="G80" s="24" t="s">
        <v>1</v>
      </c>
      <c r="H80" s="19" t="s">
        <v>2</v>
      </c>
      <c r="I80" s="19" t="s">
        <v>3</v>
      </c>
      <c r="J80" s="19" t="s">
        <v>4</v>
      </c>
      <c r="K80" s="19" t="s">
        <v>5</v>
      </c>
      <c r="L80" s="20" t="s">
        <v>6</v>
      </c>
      <c r="M80" s="26"/>
      <c r="N80" s="26"/>
      <c r="O80" s="26"/>
      <c r="P80" s="26"/>
      <c r="Q80" s="26"/>
      <c r="R80" s="26"/>
      <c r="S80" s="85"/>
      <c r="T80" s="26"/>
      <c r="U80" s="26"/>
      <c r="V80" s="26"/>
      <c r="W80" s="82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129"/>
    </row>
    <row r="81" spans="2:34" x14ac:dyDescent="0.35">
      <c r="B81" s="25"/>
      <c r="C81" s="26"/>
      <c r="D81" s="26"/>
      <c r="E81" s="26"/>
      <c r="F81" s="26"/>
      <c r="G81" s="45" t="s">
        <v>23</v>
      </c>
      <c r="H81" s="46">
        <v>6</v>
      </c>
      <c r="I81" s="46">
        <v>12.010999999999999</v>
      </c>
      <c r="J81" s="47">
        <f>((SQRT(1-(1/I81)^2*SIN(RADIANS(165))^2)+1/I81*COS(RADIANS(165)))/(1+1/I81))^2</f>
        <v>0.72027206504080021</v>
      </c>
      <c r="K81" s="50">
        <f>$D$80*1000*J81</f>
        <v>3385.2787056917609</v>
      </c>
      <c r="L81" s="48">
        <v>317.5</v>
      </c>
      <c r="M81" s="26"/>
      <c r="N81" s="26"/>
      <c r="O81" s="26"/>
      <c r="P81" s="26"/>
      <c r="Q81" s="26"/>
      <c r="R81" s="26"/>
      <c r="S81" s="85"/>
      <c r="T81" s="26"/>
      <c r="U81" s="26"/>
      <c r="V81" s="26"/>
      <c r="W81" s="82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129"/>
    </row>
    <row r="82" spans="2:34" ht="15" thickBot="1" x14ac:dyDescent="0.4">
      <c r="B82" s="25"/>
      <c r="C82" s="26"/>
      <c r="D82" s="26"/>
      <c r="E82" s="26"/>
      <c r="F82" s="26"/>
      <c r="G82" s="40" t="s">
        <v>7</v>
      </c>
      <c r="H82" s="41">
        <v>8</v>
      </c>
      <c r="I82" s="42">
        <v>15.999000000000001</v>
      </c>
      <c r="J82" s="43">
        <f t="shared" ref="J82:J83" si="8">((SQRT(1-(1/I82)^2*SIN(RADIANS(165))^2)+1/I82*COS(RADIANS(165)))/(1+1/I82))^2</f>
        <v>0.78185798881983415</v>
      </c>
      <c r="K82" s="51">
        <f t="shared" ref="K82:K83" si="9">$D$80*1000*J82</f>
        <v>3674.7325474532204</v>
      </c>
      <c r="L82" s="44">
        <v>346.5</v>
      </c>
      <c r="M82" s="26"/>
      <c r="N82" s="26"/>
      <c r="O82" s="26"/>
      <c r="P82" s="26"/>
      <c r="Q82" s="26"/>
      <c r="R82" s="26"/>
      <c r="S82" s="85"/>
      <c r="T82" s="26"/>
      <c r="U82" s="26"/>
      <c r="V82" s="26"/>
      <c r="W82" s="82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129"/>
    </row>
    <row r="83" spans="2:34" ht="15" thickBot="1" x14ac:dyDescent="0.4">
      <c r="B83" s="25"/>
      <c r="C83" s="26"/>
      <c r="D83" s="131">
        <f t="array" ref="D83:E86">LINEST(K81:K84,L81:L84,TRUE,TRUE)</f>
        <v>10.028282738820089</v>
      </c>
      <c r="E83" s="132">
        <v>215.99440361817187</v>
      </c>
      <c r="F83" s="26"/>
      <c r="G83" s="22" t="s">
        <v>19</v>
      </c>
      <c r="H83" s="21">
        <v>13</v>
      </c>
      <c r="I83" s="21">
        <v>26.98</v>
      </c>
      <c r="J83" s="39">
        <f t="shared" si="8"/>
        <v>0.86433057478706143</v>
      </c>
      <c r="K83" s="52">
        <f t="shared" si="9"/>
        <v>4062.3537014991889</v>
      </c>
      <c r="L83" s="23">
        <v>378</v>
      </c>
      <c r="M83" s="26"/>
      <c r="N83" s="26"/>
      <c r="O83" s="26"/>
      <c r="P83" s="26"/>
      <c r="Q83" s="26"/>
      <c r="R83" s="26"/>
      <c r="S83" s="85"/>
      <c r="T83" s="26"/>
      <c r="U83" s="26"/>
      <c r="V83" s="26"/>
      <c r="W83" s="82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129"/>
    </row>
    <row r="84" spans="2:34" x14ac:dyDescent="0.35">
      <c r="B84" s="25"/>
      <c r="C84" s="26"/>
      <c r="D84" s="25">
        <v>0.52999498018827829</v>
      </c>
      <c r="E84" s="129">
        <v>196.90374545342524</v>
      </c>
      <c r="F84" s="26"/>
      <c r="G84" s="27" t="s">
        <v>16</v>
      </c>
      <c r="H84" s="28">
        <v>50</v>
      </c>
      <c r="I84" s="28">
        <v>116</v>
      </c>
      <c r="J84" s="37">
        <f>((SQRT(1-(1/I84)^2*SIN(RADIANS(165))^2)+1/I84*COS(RADIANS(165)))/(1+1/I84))^2</f>
        <v>0.96667191113339779</v>
      </c>
      <c r="K84" s="53">
        <f>$D$80*1000*J84</f>
        <v>4543.3579823269692</v>
      </c>
      <c r="L84" s="29">
        <v>434</v>
      </c>
      <c r="M84" s="26"/>
      <c r="N84" s="26"/>
      <c r="O84" s="26"/>
      <c r="P84" s="26"/>
      <c r="Q84" s="26"/>
      <c r="R84" s="26"/>
      <c r="S84" s="85"/>
      <c r="T84" s="26"/>
      <c r="U84" s="26"/>
      <c r="V84" s="26"/>
      <c r="W84" s="82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129"/>
    </row>
    <row r="85" spans="2:34" x14ac:dyDescent="0.35">
      <c r="B85" s="25"/>
      <c r="C85" s="26"/>
      <c r="D85" s="25">
        <v>0.99444478282660387</v>
      </c>
      <c r="E85" s="129">
        <v>45.790155400265043</v>
      </c>
      <c r="F85" s="26"/>
      <c r="G85" s="32" t="s">
        <v>27</v>
      </c>
      <c r="H85" s="30">
        <v>78</v>
      </c>
      <c r="I85" s="30">
        <v>195.1</v>
      </c>
      <c r="J85" s="31">
        <f>((SQRT(1-(1/I85)^2*SIN(RADIANS(165))^2)+1/I85*COS(RADIANS(165)))/(1+1/I85))^2</f>
        <v>0.9800485317759321</v>
      </c>
      <c r="K85" s="54">
        <f>$D$80*1000*J85</f>
        <v>4606.2280993468812</v>
      </c>
      <c r="L85" s="35"/>
      <c r="M85" s="26"/>
      <c r="N85" s="26"/>
      <c r="O85" s="26"/>
      <c r="P85" s="26"/>
      <c r="Q85" s="26"/>
      <c r="R85" s="26"/>
      <c r="S85" s="85"/>
      <c r="T85" s="26"/>
      <c r="U85" s="26"/>
      <c r="V85" s="26"/>
      <c r="W85" s="82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129"/>
    </row>
    <row r="86" spans="2:34" ht="15" thickBot="1" x14ac:dyDescent="0.4">
      <c r="B86" s="25"/>
      <c r="C86" s="26"/>
      <c r="D86" s="61">
        <v>358.02192849956941</v>
      </c>
      <c r="E86" s="130">
        <v>2</v>
      </c>
      <c r="F86" s="26"/>
      <c r="G86" s="33"/>
      <c r="H86" s="34"/>
      <c r="I86" s="34"/>
      <c r="J86" s="38"/>
      <c r="K86" s="55"/>
      <c r="L86" s="36"/>
      <c r="M86" s="26"/>
      <c r="N86" s="26"/>
      <c r="O86" s="26"/>
      <c r="P86" s="26"/>
      <c r="Q86" s="26"/>
      <c r="R86" s="26"/>
      <c r="S86" s="85"/>
      <c r="T86" s="26"/>
      <c r="U86" s="26"/>
      <c r="V86" s="26"/>
      <c r="W86" s="82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129"/>
    </row>
    <row r="87" spans="2:34" ht="44" thickBot="1" x14ac:dyDescent="0.4"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1" t="s">
        <v>9</v>
      </c>
      <c r="N87" s="2" t="s">
        <v>10</v>
      </c>
      <c r="O87" s="1" t="s">
        <v>11</v>
      </c>
      <c r="P87" s="2" t="s">
        <v>12</v>
      </c>
      <c r="Q87" s="3" t="s">
        <v>13</v>
      </c>
      <c r="R87" s="26"/>
      <c r="S87" s="85"/>
      <c r="T87" s="26"/>
      <c r="U87" s="26"/>
      <c r="V87" s="26"/>
      <c r="W87" s="82"/>
      <c r="X87" s="26"/>
      <c r="Y87" s="6" t="s">
        <v>24</v>
      </c>
      <c r="Z87" s="7" t="s">
        <v>10</v>
      </c>
      <c r="AA87" s="6" t="s">
        <v>25</v>
      </c>
      <c r="AB87" s="7" t="s">
        <v>12</v>
      </c>
      <c r="AC87" s="8" t="s">
        <v>13</v>
      </c>
      <c r="AD87" s="26"/>
      <c r="AE87" s="26"/>
      <c r="AF87" s="26"/>
      <c r="AG87" s="26"/>
      <c r="AH87" s="129"/>
    </row>
    <row r="88" spans="2:34" x14ac:dyDescent="0.35">
      <c r="B88" s="25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4">
        <v>36.340000000000003</v>
      </c>
      <c r="N88" s="11">
        <f>M88*$B$1/10</f>
        <v>26.564540000000001</v>
      </c>
      <c r="O88" s="15">
        <v>37.130000000000003</v>
      </c>
      <c r="P88" s="4">
        <f>O88*$B$1/10</f>
        <v>27.142029999999998</v>
      </c>
      <c r="Q88" s="14">
        <f>(($J$47/COS(RADIANS(0))*$N$88)+(1/COS(RADIANS(180-165))*$P$88))</f>
        <v>53.778691797155474</v>
      </c>
      <c r="R88" s="26"/>
      <c r="S88" s="85"/>
      <c r="T88" s="26"/>
      <c r="U88" s="26"/>
      <c r="V88" s="26"/>
      <c r="W88" s="82"/>
      <c r="X88" s="26"/>
      <c r="Y88" s="17">
        <v>61.11</v>
      </c>
      <c r="Z88" s="11">
        <f>Y88*$E$1/10</f>
        <v>16.493589</v>
      </c>
      <c r="AA88" s="17">
        <v>66.319999999999993</v>
      </c>
      <c r="AB88" s="4">
        <f>AA88*$E$1/10</f>
        <v>17.899767999999998</v>
      </c>
      <c r="AC88" s="10">
        <f>(($J$45/COS(RADIANS(0))*Z88)+(1/COS(RADIANS(180-165))*AB88))</f>
        <v>32.787116705938182</v>
      </c>
      <c r="AD88" s="26"/>
      <c r="AE88" s="26"/>
      <c r="AF88" s="26"/>
      <c r="AG88" s="26"/>
      <c r="AH88" s="129"/>
    </row>
    <row r="89" spans="2:34" x14ac:dyDescent="0.35">
      <c r="B89" s="2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85"/>
      <c r="T89" s="26"/>
      <c r="U89" s="26"/>
      <c r="V89" s="26"/>
      <c r="W89" s="82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129"/>
    </row>
    <row r="90" spans="2:34" ht="15" thickBot="1" x14ac:dyDescent="0.4">
      <c r="B90" s="25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85"/>
      <c r="T90" s="26"/>
      <c r="U90" s="26"/>
      <c r="V90" s="26"/>
      <c r="W90" s="82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129"/>
    </row>
    <row r="91" spans="2:34" ht="29.5" thickBot="1" x14ac:dyDescent="0.4">
      <c r="B91" s="2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9" t="s">
        <v>34</v>
      </c>
      <c r="N91" s="63" t="s">
        <v>17</v>
      </c>
      <c r="O91" s="64" t="s">
        <v>18</v>
      </c>
      <c r="P91" s="102" t="s">
        <v>8</v>
      </c>
      <c r="Q91" s="104" t="s">
        <v>41</v>
      </c>
      <c r="R91" s="70"/>
      <c r="S91" s="86"/>
      <c r="T91" s="96" t="s">
        <v>42</v>
      </c>
      <c r="U91" s="97" t="s">
        <v>37</v>
      </c>
      <c r="V91" s="98"/>
      <c r="W91" s="99"/>
      <c r="X91" s="26"/>
      <c r="Y91" s="26"/>
      <c r="Z91" s="5" t="s">
        <v>20</v>
      </c>
      <c r="AA91" s="6" t="s">
        <v>21</v>
      </c>
      <c r="AB91" s="7" t="s">
        <v>8</v>
      </c>
      <c r="AC91" s="72" t="s">
        <v>14</v>
      </c>
      <c r="AD91" s="73"/>
      <c r="AE91" s="73"/>
      <c r="AF91" s="101" t="s">
        <v>39</v>
      </c>
      <c r="AG91" s="26"/>
      <c r="AH91" s="129"/>
    </row>
    <row r="92" spans="2:34" ht="15" thickBot="1" x14ac:dyDescent="0.4">
      <c r="B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18"/>
      <c r="N92" s="65">
        <v>434</v>
      </c>
      <c r="O92" s="66">
        <v>425.5</v>
      </c>
      <c r="P92" s="103">
        <f>(N92-O92)*D83</f>
        <v>85.240403279970749</v>
      </c>
      <c r="Q92" s="109">
        <f>P92*10^3/Q88</f>
        <v>1585.021881928325</v>
      </c>
      <c r="R92" s="110" t="s">
        <v>40</v>
      </c>
      <c r="S92" s="111">
        <f>Q92/D83*D84</f>
        <v>83.768443988789002</v>
      </c>
      <c r="T92" s="112">
        <v>1497</v>
      </c>
      <c r="U92" s="113">
        <v>1661</v>
      </c>
      <c r="V92" s="114" t="s">
        <v>40</v>
      </c>
      <c r="W92" s="115">
        <v>66</v>
      </c>
      <c r="X92" s="67" t="s">
        <v>43</v>
      </c>
      <c r="Y92" s="26"/>
      <c r="Z92" s="116">
        <v>378</v>
      </c>
      <c r="AA92" s="16">
        <v>373.5</v>
      </c>
      <c r="AB92" s="71">
        <f>(Z92-AA92)*D83</f>
        <v>45.127272324690395</v>
      </c>
      <c r="AC92" s="117">
        <f>AB92*10^3/AC88</f>
        <v>1376.3720893614668</v>
      </c>
      <c r="AD92" s="121" t="s">
        <v>40</v>
      </c>
      <c r="AE92" s="122">
        <f>AC92/D83*D84</f>
        <v>72.741297511388083</v>
      </c>
      <c r="AF92" s="123">
        <v>9.3000000000000007</v>
      </c>
      <c r="AG92" s="67" t="s">
        <v>43</v>
      </c>
      <c r="AH92" s="129"/>
    </row>
    <row r="93" spans="2:34" ht="15" thickBot="1" x14ac:dyDescent="0.4">
      <c r="B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107"/>
      <c r="R93" s="74"/>
      <c r="S93" s="108"/>
      <c r="T93" s="100"/>
      <c r="U93" s="100"/>
      <c r="V93" s="74"/>
      <c r="W93" s="105"/>
      <c r="X93" s="26"/>
      <c r="Y93" s="26"/>
      <c r="Z93" s="26"/>
      <c r="AA93" s="26"/>
      <c r="AB93" s="26"/>
      <c r="AC93" s="69"/>
      <c r="AD93" s="68"/>
      <c r="AE93" s="87"/>
      <c r="AF93" s="78"/>
      <c r="AG93" s="26"/>
      <c r="AH93" s="129"/>
    </row>
    <row r="94" spans="2:34" ht="15" thickBot="1" x14ac:dyDescent="0.4">
      <c r="B94" s="2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94">
        <f>Q92*$B$1*10^(-7)*10^3</f>
        <v>1.1586509956896056</v>
      </c>
      <c r="R94" s="92" t="s">
        <v>40</v>
      </c>
      <c r="S94" s="93">
        <f>S92*$B$1*10^(-7)*10^3</f>
        <v>6.1234732555804756E-2</v>
      </c>
      <c r="T94" s="79">
        <f>T92*$B$1*10^(-7)*10^3</f>
        <v>1.0943069999999999</v>
      </c>
      <c r="U94" s="95">
        <f>U92*$B$1*10^(-7)*10^3</f>
        <v>1.2141909999999998</v>
      </c>
      <c r="V94" s="76" t="s">
        <v>40</v>
      </c>
      <c r="W94" s="106">
        <f>W92*$B$1*10^(-7)*10^3</f>
        <v>4.8245999999999997E-2</v>
      </c>
      <c r="X94" s="67" t="s">
        <v>36</v>
      </c>
      <c r="Y94" s="26"/>
      <c r="Z94" s="26"/>
      <c r="AA94" s="26"/>
      <c r="AB94" s="26"/>
      <c r="AC94" s="118">
        <f>AC92*$E$1/10</f>
        <v>371.4828269186599</v>
      </c>
      <c r="AD94" s="119" t="s">
        <v>40</v>
      </c>
      <c r="AE94" s="120">
        <f>AE92*$E$1*10^(-7)*10^6</f>
        <v>19.63287619832364</v>
      </c>
      <c r="AF94" s="124">
        <f>AF92*$E$1/10</f>
        <v>2.5100699999999998</v>
      </c>
      <c r="AG94" s="67" t="s">
        <v>38</v>
      </c>
      <c r="AH94" s="129"/>
    </row>
    <row r="95" spans="2:34" x14ac:dyDescent="0.35">
      <c r="B95" s="25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85"/>
      <c r="T95" s="26"/>
      <c r="U95" s="74"/>
      <c r="V95" s="74"/>
      <c r="W95" s="89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129"/>
    </row>
    <row r="96" spans="2:34" ht="15" thickBot="1" x14ac:dyDescent="0.4">
      <c r="B96" s="61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88"/>
      <c r="T96" s="62"/>
      <c r="U96" s="75"/>
      <c r="V96" s="75"/>
      <c r="W96" s="90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130"/>
    </row>
    <row r="97" spans="2:34" ht="15" thickBot="1" x14ac:dyDescent="0.4">
      <c r="U97" s="77"/>
      <c r="V97" s="77"/>
      <c r="W97" s="91"/>
      <c r="AD97" s="26"/>
      <c r="AF97" s="26"/>
    </row>
    <row r="98" spans="2:34" ht="15" thickBot="1" x14ac:dyDescent="0.4">
      <c r="B98" s="59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84"/>
      <c r="T98" s="60"/>
      <c r="U98" s="60"/>
      <c r="V98" s="60"/>
      <c r="W98" s="81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128"/>
    </row>
    <row r="99" spans="2:34" ht="29.5" thickBot="1" x14ac:dyDescent="0.4">
      <c r="B99" s="25"/>
      <c r="C99" s="56" t="s">
        <v>28</v>
      </c>
      <c r="D99" s="57">
        <v>5</v>
      </c>
      <c r="E99" s="58" t="s">
        <v>29</v>
      </c>
      <c r="F99" s="26"/>
      <c r="G99" s="24" t="s">
        <v>1</v>
      </c>
      <c r="H99" s="19" t="s">
        <v>2</v>
      </c>
      <c r="I99" s="19" t="s">
        <v>3</v>
      </c>
      <c r="J99" s="19" t="s">
        <v>4</v>
      </c>
      <c r="K99" s="19" t="s">
        <v>5</v>
      </c>
      <c r="L99" s="20" t="s">
        <v>6</v>
      </c>
      <c r="M99" s="26"/>
      <c r="N99" s="26"/>
      <c r="O99" s="26"/>
      <c r="P99" s="26"/>
      <c r="Q99" s="26"/>
      <c r="R99" s="26"/>
      <c r="S99" s="85"/>
      <c r="T99" s="26"/>
      <c r="U99" s="26"/>
      <c r="V99" s="26"/>
      <c r="W99" s="82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129"/>
    </row>
    <row r="100" spans="2:34" x14ac:dyDescent="0.35">
      <c r="B100" s="25"/>
      <c r="C100" s="26"/>
      <c r="D100" s="26"/>
      <c r="E100" s="26"/>
      <c r="F100" s="26"/>
      <c r="G100" s="45" t="s">
        <v>23</v>
      </c>
      <c r="H100" s="46">
        <v>6</v>
      </c>
      <c r="I100" s="46">
        <v>12.010999999999999</v>
      </c>
      <c r="J100" s="47">
        <f>((SQRT(1-(1/I100)^2*SIN(RADIANS(165))^2)+1/I100*COS(RADIANS(165)))/(1+1/I100))^2</f>
        <v>0.72027206504080021</v>
      </c>
      <c r="K100" s="50">
        <f>$D$99*1000*J100</f>
        <v>3601.3603252040011</v>
      </c>
      <c r="L100" s="48">
        <v>339</v>
      </c>
      <c r="M100" s="26"/>
      <c r="N100" s="26"/>
      <c r="O100" s="26"/>
      <c r="P100" s="26"/>
      <c r="Q100" s="26"/>
      <c r="R100" s="26"/>
      <c r="S100" s="85"/>
      <c r="T100" s="26"/>
      <c r="U100" s="26"/>
      <c r="V100" s="26"/>
      <c r="W100" s="82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129"/>
    </row>
    <row r="101" spans="2:34" ht="15" thickBot="1" x14ac:dyDescent="0.4">
      <c r="B101" s="25"/>
      <c r="C101" s="26"/>
      <c r="D101" s="26"/>
      <c r="E101" s="26"/>
      <c r="F101" s="26"/>
      <c r="G101" s="40" t="s">
        <v>7</v>
      </c>
      <c r="H101" s="41">
        <v>8</v>
      </c>
      <c r="I101" s="42">
        <v>15.999000000000001</v>
      </c>
      <c r="J101" s="43">
        <f t="shared" ref="J101:J103" si="10">((SQRT(1-(1/I101)^2*SIN(RADIANS(165))^2)+1/I101*COS(RADIANS(165)))/(1+1/I101))^2</f>
        <v>0.78185798881983415</v>
      </c>
      <c r="K101" s="51">
        <f t="shared" ref="K101:K105" si="11">$D$99*1000*J101</f>
        <v>3909.289944099171</v>
      </c>
      <c r="L101" s="44">
        <v>370.5</v>
      </c>
      <c r="M101" s="26"/>
      <c r="N101" s="26"/>
      <c r="O101" s="26"/>
      <c r="P101" s="26"/>
      <c r="Q101" s="26"/>
      <c r="R101" s="26"/>
      <c r="S101" s="85"/>
      <c r="T101" s="26"/>
      <c r="U101" s="26"/>
      <c r="V101" s="26"/>
      <c r="W101" s="82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129"/>
    </row>
    <row r="102" spans="2:34" ht="15" thickBot="1" x14ac:dyDescent="0.4">
      <c r="B102" s="25"/>
      <c r="C102" s="26"/>
      <c r="D102" s="131">
        <f t="array" ref="D102:E105">LINEST(K100:K105,L100:L105,TRUE,TRUE)</f>
        <v>9.80127738708428</v>
      </c>
      <c r="E102" s="132">
        <v>294.51733917568345</v>
      </c>
      <c r="F102" s="26"/>
      <c r="G102" s="22" t="s">
        <v>19</v>
      </c>
      <c r="H102" s="21">
        <v>13</v>
      </c>
      <c r="I102" s="21">
        <v>26.98</v>
      </c>
      <c r="J102" s="39">
        <f t="shared" si="10"/>
        <v>0.86433057478706143</v>
      </c>
      <c r="K102" s="52">
        <f t="shared" si="11"/>
        <v>4321.6528739353071</v>
      </c>
      <c r="L102" s="23">
        <v>405</v>
      </c>
      <c r="M102" s="26"/>
      <c r="N102" s="26"/>
      <c r="O102" s="26"/>
      <c r="P102" s="26"/>
      <c r="Q102" s="26"/>
      <c r="R102" s="26"/>
      <c r="S102" s="85"/>
      <c r="T102" s="26"/>
      <c r="U102" s="26"/>
      <c r="V102" s="26"/>
      <c r="W102" s="82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129"/>
    </row>
    <row r="103" spans="2:34" x14ac:dyDescent="0.35">
      <c r="B103" s="25"/>
      <c r="C103" s="26"/>
      <c r="D103" s="25">
        <v>0.28321744167471208</v>
      </c>
      <c r="E103" s="129">
        <v>117.04882382677867</v>
      </c>
      <c r="F103" s="26"/>
      <c r="G103" s="27" t="s">
        <v>26</v>
      </c>
      <c r="H103" s="28">
        <v>14</v>
      </c>
      <c r="I103" s="28">
        <v>28.09</v>
      </c>
      <c r="J103" s="37">
        <f t="shared" si="10"/>
        <v>0.86932910407021868</v>
      </c>
      <c r="K103" s="53">
        <f t="shared" si="11"/>
        <v>4346.6455203510932</v>
      </c>
      <c r="L103" s="29">
        <v>413.5</v>
      </c>
      <c r="M103" s="26"/>
      <c r="N103" s="26"/>
      <c r="O103" s="26"/>
      <c r="P103" s="26"/>
      <c r="Q103" s="26"/>
      <c r="R103" s="26"/>
      <c r="S103" s="85"/>
      <c r="T103" s="26"/>
      <c r="U103" s="26"/>
      <c r="V103" s="26"/>
      <c r="W103" s="82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129"/>
    </row>
    <row r="104" spans="2:34" x14ac:dyDescent="0.35">
      <c r="B104" s="25"/>
      <c r="C104" s="26"/>
      <c r="D104" s="25">
        <v>0.99667120895590811</v>
      </c>
      <c r="E104" s="129">
        <v>32.714628413016257</v>
      </c>
      <c r="F104" s="26"/>
      <c r="G104" s="32" t="s">
        <v>16</v>
      </c>
      <c r="H104" s="30">
        <v>50</v>
      </c>
      <c r="I104" s="30">
        <v>116</v>
      </c>
      <c r="J104" s="31">
        <f>((SQRT(1-(1/I104)^2*SIN(RADIANS(165))^2)+1/I104*COS(RADIANS(165)))/(1+1/I104))^2</f>
        <v>0.96667191113339779</v>
      </c>
      <c r="K104" s="54">
        <f t="shared" si="11"/>
        <v>4833.3595556669889</v>
      </c>
      <c r="L104" s="35">
        <v>463.5</v>
      </c>
      <c r="M104" s="26"/>
      <c r="N104" s="26"/>
      <c r="O104" s="26"/>
      <c r="P104" s="26"/>
      <c r="Q104" s="26"/>
      <c r="R104" s="26"/>
      <c r="S104" s="85"/>
      <c r="T104" s="26"/>
      <c r="U104" s="26"/>
      <c r="V104" s="26"/>
      <c r="W104" s="82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129"/>
    </row>
    <row r="105" spans="2:34" ht="15" thickBot="1" x14ac:dyDescent="0.4">
      <c r="B105" s="25"/>
      <c r="C105" s="26"/>
      <c r="D105" s="61">
        <v>1197.637455465825</v>
      </c>
      <c r="E105" s="130">
        <v>4</v>
      </c>
      <c r="F105" s="26"/>
      <c r="G105" s="33" t="s">
        <v>27</v>
      </c>
      <c r="H105" s="34">
        <v>78</v>
      </c>
      <c r="I105" s="34">
        <v>195.1</v>
      </c>
      <c r="J105" s="38">
        <f>((SQRT(1-(1/I105)^2*SIN(RADIANS(165))^2)+1/I105*COS(RADIANS(165)))/(1+1/I105))^2</f>
        <v>0.9800485317759321</v>
      </c>
      <c r="K105" s="55">
        <f t="shared" si="11"/>
        <v>4900.2426588796607</v>
      </c>
      <c r="L105" s="36">
        <v>472</v>
      </c>
      <c r="M105" s="26"/>
      <c r="N105" s="26"/>
      <c r="O105" s="26"/>
      <c r="P105" s="26"/>
      <c r="Q105" s="26"/>
      <c r="R105" s="26"/>
      <c r="S105" s="85"/>
      <c r="T105" s="26"/>
      <c r="U105" s="26"/>
      <c r="V105" s="26"/>
      <c r="W105" s="82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129"/>
    </row>
    <row r="106" spans="2:34" ht="44" thickBot="1" x14ac:dyDescent="0.4">
      <c r="B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1" t="s">
        <v>9</v>
      </c>
      <c r="N106" s="2" t="s">
        <v>10</v>
      </c>
      <c r="O106" s="1" t="s">
        <v>11</v>
      </c>
      <c r="P106" s="2" t="s">
        <v>12</v>
      </c>
      <c r="Q106" s="3" t="s">
        <v>13</v>
      </c>
      <c r="R106" s="26"/>
      <c r="S106" s="85"/>
      <c r="T106" s="26"/>
      <c r="U106" s="26"/>
      <c r="V106" s="26"/>
      <c r="W106" s="82"/>
      <c r="X106" s="26"/>
      <c r="Y106" s="6" t="s">
        <v>24</v>
      </c>
      <c r="Z106" s="7" t="s">
        <v>10</v>
      </c>
      <c r="AA106" s="6" t="s">
        <v>25</v>
      </c>
      <c r="AB106" s="7" t="s">
        <v>12</v>
      </c>
      <c r="AC106" s="8" t="s">
        <v>13</v>
      </c>
      <c r="AD106" s="26"/>
      <c r="AE106" s="26"/>
      <c r="AF106" s="26"/>
      <c r="AG106" s="26"/>
      <c r="AH106" s="129"/>
    </row>
    <row r="107" spans="2:34" x14ac:dyDescent="0.35">
      <c r="B107" s="25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4">
        <v>34.93</v>
      </c>
      <c r="N107" s="11">
        <f>M107*$B$1/10</f>
        <v>25.533829999999998</v>
      </c>
      <c r="O107" s="15">
        <v>35.700000000000003</v>
      </c>
      <c r="P107" s="4">
        <f>O107*$B$1/10</f>
        <v>26.096699999999998</v>
      </c>
      <c r="Q107" s="14">
        <f>(($J$47/COS(RADIANS(0))*$N$107)+(1/COS(RADIANS(180-165))*$P$107))</f>
        <v>51.700128141963091</v>
      </c>
      <c r="R107" s="26"/>
      <c r="S107" s="85"/>
      <c r="T107" s="26"/>
      <c r="U107" s="26"/>
      <c r="V107" s="26"/>
      <c r="W107" s="82"/>
      <c r="X107" s="26"/>
      <c r="Y107" s="17">
        <v>58.39</v>
      </c>
      <c r="Z107" s="11">
        <f>Y107*$E$1/10</f>
        <v>15.759460999999998</v>
      </c>
      <c r="AA107" s="17">
        <v>63.39</v>
      </c>
      <c r="AB107" s="4">
        <f>AA107*$E$1/10</f>
        <v>17.108961000000001</v>
      </c>
      <c r="AC107" s="10">
        <f>(($J$102/COS(RADIANS(0))*Z107)+(1/COS(RADIANS(180-165))*AB107))</f>
        <v>31.333883779329351</v>
      </c>
      <c r="AD107" s="26"/>
      <c r="AE107" s="26"/>
      <c r="AF107" s="26"/>
      <c r="AG107" s="26"/>
      <c r="AH107" s="129"/>
    </row>
    <row r="108" spans="2:34" x14ac:dyDescent="0.35">
      <c r="B108" s="25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85"/>
      <c r="T108" s="26"/>
      <c r="U108" s="26"/>
      <c r="V108" s="26"/>
      <c r="W108" s="82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129"/>
    </row>
    <row r="109" spans="2:34" ht="15" thickBot="1" x14ac:dyDescent="0.4">
      <c r="B109" s="25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85"/>
      <c r="T109" s="26"/>
      <c r="U109" s="26"/>
      <c r="V109" s="26"/>
      <c r="W109" s="82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129"/>
    </row>
    <row r="110" spans="2:34" ht="29.5" thickBot="1" x14ac:dyDescent="0.4">
      <c r="B110" s="2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9" t="s">
        <v>35</v>
      </c>
      <c r="N110" s="63" t="s">
        <v>17</v>
      </c>
      <c r="O110" s="64" t="s">
        <v>18</v>
      </c>
      <c r="P110" s="102" t="s">
        <v>8</v>
      </c>
      <c r="Q110" s="104" t="s">
        <v>41</v>
      </c>
      <c r="R110" s="70"/>
      <c r="S110" s="86"/>
      <c r="T110" s="96" t="s">
        <v>42</v>
      </c>
      <c r="U110" s="97" t="s">
        <v>37</v>
      </c>
      <c r="V110" s="98"/>
      <c r="W110" s="99"/>
      <c r="X110" s="26"/>
      <c r="Y110" s="26"/>
      <c r="Z110" s="5" t="s">
        <v>20</v>
      </c>
      <c r="AA110" s="6" t="s">
        <v>21</v>
      </c>
      <c r="AB110" s="7" t="s">
        <v>8</v>
      </c>
      <c r="AC110" s="72" t="s">
        <v>14</v>
      </c>
      <c r="AD110" s="73"/>
      <c r="AE110" s="73"/>
      <c r="AF110" s="101" t="s">
        <v>39</v>
      </c>
      <c r="AG110" s="26"/>
      <c r="AH110" s="129"/>
    </row>
    <row r="111" spans="2:34" ht="15" thickBot="1" x14ac:dyDescent="0.4">
      <c r="B111" s="25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18"/>
      <c r="N111" s="65">
        <v>463.5</v>
      </c>
      <c r="O111" s="66">
        <v>454.5</v>
      </c>
      <c r="P111" s="103">
        <f>(N111-O111)*D102</f>
        <v>88.211496483758523</v>
      </c>
      <c r="Q111" s="109">
        <f>P111*10^3/Q107</f>
        <v>1706.2142716849573</v>
      </c>
      <c r="R111" s="110" t="s">
        <v>40</v>
      </c>
      <c r="S111" s="111">
        <f>Q111/D102*D103</f>
        <v>49.302720644584134</v>
      </c>
      <c r="T111" s="112">
        <v>1543</v>
      </c>
      <c r="U111" s="113">
        <v>1708</v>
      </c>
      <c r="V111" s="114" t="s">
        <v>40</v>
      </c>
      <c r="W111" s="115">
        <v>59</v>
      </c>
      <c r="X111" s="67" t="s">
        <v>43</v>
      </c>
      <c r="Y111" s="26"/>
      <c r="Z111" s="116">
        <v>404</v>
      </c>
      <c r="AA111" s="16">
        <v>401</v>
      </c>
      <c r="AB111" s="71">
        <f>(Z111-AA111)*D102</f>
        <v>29.40383216125284</v>
      </c>
      <c r="AC111" s="117">
        <f>AB111*10^3/AC107</f>
        <v>938.40369002230921</v>
      </c>
      <c r="AD111" s="121" t="s">
        <v>40</v>
      </c>
      <c r="AE111" s="122">
        <f>AC111/D102*D103</f>
        <v>27.116087204760856</v>
      </c>
      <c r="AF111" s="123">
        <v>59.1</v>
      </c>
      <c r="AG111" s="67" t="s">
        <v>43</v>
      </c>
      <c r="AH111" s="129"/>
    </row>
    <row r="112" spans="2:34" ht="15" thickBot="1" x14ac:dyDescent="0.4">
      <c r="B112" s="25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107"/>
      <c r="R112" s="74"/>
      <c r="S112" s="108"/>
      <c r="T112" s="100"/>
      <c r="U112" s="100"/>
      <c r="V112" s="74"/>
      <c r="W112" s="105"/>
      <c r="X112" s="26"/>
      <c r="Y112" s="26"/>
      <c r="Z112" s="26"/>
      <c r="AA112" s="26"/>
      <c r="AB112" s="26"/>
      <c r="AC112" s="69"/>
      <c r="AD112" s="68"/>
      <c r="AE112" s="87"/>
      <c r="AF112" s="78"/>
      <c r="AG112" s="26"/>
      <c r="AH112" s="129"/>
    </row>
    <row r="113" spans="2:34" ht="15" thickBot="1" x14ac:dyDescent="0.4">
      <c r="B113" s="25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94">
        <f>Q111*$B$1*10^(-7)*10^3</f>
        <v>1.2472426326017036</v>
      </c>
      <c r="R113" s="92" t="s">
        <v>40</v>
      </c>
      <c r="S113" s="93">
        <f>S111*$B$1*10^(-7)*10^3</f>
        <v>3.6040288791190998E-2</v>
      </c>
      <c r="T113" s="79">
        <f>T111*$B$1*10^(-7)*10^3</f>
        <v>1.1279330000000001</v>
      </c>
      <c r="U113" s="95">
        <f>U111*$B$1*10^(-7)*10^3</f>
        <v>1.248548</v>
      </c>
      <c r="V113" s="76" t="s">
        <v>40</v>
      </c>
      <c r="W113" s="106">
        <f>W111*$B$1*10^(-7)*10^3</f>
        <v>4.3128999999999994E-2</v>
      </c>
      <c r="X113" s="67" t="s">
        <v>36</v>
      </c>
      <c r="Y113" s="26"/>
      <c r="Z113" s="26"/>
      <c r="AA113" s="26"/>
      <c r="AB113" s="26"/>
      <c r="AC113" s="118">
        <f>AC111*$E$1/10</f>
        <v>253.27515593702122</v>
      </c>
      <c r="AD113" s="119" t="s">
        <v>40</v>
      </c>
      <c r="AE113" s="120">
        <f>AE111*$E$1*10^(-7)*10^6</f>
        <v>7.3186319365649535</v>
      </c>
      <c r="AF113" s="124">
        <f>AF111*$E$1/10</f>
        <v>15.951089999999999</v>
      </c>
      <c r="AG113" s="67" t="s">
        <v>38</v>
      </c>
      <c r="AH113" s="129"/>
    </row>
    <row r="114" spans="2:34" x14ac:dyDescent="0.35">
      <c r="B114" s="25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85"/>
      <c r="T114" s="26"/>
      <c r="U114" s="74"/>
      <c r="V114" s="74"/>
      <c r="W114" s="89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129"/>
    </row>
    <row r="115" spans="2:34" ht="15" thickBot="1" x14ac:dyDescent="0.4">
      <c r="B115" s="61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88"/>
      <c r="T115" s="62"/>
      <c r="U115" s="75"/>
      <c r="V115" s="75"/>
      <c r="W115" s="90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13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Matoza Pires</cp:lastModifiedBy>
  <cp:revision>27</cp:revision>
  <dcterms:created xsi:type="dcterms:W3CDTF">2022-08-29T11:45:38Z</dcterms:created>
  <dcterms:modified xsi:type="dcterms:W3CDTF">2025-07-23T15:32:52Z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