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TN\1stActivation_3.2MeV\1_Irradiacao\"/>
    </mc:Choice>
  </mc:AlternateContent>
  <bookViews>
    <workbookView xWindow="0" yWindow="0" windowWidth="16380" windowHeight="7300" tabRatio="856" activeTab="1"/>
  </bookViews>
  <sheets>
    <sheet name="3-alpha_Energy-Ch_Calib" sheetId="4" r:id="rId1"/>
    <sheet name="Sn+Al targets" sheetId="8" r:id="rId2"/>
    <sheet name="Formvar + Al targets" sheetId="9" r:id="rId3"/>
  </sheets>
  <externalReferences>
    <externalReference r:id="rId4"/>
  </externalReference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Z6" i="8" l="1"/>
  <c r="Z9" i="8" l="1"/>
  <c r="Y8" i="8"/>
  <c r="Z8" i="8"/>
  <c r="H6" i="8" l="1"/>
  <c r="I12" i="4" a="1"/>
  <c r="I12" i="4" s="1"/>
  <c r="AA4" i="8"/>
  <c r="I29" i="4" a="1"/>
  <c r="I29" i="4" s="1"/>
  <c r="Y4" i="8"/>
  <c r="J15" i="4" l="1"/>
  <c r="J14" i="4"/>
  <c r="J12" i="4"/>
  <c r="J13" i="4"/>
  <c r="I15" i="4"/>
  <c r="I13" i="4"/>
  <c r="I14" i="4"/>
  <c r="J30" i="4"/>
  <c r="I32" i="4"/>
  <c r="I30" i="4"/>
  <c r="J31" i="4"/>
  <c r="J29" i="4"/>
  <c r="J32" i="4"/>
  <c r="I31" i="4"/>
  <c r="M35" i="4"/>
  <c r="Y7" i="8"/>
  <c r="Z7" i="8" s="1"/>
  <c r="AA7" i="8" s="1"/>
  <c r="Y6" i="8"/>
  <c r="Y5" i="8"/>
  <c r="Z5" i="8" s="1"/>
  <c r="Z4" i="8"/>
  <c r="AA6" i="8" l="1"/>
  <c r="AA5" i="8"/>
  <c r="G4" i="8"/>
  <c r="H4" i="8" s="1"/>
  <c r="AQ14" i="8" l="1"/>
  <c r="AO14" i="8"/>
  <c r="AK14" i="8"/>
  <c r="AI14" i="8"/>
  <c r="AK18" i="8" l="1"/>
  <c r="S35" i="4"/>
  <c r="O35" i="4"/>
  <c r="Q35" i="4"/>
  <c r="C4" i="9"/>
  <c r="G9" i="9" s="1"/>
  <c r="H9" i="9" s="1"/>
  <c r="I9" i="9" s="1"/>
  <c r="B3" i="9"/>
  <c r="C3" i="9" s="1"/>
  <c r="G12" i="9" l="1"/>
  <c r="G4" i="9"/>
  <c r="G6" i="9"/>
  <c r="H6" i="9" s="1"/>
  <c r="G8" i="9"/>
  <c r="H8" i="9" s="1"/>
  <c r="G11" i="9"/>
  <c r="G10" i="9"/>
  <c r="H10" i="9" s="1"/>
  <c r="I10" i="9" s="1"/>
  <c r="G5" i="9"/>
  <c r="H5" i="9" s="1"/>
  <c r="G7" i="9"/>
  <c r="H7" i="9" s="1"/>
  <c r="H11" i="9" l="1"/>
  <c r="I11" i="9" s="1"/>
  <c r="H4" i="9"/>
  <c r="H12" i="9"/>
  <c r="I12" i="9" s="1"/>
  <c r="S14" i="8"/>
  <c r="Q14" i="8"/>
  <c r="M14" i="8"/>
  <c r="K14" i="8"/>
  <c r="G6" i="8"/>
  <c r="AR14" i="8" l="1"/>
  <c r="T14" i="8"/>
  <c r="G7" i="8"/>
  <c r="N14" i="8" s="1"/>
  <c r="G5" i="8"/>
  <c r="H5" i="8" s="1"/>
  <c r="AL14" i="8" l="1"/>
  <c r="AL18" i="8" s="1"/>
  <c r="H7" i="8"/>
  <c r="AQ18" i="8" l="1"/>
  <c r="AR18" i="8" s="1"/>
  <c r="M17" i="4"/>
  <c r="S18" i="8"/>
  <c r="T18" i="8" s="1"/>
  <c r="M18" i="8"/>
  <c r="N18" i="8" s="1"/>
  <c r="S17" i="4"/>
  <c r="O17" i="4"/>
  <c r="Q17" i="4"/>
  <c r="I4" i="8" l="1"/>
  <c r="I6" i="8"/>
  <c r="I5" i="8"/>
  <c r="I7" i="8"/>
  <c r="H13" i="9"/>
  <c r="G13" i="9" s="1"/>
</calcChain>
</file>

<file path=xl/sharedStrings.xml><?xml version="1.0" encoding="utf-8"?>
<sst xmlns="http://schemas.openxmlformats.org/spreadsheetml/2006/main" count="115" uniqueCount="49">
  <si>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</si>
  <si>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</si>
  <si>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</si>
  <si>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</si>
  <si>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</si>
  <si>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</si>
  <si>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</si>
  <si>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</si>
  <si>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</si>
  <si>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</si>
  <si>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Si</t>
  </si>
  <si>
    <t>+-</t>
  </si>
  <si>
    <t>V</t>
  </si>
  <si>
    <t>Nb</t>
  </si>
  <si>
    <t>Ta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</si>
  <si>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</si>
  <si>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</si>
  <si>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</si>
  <si>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</si>
  <si>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</si>
  <si>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</si>
  <si>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</si>
  <si>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</si>
  <si>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</si>
  <si>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</si>
  <si>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</si>
  <si>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</si>
  <si>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</si>
  <si>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</si>
  <si>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</si>
  <si>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</si>
  <si>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* Ch +</t>
  </si>
  <si>
    <t>Energy = (keV)</t>
  </si>
  <si>
    <t>239Pu</t>
  </si>
  <si>
    <t>241Am</t>
  </si>
  <si>
    <t>244Cm</t>
  </si>
  <si>
    <t>Channel</t>
  </si>
  <si>
    <t>Intensity</t>
  </si>
  <si>
    <t>E_alpha (MeV)</t>
  </si>
  <si>
    <t>Nucleide</t>
  </si>
  <si>
    <t>https://www.gammadata.se/assets/Uploads/04-alpha-spectrometry-sources2.pdf</t>
  </si>
  <si>
    <t>MOV E Angle =</t>
  </si>
  <si>
    <t>MOV D Angle =</t>
  </si>
  <si>
    <t>Au</t>
  </si>
  <si>
    <t>C</t>
  </si>
  <si>
    <t xml:space="preserve">O density = </t>
  </si>
  <si>
    <t>C density =</t>
  </si>
  <si>
    <t>g/cm3</t>
  </si>
  <si>
    <t>116Sn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</si>
</sst>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0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b/>
      <sz val="11"/>
      <color theme="4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B4C7E7"/>
        <bgColor rgb="FFBDD7EE"/>
      </patternFill>
    </fill>
    <fill>
      <patternFill patternType="solid">
        <fgColor rgb="FFDAE3F3"/>
        <bgColor rgb="FFDEEBF7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DEEBF7"/>
        <bgColor rgb="FFDAE3F3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rgb="FFDEEBF7"/>
      </patternFill>
    </fill>
    <fill>
      <patternFill patternType="solid">
        <fgColor rgb="FFFFC000"/>
        <bgColor rgb="FFFBE5D6"/>
      </patternFill>
    </fill>
    <fill>
      <patternFill patternType="solid">
        <fgColor rgb="FFFFC000"/>
        <bgColor rgb="FFFFF2CC"/>
      </patternFill>
    </fill>
    <fill>
      <patternFill patternType="solid">
        <fgColor rgb="FFFFC000"/>
        <bgColor rgb="FFDAE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4" tint="0.79998168889431442"/>
        <bgColor rgb="FFDEEBF7"/>
      </patternFill>
    </fill>
    <fill>
      <patternFill patternType="solid">
        <fgColor theme="5" tint="0.79998168889431442"/>
        <bgColor rgb="FFDEEBF7"/>
      </patternFill>
    </fill>
    <fill>
      <patternFill patternType="solid">
        <fgColor theme="8" tint="0.79998168889431442"/>
        <bgColor rgb="FFDEEBF7"/>
      </patternFill>
    </fill>
    <fill>
      <patternFill patternType="solid">
        <fgColor theme="7" tint="0.79998168889431442"/>
        <bgColor rgb="FFDEEBF7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CBB2"/>
        <bgColor indexed="64"/>
      </patternFill>
    </fill>
    <fill>
      <patternFill patternType="solid">
        <fgColor rgb="FFDCCBB2"/>
        <bgColor rgb="FFDEEBF7"/>
      </patternFill>
    </fill>
    <fill>
      <patternFill patternType="solid">
        <fgColor rgb="FFDCCBB2"/>
        <bgColor rgb="FFDAE3F3"/>
      </patternFill>
    </fill>
    <fill>
      <patternFill patternType="solid">
        <fgColor rgb="FFFFFF9B"/>
        <bgColor indexed="64"/>
      </patternFill>
    </fill>
    <fill>
      <patternFill patternType="solid">
        <fgColor rgb="FFFFFF9B"/>
        <bgColor rgb="FFDEEBF7"/>
      </patternFill>
    </fill>
    <fill>
      <patternFill patternType="solid">
        <fgColor rgb="FFFFFF9B"/>
        <bgColor rgb="FFDAE3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2" fontId="0" fillId="7" borderId="0" xfId="0" applyNumberForma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164" fontId="0" fillId="13" borderId="0" xfId="0" applyNumberFormat="1" applyFill="1" applyBorder="1" applyAlignment="1">
      <alignment horizontal="center" vertical="center" wrapText="1"/>
    </xf>
    <xf numFmtId="2" fontId="0" fillId="13" borderId="0" xfId="0" applyNumberForma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6" xfId="0" applyBorder="1"/>
    <xf numFmtId="2" fontId="0" fillId="17" borderId="18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2" fillId="22" borderId="12" xfId="0" applyFont="1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 wrapText="1"/>
    </xf>
    <xf numFmtId="2" fontId="0" fillId="23" borderId="7" xfId="0" applyNumberForma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6" fillId="22" borderId="15" xfId="0" applyFont="1" applyFill="1" applyBorder="1" applyAlignment="1">
      <alignment horizontal="center" vertical="center" wrapText="1"/>
    </xf>
    <xf numFmtId="0" fontId="6" fillId="22" borderId="16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2" fillId="22" borderId="17" xfId="0" applyFont="1" applyFill="1" applyBorder="1" applyAlignment="1">
      <alignment horizontal="center" vertical="center" wrapText="1"/>
    </xf>
    <xf numFmtId="0" fontId="2" fillId="22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166" fontId="0" fillId="17" borderId="19" xfId="0" applyNumberFormat="1" applyFill="1" applyBorder="1" applyAlignment="1">
      <alignment horizontal="center" vertical="center" wrapText="1"/>
    </xf>
    <xf numFmtId="2" fontId="7" fillId="17" borderId="18" xfId="0" applyNumberFormat="1" applyFont="1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165" fontId="0" fillId="25" borderId="0" xfId="0" applyNumberFormat="1" applyFill="1" applyBorder="1" applyAlignment="1">
      <alignment horizontal="center" vertical="center" wrapText="1"/>
    </xf>
    <xf numFmtId="165" fontId="0" fillId="26" borderId="0" xfId="0" applyNumberFormat="1" applyFill="1" applyBorder="1" applyAlignment="1">
      <alignment horizontal="center" vertical="center" wrapText="1"/>
    </xf>
    <xf numFmtId="165" fontId="0" fillId="27" borderId="0" xfId="0" applyNumberFormat="1" applyFill="1" applyBorder="1" applyAlignment="1">
      <alignment horizontal="center" vertical="center" wrapText="1"/>
    </xf>
    <xf numFmtId="1" fontId="0" fillId="28" borderId="13" xfId="0" applyNumberFormat="1" applyFill="1" applyBorder="1" applyAlignment="1">
      <alignment horizontal="center" vertical="center" wrapText="1"/>
    </xf>
    <xf numFmtId="0" fontId="0" fillId="28" borderId="7" xfId="0" quotePrefix="1" applyFill="1" applyBorder="1" applyAlignment="1">
      <alignment horizontal="center" vertical="center" wrapText="1"/>
    </xf>
    <xf numFmtId="1" fontId="0" fillId="28" borderId="7" xfId="0" applyNumberFormat="1" applyFill="1" applyBorder="1" applyAlignment="1">
      <alignment horizontal="center" vertical="center" wrapText="1"/>
    </xf>
    <xf numFmtId="0" fontId="0" fillId="28" borderId="7" xfId="0" applyFill="1" applyBorder="1" applyAlignment="1">
      <alignment horizontal="center" vertical="center" wrapText="1"/>
    </xf>
    <xf numFmtId="164" fontId="0" fillId="28" borderId="7" xfId="0" applyNumberFormat="1" applyFill="1" applyBorder="1" applyAlignment="1">
      <alignment horizontal="center" vertical="center" wrapText="1"/>
    </xf>
    <xf numFmtId="0" fontId="0" fillId="28" borderId="12" xfId="0" applyFill="1" applyBorder="1" applyAlignment="1">
      <alignment horizontal="center" vertical="center" wrapText="1"/>
    </xf>
    <xf numFmtId="0" fontId="0" fillId="29" borderId="13" xfId="0" applyFill="1" applyBorder="1" applyAlignment="1">
      <alignment horizontal="center" vertical="center" wrapText="1"/>
    </xf>
    <xf numFmtId="0" fontId="0" fillId="29" borderId="7" xfId="0" applyFill="1" applyBorder="1" applyAlignment="1">
      <alignment horizontal="center" vertical="center" wrapText="1"/>
    </xf>
    <xf numFmtId="0" fontId="0" fillId="29" borderId="12" xfId="0" applyFill="1" applyBorder="1" applyAlignment="1">
      <alignment horizontal="center" vertical="center" wrapText="1"/>
    </xf>
    <xf numFmtId="165" fontId="0" fillId="24" borderId="0" xfId="0" applyNumberFormat="1" applyFill="1" applyBorder="1" applyAlignment="1">
      <alignment horizontal="center" vertical="center" wrapText="1"/>
    </xf>
    <xf numFmtId="0" fontId="2" fillId="14" borderId="14" xfId="0" applyFont="1" applyFill="1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 wrapText="1"/>
    </xf>
    <xf numFmtId="164" fontId="0" fillId="15" borderId="0" xfId="0" applyNumberFormat="1" applyFill="1" applyBorder="1" applyAlignment="1">
      <alignment horizontal="center" vertical="center" wrapText="1"/>
    </xf>
    <xf numFmtId="2" fontId="0" fillId="15" borderId="0" xfId="0" applyNumberFormat="1" applyFill="1" applyBorder="1" applyAlignment="1">
      <alignment horizontal="center" vertical="center" wrapText="1"/>
    </xf>
    <xf numFmtId="165" fontId="0" fillId="31" borderId="7" xfId="0" applyNumberForma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0" borderId="14" xfId="0" applyBorder="1"/>
    <xf numFmtId="0" fontId="0" fillId="0" borderId="2" xfId="0" applyBorder="1"/>
    <xf numFmtId="0" fontId="0" fillId="32" borderId="10" xfId="0" applyFill="1" applyBorder="1" applyAlignment="1">
      <alignment horizontal="center" vertical="center"/>
    </xf>
    <xf numFmtId="0" fontId="0" fillId="32" borderId="8" xfId="0" applyFill="1" applyBorder="1" applyAlignment="1">
      <alignment horizontal="center" vertical="center"/>
    </xf>
    <xf numFmtId="0" fontId="0" fillId="32" borderId="5" xfId="0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0" fontId="0" fillId="32" borderId="20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32" borderId="9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1" fontId="0" fillId="17" borderId="19" xfId="0" applyNumberFormat="1" applyFill="1" applyBorder="1" applyAlignment="1">
      <alignment horizontal="center" vertical="center" wrapText="1"/>
    </xf>
    <xf numFmtId="2" fontId="4" fillId="17" borderId="18" xfId="0" applyNumberFormat="1" applyFont="1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17" borderId="22" xfId="0" applyFill="1" applyBorder="1" applyAlignment="1">
      <alignment horizontal="center" vertical="center" wrapText="1"/>
    </xf>
    <xf numFmtId="2" fontId="0" fillId="17" borderId="22" xfId="0" applyNumberFormat="1" applyFill="1" applyBorder="1" applyAlignment="1">
      <alignment horizontal="center" vertical="center" wrapText="1"/>
    </xf>
    <xf numFmtId="1" fontId="8" fillId="17" borderId="4" xfId="0" applyNumberFormat="1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2" fontId="0" fillId="0" borderId="22" xfId="0" applyNumberFormat="1" applyFill="1" applyBorder="1" applyAlignment="1">
      <alignment horizontal="center" vertical="center" wrapText="1"/>
    </xf>
    <xf numFmtId="0" fontId="0" fillId="0" borderId="0" xfId="0" applyFill="1"/>
    <xf numFmtId="165" fontId="0" fillId="34" borderId="7" xfId="0" applyNumberFormat="1" applyFill="1" applyBorder="1" applyAlignment="1">
      <alignment horizontal="center" vertical="center" wrapText="1"/>
    </xf>
    <xf numFmtId="165" fontId="0" fillId="37" borderId="7" xfId="0" applyNumberFormat="1" applyFill="1" applyBorder="1" applyAlignment="1">
      <alignment horizontal="center" vertical="center" wrapText="1"/>
    </xf>
    <xf numFmtId="2" fontId="0" fillId="38" borderId="7" xfId="0" applyNumberForma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165" fontId="0" fillId="30" borderId="5" xfId="0" applyNumberFormat="1" applyFill="1" applyBorder="1" applyAlignment="1">
      <alignment horizontal="center" vertical="center" wrapText="1"/>
    </xf>
    <xf numFmtId="2" fontId="0" fillId="16" borderId="5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18" borderId="20" xfId="0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 wrapText="1"/>
    </xf>
    <xf numFmtId="0" fontId="0" fillId="19" borderId="20" xfId="0" applyFill="1" applyBorder="1" applyAlignment="1">
      <alignment horizontal="center" vertical="center" wrapText="1"/>
    </xf>
    <xf numFmtId="0" fontId="0" fillId="20" borderId="20" xfId="0" applyFill="1" applyBorder="1" applyAlignment="1">
      <alignment horizontal="center" vertical="center" wrapText="1"/>
    </xf>
    <xf numFmtId="0" fontId="0" fillId="21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5" xfId="0" applyFill="1" applyBorder="1" applyAlignment="1">
      <alignment horizontal="center" vertical="center" wrapText="1"/>
    </xf>
    <xf numFmtId="0" fontId="0" fillId="36" borderId="1" xfId="0" applyFill="1" applyBorder="1" applyAlignment="1">
      <alignment horizontal="center" vertical="center" wrapText="1"/>
    </xf>
    <xf numFmtId="0" fontId="0" fillId="22" borderId="9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/>
    </xf>
    <xf numFmtId="0" fontId="0" fillId="39" borderId="5" xfId="0" applyFill="1" applyBorder="1" applyAlignment="1">
      <alignment horizontal="center" vertical="center"/>
    </xf>
    <xf numFmtId="1" fontId="0" fillId="39" borderId="6" xfId="0" applyNumberFormat="1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1" fontId="0" fillId="39" borderId="4" xfId="0" applyNumberFormat="1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7" xfId="0" applyFill="1" applyBorder="1" applyAlignment="1">
      <alignment horizontal="center" vertical="center" wrapText="1"/>
    </xf>
    <xf numFmtId="2" fontId="0" fillId="35" borderId="13" xfId="0" applyNumberFormat="1" applyFill="1" applyBorder="1" applyAlignment="1">
      <alignment horizontal="center" vertical="center" wrapText="1"/>
    </xf>
    <xf numFmtId="0" fontId="4" fillId="17" borderId="18" xfId="0" applyFont="1" applyFill="1" applyBorder="1" applyAlignment="1">
      <alignment horizontal="center" vertical="center" wrapText="1"/>
    </xf>
    <xf numFmtId="0" fontId="0" fillId="32" borderId="13" xfId="0" applyFill="1" applyBorder="1"/>
    <xf numFmtId="0" fontId="0" fillId="32" borderId="12" xfId="0" applyFill="1" applyBorder="1" applyAlignment="1">
      <alignment horizontal="right" vertical="center"/>
    </xf>
    <xf numFmtId="11" fontId="0" fillId="32" borderId="7" xfId="0" applyNumberFormat="1" applyFill="1" applyBorder="1" applyAlignment="1">
      <alignment horizontal="center"/>
    </xf>
    <xf numFmtId="0" fontId="0" fillId="33" borderId="7" xfId="0" applyFill="1" applyBorder="1" applyAlignment="1">
      <alignment horizontal="right" vertical="center"/>
    </xf>
    <xf numFmtId="0" fontId="0" fillId="33" borderId="7" xfId="0" applyFill="1" applyBorder="1" applyAlignment="1">
      <alignment horizontal="center"/>
    </xf>
    <xf numFmtId="0" fontId="0" fillId="33" borderId="13" xfId="0" applyFill="1" applyBorder="1" applyAlignment="1">
      <alignment horizontal="left"/>
    </xf>
    <xf numFmtId="0" fontId="2" fillId="8" borderId="1" xfId="0" quotePrefix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" fontId="0" fillId="39" borderId="3" xfId="0" applyNumberFormat="1" applyFill="1" applyBorder="1" applyAlignment="1">
      <alignment horizontal="center" vertical="center"/>
    </xf>
    <xf numFmtId="165" fontId="0" fillId="27" borderId="5" xfId="0" applyNumberFormat="1" applyFill="1" applyBorder="1" applyAlignment="1">
      <alignment horizontal="center" vertical="center" wrapText="1"/>
    </xf>
    <xf numFmtId="2" fontId="0" fillId="27" borderId="5" xfId="0" applyNumberFormat="1" applyFill="1" applyBorder="1" applyAlignment="1">
      <alignment horizontal="center" vertical="center" wrapText="1"/>
    </xf>
    <xf numFmtId="0" fontId="0" fillId="40" borderId="5" xfId="0" applyFill="1" applyBorder="1" applyAlignment="1">
      <alignment horizontal="center" vertical="center"/>
    </xf>
    <xf numFmtId="0" fontId="2" fillId="40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2" borderId="0" xfId="0" applyFill="1" applyBorder="1" applyAlignment="1">
      <alignment horizontal="center" vertical="center" wrapText="1"/>
    </xf>
    <xf numFmtId="165" fontId="0" fillId="31" borderId="0" xfId="0" applyNumberFormat="1" applyFill="1" applyBorder="1" applyAlignment="1">
      <alignment horizontal="center" vertical="center" wrapText="1"/>
    </xf>
    <xf numFmtId="2" fontId="0" fillId="23" borderId="0" xfId="0" applyNumberFormat="1" applyFill="1" applyBorder="1" applyAlignment="1">
      <alignment horizontal="center" vertical="center" wrapText="1"/>
    </xf>
    <xf numFmtId="0" fontId="2" fillId="22" borderId="14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5" fontId="0" fillId="30" borderId="3" xfId="0" applyNumberFormat="1" applyFill="1" applyBorder="1" applyAlignment="1">
      <alignment horizontal="center" vertical="center" wrapText="1"/>
    </xf>
    <xf numFmtId="2" fontId="0" fillId="16" borderId="3" xfId="0" applyNumberFormat="1" applyFill="1" applyBorder="1" applyAlignment="1">
      <alignment horizontal="center" vertical="center" wrapText="1"/>
    </xf>
    <xf numFmtId="1" fontId="0" fillId="40" borderId="8" xfId="0" applyNumberFormat="1" applyFill="1" applyBorder="1" applyAlignment="1">
      <alignment horizontal="center" vertical="center"/>
    </xf>
    <xf numFmtId="1" fontId="0" fillId="41" borderId="20" xfId="0" applyNumberFormat="1" applyFill="1" applyBorder="1" applyAlignment="1">
      <alignment horizontal="center" vertical="center" wrapText="1"/>
    </xf>
    <xf numFmtId="1" fontId="0" fillId="22" borderId="20" xfId="0" applyNumberFormat="1" applyFill="1" applyBorder="1" applyAlignment="1">
      <alignment horizontal="center" vertical="center" wrapText="1"/>
    </xf>
    <xf numFmtId="1" fontId="0" fillId="8" borderId="9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</a:t>
            </a:r>
            <a:r>
              <a:rPr lang="en-US" baseline="0"/>
              <a:t> E</a:t>
            </a:r>
            <a:endParaRPr lang="en-US"/>
          </a:p>
        </c:rich>
      </c:tx>
      <c:layout>
        <c:manualLayout>
          <c:xMode val="edge"/>
          <c:yMode val="edge"/>
          <c:x val="0.22793044619422573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2592745749537898E-2"/>
                  <c:y val="-0.184858700354763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5,904848x + 178,509229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0,999983</a:t>
                    </a:r>
                    <a:endParaRPr lang="en-US"/>
                  </a:p>
                </c:rich>
              </c:tx>
              <c:numFmt formatCode="#,##0.000000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'3-alpha_Energy-Ch_Calib'!$K$4:$K$9</c:f>
              <c:numCache>
                <c:formatCode>General</c:formatCode>
                <c:ptCount val="6"/>
                <c:pt idx="0">
                  <c:v>953</c:v>
                </c:pt>
                <c:pt idx="1">
                  <c:v>945</c:v>
                </c:pt>
                <c:pt idx="2">
                  <c:v>899</c:v>
                </c:pt>
                <c:pt idx="3">
                  <c:v>891</c:v>
                </c:pt>
                <c:pt idx="4">
                  <c:v>844</c:v>
                </c:pt>
                <c:pt idx="5">
                  <c:v>498</c:v>
                </c:pt>
              </c:numCache>
            </c:numRef>
          </c:xVal>
          <c:yVal>
            <c:numRef>
              <c:f>'3-alpha_Energy-Ch_Calib'!$I$4:$I$9</c:f>
              <c:numCache>
                <c:formatCode>General</c:formatCode>
                <c:ptCount val="6"/>
                <c:pt idx="0">
                  <c:v>5805</c:v>
                </c:pt>
                <c:pt idx="1">
                  <c:v>5763</c:v>
                </c:pt>
                <c:pt idx="2">
                  <c:v>5486</c:v>
                </c:pt>
                <c:pt idx="3">
                  <c:v>5443</c:v>
                </c:pt>
                <c:pt idx="4">
                  <c:v>5155</c:v>
                </c:pt>
                <c:pt idx="5">
                  <c:v>3120.44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83936"/>
        <c:axId val="2094645712"/>
      </c:scatterChart>
      <c:valAx>
        <c:axId val="16168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  <a:endParaRPr lang="pt-PT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4645712"/>
        <c:crosses val="autoZero"/>
        <c:crossBetween val="midCat"/>
      </c:valAx>
      <c:valAx>
        <c:axId val="20946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(MeV)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68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 D</a:t>
            </a:r>
          </a:p>
        </c:rich>
      </c:tx>
      <c:layout>
        <c:manualLayout>
          <c:xMode val="edge"/>
          <c:yMode val="edge"/>
          <c:x val="0.271117891513560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9525">
                <a:solidFill>
                  <a:schemeClr val="accent2">
                    <a:tint val="6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tint val="6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514794747783749"/>
                  <c:y val="-0.185427627998113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6,1758x - 150,03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0,9995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'3-alpha_Energy-Ch_Calib'!$K$21:$K$26</c:f>
              <c:numCache>
                <c:formatCode>General</c:formatCode>
                <c:ptCount val="6"/>
                <c:pt idx="0">
                  <c:v>968</c:v>
                </c:pt>
                <c:pt idx="1">
                  <c:v>961</c:v>
                </c:pt>
                <c:pt idx="2">
                  <c:v>910</c:v>
                </c:pt>
                <c:pt idx="3">
                  <c:v>905</c:v>
                </c:pt>
                <c:pt idx="4">
                  <c:v>853</c:v>
                </c:pt>
                <c:pt idx="5">
                  <c:v>530</c:v>
                </c:pt>
              </c:numCache>
            </c:numRef>
          </c:xVal>
          <c:yVal>
            <c:numRef>
              <c:f>'3-alpha_Energy-Ch_Calib'!$I$21:$I$26</c:f>
              <c:numCache>
                <c:formatCode>General</c:formatCode>
                <c:ptCount val="6"/>
                <c:pt idx="0">
                  <c:v>5805</c:v>
                </c:pt>
                <c:pt idx="1">
                  <c:v>5763</c:v>
                </c:pt>
                <c:pt idx="2">
                  <c:v>5486</c:v>
                </c:pt>
                <c:pt idx="3">
                  <c:v>5443</c:v>
                </c:pt>
                <c:pt idx="4">
                  <c:v>5155</c:v>
                </c:pt>
                <c:pt idx="5">
                  <c:v>3111.05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647888"/>
        <c:axId val="204048624"/>
      </c:scatterChart>
      <c:valAx>
        <c:axId val="209464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4048624"/>
        <c:crosses val="autoZero"/>
        <c:crossBetween val="midCat"/>
      </c:valAx>
      <c:valAx>
        <c:axId val="20404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ENergy (MeV)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464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6</xdr:col>
      <xdr:colOff>582866</xdr:colOff>
      <xdr:row>18</xdr:row>
      <xdr:rowOff>151950</xdr:rowOff>
    </xdr:to>
    <xdr:grpSp>
      <xdr:nvGrpSpPr>
        <xdr:cNvPr id="2" name="Grupo 1"/>
        <xdr:cNvGrpSpPr/>
      </xdr:nvGrpSpPr>
      <xdr:grpSpPr>
        <a:xfrm>
          <a:off x="0" y="177800"/>
          <a:ext cx="4246816" cy="3949250"/>
          <a:chOff x="-4933950" y="-69569"/>
          <a:chExt cx="4246816" cy="3318992"/>
        </a:xfrm>
      </xdr:grpSpPr>
      <xdr:pic>
        <xdr:nvPicPr>
          <xdr:cNvPr id="3" name="Imagem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-4933950" y="-69569"/>
            <a:ext cx="4246816" cy="3318992"/>
          </a:xfrm>
          <a:prstGeom prst="rect">
            <a:avLst/>
          </a:prstGeom>
        </xdr:spPr>
      </xdr:pic>
      <xdr:sp macro="" textlink="">
        <xdr:nvSpPr>
          <xdr:cNvPr id="4" name="Oval 3"/>
          <xdr:cNvSpPr/>
        </xdr:nvSpPr>
        <xdr:spPr>
          <a:xfrm>
            <a:off x="-4679950" y="1698892"/>
            <a:ext cx="539750" cy="38100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">
        <xdr:nvSpPr>
          <xdr:cNvPr id="5" name="Oval 4"/>
          <xdr:cNvSpPr/>
        </xdr:nvSpPr>
        <xdr:spPr>
          <a:xfrm>
            <a:off x="-4705349" y="1114693"/>
            <a:ext cx="539750" cy="38100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">
        <xdr:nvSpPr>
          <xdr:cNvPr id="6" name="Oval 5"/>
          <xdr:cNvSpPr/>
        </xdr:nvSpPr>
        <xdr:spPr>
          <a:xfrm>
            <a:off x="-4686300" y="2683142"/>
            <a:ext cx="539750" cy="381000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</xdr:grpSp>
    <xdr:clientData/>
  </xdr:twoCellAnchor>
  <xdr:twoCellAnchor>
    <xdr:from>
      <xdr:col>11</xdr:col>
      <xdr:colOff>136524</xdr:colOff>
      <xdr:row>1</xdr:row>
      <xdr:rowOff>63500</xdr:rowOff>
    </xdr:from>
    <xdr:to>
      <xdr:col>23</xdr:col>
      <xdr:colOff>114300</xdr:colOff>
      <xdr:row>15</xdr:row>
      <xdr:rowOff>50800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130175</xdr:colOff>
      <xdr:row>19</xdr:row>
      <xdr:rowOff>19050</xdr:rowOff>
    </xdr:from>
    <xdr:to>
      <xdr:col>22</xdr:col>
      <xdr:colOff>377825</xdr:colOff>
      <xdr:row>32</xdr:row>
      <xdr:rowOff>171450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OneDrive%20-%20Universidade%20de%20Lisboa/NUCRIA/TESE/Targets/Nat-Sn_2ndProduction/RBS_30&amp;31-08-2023/Calibration_PIPS_Detector_202308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  <sheetName val="Folha3"/>
    </sheetNames>
    <sheetDataSet>
      <sheetData sheetId="0">
        <row r="8">
          <cell r="D8">
            <v>2.7799999999999274</v>
          </cell>
          <cell r="E8">
            <v>4680.5000000000064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G1" workbookViewId="0">
      <selection activeCell="Q35" sqref="Q35"/>
    </sheetView>
  </sheetViews>
  <sheetFormatPr defaultRowHeight="14.5" x14ac:dyDescent="0.35"/>
  <cols>
    <col min="4" max="4" width="8.81640625" customWidth="1"/>
    <col min="9" max="9" width="8" bestFit="1" customWidth="1"/>
    <col min="12" max="12" width="7.81640625" customWidth="1"/>
    <col min="13" max="13" width="5.26953125" bestFit="1" customWidth="1"/>
    <col min="14" max="14" width="2.453125" bestFit="1" customWidth="1"/>
    <col min="15" max="15" width="5.26953125" bestFit="1" customWidth="1"/>
    <col min="16" max="16" width="5.81640625" bestFit="1" customWidth="1"/>
    <col min="17" max="17" width="4.81640625" bestFit="1" customWidth="1"/>
    <col min="18" max="18" width="2.453125" bestFit="1" customWidth="1"/>
    <col min="19" max="19" width="2.81640625" bestFit="1" customWidth="1"/>
  </cols>
  <sheetData>
    <row r="1" spans="1:11" x14ac:dyDescent="0.35">
      <c r="A1" t="s">
        <v>40</v>
      </c>
    </row>
    <row r="2" spans="1:11" ht="15" thickBot="1" x14ac:dyDescent="0.4"/>
    <row r="3" spans="1:11" ht="38.15" customHeight="1" thickBot="1" x14ac:dyDescent="0.4">
      <c r="H3" s="58" t="s">
        <v>39</v>
      </c>
      <c r="I3" s="57" t="s">
        <v>38</v>
      </c>
      <c r="J3" s="57" t="s">
        <v>37</v>
      </c>
      <c r="K3" s="56" t="s">
        <v>36</v>
      </c>
    </row>
    <row r="4" spans="1:11" x14ac:dyDescent="0.35">
      <c r="H4" s="71" t="s">
        <v>35</v>
      </c>
      <c r="I4" s="72">
        <v>5805</v>
      </c>
      <c r="J4" s="73">
        <v>76.7</v>
      </c>
      <c r="K4" s="72">
        <v>953</v>
      </c>
    </row>
    <row r="5" spans="1:11" x14ac:dyDescent="0.35">
      <c r="H5" s="74"/>
      <c r="I5" s="75">
        <v>5763</v>
      </c>
      <c r="J5" s="76">
        <v>23.3</v>
      </c>
      <c r="K5" s="75">
        <v>945</v>
      </c>
    </row>
    <row r="6" spans="1:11" x14ac:dyDescent="0.35">
      <c r="H6" s="74" t="s">
        <v>34</v>
      </c>
      <c r="I6" s="75">
        <v>5486</v>
      </c>
      <c r="J6" s="76">
        <v>85.2</v>
      </c>
      <c r="K6" s="75">
        <v>899</v>
      </c>
    </row>
    <row r="7" spans="1:11" x14ac:dyDescent="0.35">
      <c r="H7" s="74"/>
      <c r="I7" s="75">
        <v>5443</v>
      </c>
      <c r="J7" s="76">
        <v>12.8</v>
      </c>
      <c r="K7" s="75">
        <v>891</v>
      </c>
    </row>
    <row r="8" spans="1:11" ht="15" thickBot="1" x14ac:dyDescent="0.4">
      <c r="H8" s="77" t="s">
        <v>33</v>
      </c>
      <c r="I8" s="78">
        <v>5155</v>
      </c>
      <c r="J8" s="79">
        <v>73.400000000000006</v>
      </c>
      <c r="K8" s="78">
        <v>844</v>
      </c>
    </row>
    <row r="9" spans="1:11" x14ac:dyDescent="0.35">
      <c r="H9" s="74" t="s">
        <v>48</v>
      </c>
      <c r="I9" s="75">
        <v>3120.44</v>
      </c>
      <c r="K9" s="75">
        <v>498</v>
      </c>
    </row>
    <row r="11" spans="1:11" ht="15" thickBot="1" x14ac:dyDescent="0.4"/>
    <row r="12" spans="1:11" x14ac:dyDescent="0.35">
      <c r="I12" s="80">
        <f t="array" ref="I12:J15">LINEST(I4:I9,K4:K9,TRUE,TRUE)</f>
        <v>5.9048478382268152</v>
      </c>
      <c r="J12" s="29">
        <v>178.50922895318581</v>
      </c>
    </row>
    <row r="13" spans="1:11" x14ac:dyDescent="0.35">
      <c r="I13" s="69">
        <v>1.2054847405605494E-2</v>
      </c>
      <c r="J13" s="70">
        <v>10.280431540623553</v>
      </c>
    </row>
    <row r="14" spans="1:11" x14ac:dyDescent="0.35">
      <c r="I14" s="69">
        <v>0.99998332911083154</v>
      </c>
      <c r="J14" s="70">
        <v>4.6193718061039597</v>
      </c>
    </row>
    <row r="15" spans="1:11" ht="15" thickBot="1" x14ac:dyDescent="0.4">
      <c r="I15" s="81">
        <v>239935.21137389407</v>
      </c>
      <c r="J15" s="82">
        <v>4</v>
      </c>
    </row>
    <row r="16" spans="1:11" ht="15" thickBot="1" x14ac:dyDescent="0.4"/>
    <row r="17" spans="8:19" ht="40.5" customHeight="1" thickBot="1" x14ac:dyDescent="0.4">
      <c r="L17" s="55" t="s">
        <v>32</v>
      </c>
      <c r="M17" s="54">
        <f>I12</f>
        <v>5.9048478382268152</v>
      </c>
      <c r="N17" s="51" t="s">
        <v>11</v>
      </c>
      <c r="O17" s="54">
        <f>I13</f>
        <v>1.2054847405605494E-2</v>
      </c>
      <c r="P17" s="53" t="s">
        <v>31</v>
      </c>
      <c r="Q17" s="52">
        <f>J12</f>
        <v>178.50922895318581</v>
      </c>
      <c r="R17" s="51" t="s">
        <v>11</v>
      </c>
      <c r="S17" s="50">
        <f>J13</f>
        <v>10.280431540623553</v>
      </c>
    </row>
    <row r="19" spans="8:19" ht="15" thickBot="1" x14ac:dyDescent="0.4"/>
    <row r="20" spans="8:19" ht="29.5" thickBot="1" x14ac:dyDescent="0.4">
      <c r="H20" s="58" t="s">
        <v>39</v>
      </c>
      <c r="I20" s="57" t="s">
        <v>38</v>
      </c>
      <c r="J20" s="57" t="s">
        <v>37</v>
      </c>
      <c r="K20" s="56" t="s">
        <v>36</v>
      </c>
    </row>
    <row r="21" spans="8:19" x14ac:dyDescent="0.35">
      <c r="H21" s="71" t="s">
        <v>35</v>
      </c>
      <c r="I21" s="72">
        <v>5805</v>
      </c>
      <c r="J21" s="73">
        <v>76.7</v>
      </c>
      <c r="K21" s="72">
        <v>968</v>
      </c>
    </row>
    <row r="22" spans="8:19" x14ac:dyDescent="0.35">
      <c r="H22" s="74"/>
      <c r="I22" s="75">
        <v>5763</v>
      </c>
      <c r="J22" s="76">
        <v>23.3</v>
      </c>
      <c r="K22" s="75">
        <v>961</v>
      </c>
    </row>
    <row r="23" spans="8:19" x14ac:dyDescent="0.35">
      <c r="H23" s="74" t="s">
        <v>34</v>
      </c>
      <c r="I23" s="75">
        <v>5486</v>
      </c>
      <c r="J23" s="76">
        <v>85.2</v>
      </c>
      <c r="K23" s="75">
        <v>910</v>
      </c>
    </row>
    <row r="24" spans="8:19" x14ac:dyDescent="0.35">
      <c r="H24" s="74"/>
      <c r="I24" s="75">
        <v>5443</v>
      </c>
      <c r="J24" s="76">
        <v>12.8</v>
      </c>
      <c r="K24" s="75">
        <v>905</v>
      </c>
    </row>
    <row r="25" spans="8:19" ht="15" thickBot="1" x14ac:dyDescent="0.4">
      <c r="H25" s="77" t="s">
        <v>33</v>
      </c>
      <c r="I25" s="78">
        <v>5155</v>
      </c>
      <c r="J25" s="79">
        <v>73.400000000000006</v>
      </c>
      <c r="K25" s="78">
        <v>853</v>
      </c>
    </row>
    <row r="26" spans="8:19" x14ac:dyDescent="0.35">
      <c r="H26" s="74" t="s">
        <v>48</v>
      </c>
      <c r="I26" s="75">
        <v>3111.05</v>
      </c>
      <c r="K26" s="75">
        <v>530</v>
      </c>
    </row>
    <row r="28" spans="8:19" ht="15" thickBot="1" x14ac:dyDescent="0.4"/>
    <row r="29" spans="8:19" x14ac:dyDescent="0.35">
      <c r="I29" s="80">
        <f t="array" ref="I29:J32">LINEST(I21:I26,K21:K26,TRUE,TRUE)</f>
        <v>6.1757821430553248</v>
      </c>
      <c r="J29" s="29">
        <v>-150.03084124077486</v>
      </c>
    </row>
    <row r="30" spans="8:19" x14ac:dyDescent="0.35">
      <c r="I30" s="69">
        <v>7.2090017849059537E-2</v>
      </c>
      <c r="J30" s="70">
        <v>62.543917662146221</v>
      </c>
    </row>
    <row r="31" spans="8:19" x14ac:dyDescent="0.35">
      <c r="I31" s="69">
        <v>0.99945525948090974</v>
      </c>
      <c r="J31" s="70">
        <v>26.503010466748215</v>
      </c>
    </row>
    <row r="32" spans="8:19" ht="15" thickBot="1" x14ac:dyDescent="0.4">
      <c r="I32" s="81">
        <v>7338.945604047095</v>
      </c>
      <c r="J32" s="82">
        <v>4</v>
      </c>
    </row>
    <row r="34" spans="12:19" ht="15" thickBot="1" x14ac:dyDescent="0.4"/>
    <row r="35" spans="12:19" ht="36.5" customHeight="1" thickBot="1" x14ac:dyDescent="0.4">
      <c r="L35" s="55" t="s">
        <v>32</v>
      </c>
      <c r="M35" s="54">
        <f>I29</f>
        <v>6.1757821430553248</v>
      </c>
      <c r="N35" s="51" t="s">
        <v>11</v>
      </c>
      <c r="O35" s="54">
        <f>I30</f>
        <v>7.2090017849059537E-2</v>
      </c>
      <c r="P35" s="53" t="s">
        <v>31</v>
      </c>
      <c r="Q35" s="52">
        <f>J29</f>
        <v>-150.03084124077486</v>
      </c>
      <c r="R35" s="51" t="s">
        <v>11</v>
      </c>
      <c r="S35" s="50">
        <f>J30</f>
        <v>62.543917662146221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topLeftCell="I1" zoomScaleNormal="100" workbookViewId="0">
      <selection activeCell="AA10" sqref="AA10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44" ht="15" thickBot="1" x14ac:dyDescent="0.4">
      <c r="A1" s="1" t="s">
        <v>0</v>
      </c>
      <c r="B1" s="2">
        <v>3215</v>
      </c>
      <c r="C1" s="3" t="s">
        <v>1</v>
      </c>
    </row>
    <row r="2" spans="1:44" ht="29.5" thickBot="1" x14ac:dyDescent="0.4">
      <c r="A2" s="66" t="s">
        <v>22</v>
      </c>
      <c r="B2" s="67">
        <v>7.31</v>
      </c>
      <c r="C2" s="68" t="s">
        <v>2</v>
      </c>
      <c r="D2" s="44" t="s">
        <v>29</v>
      </c>
      <c r="E2" s="45">
        <v>2.6989999999999998</v>
      </c>
      <c r="F2" s="46" t="s">
        <v>2</v>
      </c>
    </row>
    <row r="3" spans="1:44" ht="29.5" thickBot="1" x14ac:dyDescent="0.4">
      <c r="A3" s="110" t="s">
        <v>42</v>
      </c>
      <c r="B3" s="111"/>
      <c r="C3" s="112">
        <v>155</v>
      </c>
      <c r="D3" s="134" t="s">
        <v>3</v>
      </c>
      <c r="E3" s="134" t="s">
        <v>4</v>
      </c>
      <c r="F3" s="134" t="s">
        <v>5</v>
      </c>
      <c r="G3" s="134" t="s">
        <v>6</v>
      </c>
      <c r="H3" s="134" t="s">
        <v>7</v>
      </c>
      <c r="I3" s="135" t="s">
        <v>8</v>
      </c>
      <c r="V3" s="4" t="s">
        <v>3</v>
      </c>
      <c r="W3" s="4" t="s">
        <v>4</v>
      </c>
      <c r="X3" s="5" t="s">
        <v>5</v>
      </c>
      <c r="Y3" s="5" t="s">
        <v>6</v>
      </c>
      <c r="Z3" s="5" t="s">
        <v>7</v>
      </c>
      <c r="AA3" s="6" t="s">
        <v>8</v>
      </c>
    </row>
    <row r="4" spans="1:44" ht="15" thickBot="1" x14ac:dyDescent="0.4">
      <c r="A4" s="113" t="s">
        <v>41</v>
      </c>
      <c r="B4" s="114"/>
      <c r="C4" s="129">
        <v>137</v>
      </c>
      <c r="D4" s="133" t="s">
        <v>44</v>
      </c>
      <c r="E4" s="132">
        <v>6</v>
      </c>
      <c r="F4" s="132">
        <v>12.010999999999999</v>
      </c>
      <c r="G4" s="130">
        <f>((SQRT(1-(1/F4)^2*SIN(RADIANS($C$4))^2)+1/F4*COS(RADIANS($C$4)))/(1+1/F4))^2</f>
        <v>0.74899018528349937</v>
      </c>
      <c r="H4" s="131">
        <f>$B$1*G4</f>
        <v>2408.0034456864505</v>
      </c>
      <c r="I4" s="144">
        <f>(H4-'3-alpha_Energy-Ch_Calib'!$Q$17)/'3-alpha_Energy-Ch_Calib'!$M$17</f>
        <v>377.5701386071222</v>
      </c>
      <c r="V4" s="133" t="s">
        <v>44</v>
      </c>
      <c r="W4" s="132">
        <v>6</v>
      </c>
      <c r="X4" s="132">
        <v>12.010999999999999</v>
      </c>
      <c r="Y4" s="130">
        <f>((SQRT(1-(1/X4)^2*SIN(RADIANS($C$3))^2)+1/X4*COS(RADIANS($C$3)))/(1+1/X4))^2</f>
        <v>0.7274610782667349</v>
      </c>
      <c r="Z4" s="131">
        <f>$B$1*Y4</f>
        <v>2338.7873666275527</v>
      </c>
      <c r="AA4" s="144">
        <f>(Z4-'3-alpha_Energy-Ch_Calib'!$J$29)/'3-alpha_Energy-Ch_Calib'!$I$29</f>
        <v>402.99643838100849</v>
      </c>
    </row>
    <row r="5" spans="1:44" x14ac:dyDescent="0.35">
      <c r="D5" s="7" t="s">
        <v>9</v>
      </c>
      <c r="E5" s="8">
        <v>8</v>
      </c>
      <c r="F5" s="9">
        <v>15.999000000000001</v>
      </c>
      <c r="G5" s="10">
        <f>((SQRT(1-(1/F5)^2*SIN(RADIANS($C$4))^2)+1/F5*COS(RADIANS($C$4)))/(1+1/F5))^2</f>
        <v>0.80513684119698148</v>
      </c>
      <c r="H5" s="11">
        <f>$B$1*G5</f>
        <v>2588.5149444482954</v>
      </c>
      <c r="I5" s="145">
        <f>(H5-'3-alpha_Energy-Ch_Calib'!$Q$17)/'3-alpha_Energy-Ch_Calib'!$M$17</f>
        <v>408.14018947164226</v>
      </c>
      <c r="V5" s="7" t="s">
        <v>9</v>
      </c>
      <c r="W5" s="8">
        <v>8</v>
      </c>
      <c r="X5" s="9">
        <v>15.999000000000001</v>
      </c>
      <c r="Y5" s="10">
        <f t="shared" ref="Y5:Y7" si="0">((SQRT(1-(1/X5)^2*SIN(RADIANS($C$3))^2)+1/X5*COS(RADIANS($C$3)))/(1+1/X5))^2</f>
        <v>0.78770814096427388</v>
      </c>
      <c r="Z5" s="11">
        <f>$B$1*Y5</f>
        <v>2532.4816732001404</v>
      </c>
      <c r="AA5" s="145">
        <f>(Z5-'3-alpha_Energy-Ch_Calib'!$J$29)/'3-alpha_Energy-Ch_Calib'!$I$29</f>
        <v>434.35996482767843</v>
      </c>
    </row>
    <row r="6" spans="1:44" x14ac:dyDescent="0.35">
      <c r="D6" s="139" t="s">
        <v>26</v>
      </c>
      <c r="E6" s="136">
        <v>13</v>
      </c>
      <c r="F6" s="136">
        <v>26.98</v>
      </c>
      <c r="G6" s="137">
        <f>((SQRT(1-(1/F6)^2*SIN(RADIANS($C$4))^2)+1/F6*COS(RADIANS($C$4)))/(1+1/F6))^2</f>
        <v>0.87949439138170837</v>
      </c>
      <c r="H6" s="138">
        <f>G6*H7</f>
        <v>2744.4138755450472</v>
      </c>
      <c r="I6" s="146">
        <f>(H6-'3-alpha_Energy-Ch_Calib'!$Q$17)/'3-alpha_Energy-Ch_Calib'!$M$17</f>
        <v>434.54204356981103</v>
      </c>
      <c r="V6" s="139" t="s">
        <v>26</v>
      </c>
      <c r="W6" s="136">
        <v>13</v>
      </c>
      <c r="X6" s="136">
        <v>26.98</v>
      </c>
      <c r="Y6" s="137">
        <f t="shared" si="0"/>
        <v>0.86815919711315104</v>
      </c>
      <c r="Z6" s="138">
        <f>Z7*Y6</f>
        <v>2700.8835465026609</v>
      </c>
      <c r="AA6" s="146">
        <f>(Z6-'3-alpha_Energy-Ch_Calib'!$J$29)/'3-alpha_Energy-Ch_Calib'!$I$29</f>
        <v>461.62806940158873</v>
      </c>
    </row>
    <row r="7" spans="1:44" ht="15" thickBot="1" x14ac:dyDescent="0.4">
      <c r="D7" s="140" t="s">
        <v>23</v>
      </c>
      <c r="E7" s="141">
        <v>50</v>
      </c>
      <c r="F7" s="141">
        <v>116</v>
      </c>
      <c r="G7" s="142">
        <f>((SQRT(1-(1/F7)^2*SIN(RADIANS($C$4))^2)+1/F7*COS(RADIANS($C$4)))/(1+1/F7))^2</f>
        <v>0.97058942437071416</v>
      </c>
      <c r="H7" s="143">
        <f>$B$1*G7</f>
        <v>3120.444999351846</v>
      </c>
      <c r="I7" s="147">
        <f>(H7-'3-alpha_Energy-Ch_Calib'!$Q$17)/'3-alpha_Energy-Ch_Calib'!$M$17</f>
        <v>498.22380711542655</v>
      </c>
      <c r="V7" s="140" t="s">
        <v>23</v>
      </c>
      <c r="W7" s="141">
        <v>50</v>
      </c>
      <c r="X7" s="141">
        <v>116</v>
      </c>
      <c r="Y7" s="142">
        <f t="shared" si="0"/>
        <v>0.96766606592677995</v>
      </c>
      <c r="Z7" s="143">
        <f>$B$1*Y7</f>
        <v>3111.0464019545975</v>
      </c>
      <c r="AA7" s="147">
        <f>(Z7-'3-alpha_Energy-Ch_Calib'!$J$29)/'3-alpha_Energy-Ch_Calib'!$I$29</f>
        <v>528.04279161020247</v>
      </c>
    </row>
    <row r="8" spans="1:44" x14ac:dyDescent="0.35">
      <c r="J8" s="31"/>
      <c r="Y8">
        <f>Z8/Z7</f>
        <v>0.785522728721462</v>
      </c>
      <c r="Z8">
        <f>AA8*'3-alpha_Energy-Ch_Calib'!I29+'3-alpha_Energy-Ch_Calib'!J29</f>
        <v>2443.7976588424617</v>
      </c>
      <c r="AA8">
        <v>420</v>
      </c>
    </row>
    <row r="9" spans="1:44" x14ac:dyDescent="0.35">
      <c r="J9" s="31"/>
      <c r="Z9">
        <f>AA9*'3-alpha_Energy-Ch_Calib'!M35+'3-alpha_Energy-Ch_Calib'!Q35</f>
        <v>3339.2860695854838</v>
      </c>
      <c r="AA9">
        <v>565</v>
      </c>
    </row>
    <row r="12" spans="1:44" ht="15" thickBot="1" x14ac:dyDescent="0.4"/>
    <row r="13" spans="1:44" ht="17.25" customHeight="1" thickBot="1" x14ac:dyDescent="0.4">
      <c r="J13" s="25" t="s">
        <v>16</v>
      </c>
      <c r="K13" s="26" t="s">
        <v>17</v>
      </c>
      <c r="L13" s="25" t="s">
        <v>18</v>
      </c>
      <c r="M13" s="26" t="s">
        <v>19</v>
      </c>
      <c r="N13" s="27" t="s">
        <v>20</v>
      </c>
      <c r="P13" s="37" t="s">
        <v>16</v>
      </c>
      <c r="Q13" s="38" t="s">
        <v>17</v>
      </c>
      <c r="R13" s="37" t="s">
        <v>18</v>
      </c>
      <c r="S13" s="38" t="s">
        <v>19</v>
      </c>
      <c r="T13" s="39" t="s">
        <v>20</v>
      </c>
      <c r="AH13" s="25" t="s">
        <v>16</v>
      </c>
      <c r="AI13" s="26" t="s">
        <v>17</v>
      </c>
      <c r="AJ13" s="25" t="s">
        <v>18</v>
      </c>
      <c r="AK13" s="26" t="s">
        <v>19</v>
      </c>
      <c r="AL13" s="27" t="s">
        <v>20</v>
      </c>
      <c r="AN13" s="37" t="s">
        <v>16</v>
      </c>
      <c r="AO13" s="38" t="s">
        <v>17</v>
      </c>
      <c r="AP13" s="37" t="s">
        <v>18</v>
      </c>
      <c r="AQ13" s="38" t="s">
        <v>19</v>
      </c>
      <c r="AR13" s="39" t="s">
        <v>20</v>
      </c>
    </row>
    <row r="14" spans="1:44" x14ac:dyDescent="0.35">
      <c r="J14" s="30"/>
      <c r="K14" s="43">
        <f>J14*$B$2/10</f>
        <v>0</v>
      </c>
      <c r="L14" s="84"/>
      <c r="M14" s="30">
        <f>L14*$B$2/10</f>
        <v>0</v>
      </c>
      <c r="N14" s="83">
        <f>(($G$7/COS(RADIANS(0))*$K$14)+(1/COS(RADIANS(180-$C$4))*$M$14))</f>
        <v>0</v>
      </c>
      <c r="P14" s="120"/>
      <c r="Q14" s="43">
        <f>P14*$E$2/10</f>
        <v>0</v>
      </c>
      <c r="R14" s="120"/>
      <c r="S14" s="30">
        <f>R14*$E$2/10</f>
        <v>0</v>
      </c>
      <c r="T14" s="42">
        <f>(($G$6/COS(RADIANS(0))*Q14)+(1/COS(RADIANS(180-C4))*S14))</f>
        <v>0</v>
      </c>
      <c r="AH14" s="30"/>
      <c r="AI14" s="43">
        <f>AH14*$B$2/10</f>
        <v>0</v>
      </c>
      <c r="AJ14" s="84"/>
      <c r="AK14" s="30">
        <f>AJ14*$B$2/10</f>
        <v>0</v>
      </c>
      <c r="AL14" s="83">
        <f>(($Y$9/COS(RADIANS(0))*$K$14)+(1/COS(RADIANS(180-$C$3))*$M$14))</f>
        <v>0</v>
      </c>
      <c r="AN14" s="120"/>
      <c r="AO14" s="43">
        <f>AN14*$E$2/10</f>
        <v>0</v>
      </c>
      <c r="AP14" s="120"/>
      <c r="AQ14" s="30">
        <f>AP14*$E$2/10</f>
        <v>0</v>
      </c>
      <c r="AR14" s="42">
        <f>(($Y$11/COS(RADIANS(0))*AO14)+(1/COS(RADIANS(180-C3))*AQ14))</f>
        <v>0</v>
      </c>
    </row>
    <row r="16" spans="1:44" ht="15" thickBot="1" x14ac:dyDescent="0.4"/>
    <row r="17" spans="10:44" ht="44" thickBot="1" x14ac:dyDescent="0.4">
      <c r="J17" s="41"/>
      <c r="K17" s="24" t="s">
        <v>24</v>
      </c>
      <c r="L17" s="25" t="s">
        <v>25</v>
      </c>
      <c r="M17" s="26" t="s">
        <v>15</v>
      </c>
      <c r="N17" s="28" t="s">
        <v>21</v>
      </c>
      <c r="P17" s="35" t="s">
        <v>30</v>
      </c>
      <c r="Q17" s="36" t="s">
        <v>27</v>
      </c>
      <c r="R17" s="37" t="s">
        <v>28</v>
      </c>
      <c r="S17" s="38" t="s">
        <v>15</v>
      </c>
      <c r="T17" s="40" t="s">
        <v>21</v>
      </c>
      <c r="AH17" s="41"/>
      <c r="AI17" s="24" t="s">
        <v>24</v>
      </c>
      <c r="AJ17" s="25" t="s">
        <v>25</v>
      </c>
      <c r="AK17" s="26" t="s">
        <v>15</v>
      </c>
      <c r="AL17" s="28" t="s">
        <v>21</v>
      </c>
      <c r="AN17" s="35"/>
      <c r="AO17" s="36" t="s">
        <v>27</v>
      </c>
      <c r="AP17" s="37" t="s">
        <v>28</v>
      </c>
      <c r="AQ17" s="38" t="s">
        <v>15</v>
      </c>
      <c r="AR17" s="40" t="s">
        <v>21</v>
      </c>
    </row>
    <row r="18" spans="10:44" ht="15" thickBot="1" x14ac:dyDescent="0.4">
      <c r="J18" s="127"/>
      <c r="K18" s="85"/>
      <c r="L18" s="86"/>
      <c r="M18" s="90">
        <f>(K18-L18)*'3-alpha_Energy-Ch_Calib'!$I$12</f>
        <v>0</v>
      </c>
      <c r="N18" s="88" t="e">
        <f>M18*10^3/$N$14</f>
        <v>#DIV/0!</v>
      </c>
      <c r="P18" s="89"/>
      <c r="Q18" s="85"/>
      <c r="R18" s="86"/>
      <c r="S18" s="87">
        <f>(Q18-R18)*'3-alpha_Energy-Ch_Calib'!$I$12</f>
        <v>0</v>
      </c>
      <c r="T18" s="88" t="e">
        <f>S18*10^3/$T$14</f>
        <v>#DIV/0!</v>
      </c>
      <c r="AH18" s="127"/>
      <c r="AI18" s="85"/>
      <c r="AJ18" s="86"/>
      <c r="AK18" s="90">
        <f>(AI18-AJ18)*'3-alpha_Energy-Ch_Calib'!$I$29</f>
        <v>0</v>
      </c>
      <c r="AL18" s="88" t="e">
        <f>AK18*10^3/$AL$14</f>
        <v>#DIV/0!</v>
      </c>
      <c r="AN18" s="89"/>
      <c r="AO18" s="85"/>
      <c r="AP18" s="86"/>
      <c r="AQ18" s="87">
        <f>(AO18-AP18)*'3-alpha_Energy-Ch_Calib'!$I$12</f>
        <v>0</v>
      </c>
      <c r="AR18" s="88" t="e">
        <f>AQ18*10^3/$AR$14</f>
        <v>#DIV/0!</v>
      </c>
    </row>
    <row r="19" spans="10:44" x14ac:dyDescent="0.35">
      <c r="N19" s="9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90" zoomScaleNormal="90" workbookViewId="0">
      <selection activeCell="D24" sqref="D24"/>
    </sheetView>
  </sheetViews>
  <sheetFormatPr defaultColWidth="8.54296875" defaultRowHeight="14.5" x14ac:dyDescent="0.35"/>
  <cols>
    <col min="1" max="1" width="15.54296875" bestFit="1" customWidth="1"/>
    <col min="4" max="4" width="11.2695312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3" width="8.1796875" customWidth="1"/>
    <col min="24" max="24" width="8.7265625" customWidth="1"/>
    <col min="25" max="25" width="8.54296875" bestFit="1" customWidth="1"/>
    <col min="26" max="26" width="10.54296875" customWidth="1"/>
    <col min="27" max="27" width="8.1796875" customWidth="1"/>
    <col min="28" max="28" width="7.81640625" customWidth="1"/>
    <col min="29" max="29" width="8.2695312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2" width="14.453125" bestFit="1" customWidth="1"/>
    <col min="43" max="43" width="20.1796875" customWidth="1"/>
    <col min="44" max="44" width="11.453125" customWidth="1"/>
    <col min="45" max="45" width="7.81640625" bestFit="1" customWidth="1"/>
    <col min="46" max="46" width="6.1796875" bestFit="1" customWidth="1"/>
  </cols>
  <sheetData>
    <row r="1" spans="1:10" ht="15" thickBot="1" x14ac:dyDescent="0.4">
      <c r="A1" s="1" t="s">
        <v>0</v>
      </c>
      <c r="B1" s="2">
        <v>1800</v>
      </c>
      <c r="C1" s="3" t="s">
        <v>1</v>
      </c>
    </row>
    <row r="2" spans="1:10" ht="15" thickBot="1" x14ac:dyDescent="0.4">
      <c r="A2" s="44" t="s">
        <v>29</v>
      </c>
      <c r="B2" s="45">
        <v>2.6989999999999998</v>
      </c>
      <c r="C2" s="46" t="s">
        <v>2</v>
      </c>
      <c r="D2" s="122" t="s">
        <v>45</v>
      </c>
      <c r="E2" s="123">
        <v>1.3315099999999999E-3</v>
      </c>
      <c r="F2" s="121" t="s">
        <v>2</v>
      </c>
      <c r="G2" s="124" t="s">
        <v>46</v>
      </c>
      <c r="H2" s="125">
        <v>2</v>
      </c>
      <c r="I2" s="126" t="s">
        <v>47</v>
      </c>
    </row>
    <row r="3" spans="1:10" ht="29.5" thickBot="1" x14ac:dyDescent="0.4">
      <c r="A3" s="110" t="s">
        <v>42</v>
      </c>
      <c r="B3" s="111">
        <f>B4-58.4</f>
        <v>5061.6000000000004</v>
      </c>
      <c r="C3" s="112">
        <f>(B3+58.4-[1]Folha1!$E$8)/[1]Folha1!$D$8</f>
        <v>158.09352517985795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99" t="s">
        <v>8</v>
      </c>
    </row>
    <row r="4" spans="1:10" ht="15" thickBot="1" x14ac:dyDescent="0.4">
      <c r="A4" s="113" t="s">
        <v>41</v>
      </c>
      <c r="B4" s="114">
        <v>5120</v>
      </c>
      <c r="C4" s="115">
        <f>(B4-58.4-[1]Folha1!$E$8)/[1]Folha1!$D$8</f>
        <v>137.08633093525322</v>
      </c>
      <c r="D4" s="65" t="s">
        <v>9</v>
      </c>
      <c r="E4" s="8">
        <v>8</v>
      </c>
      <c r="F4" s="9">
        <v>15.999000000000001</v>
      </c>
      <c r="G4" s="10">
        <f t="shared" ref="G4:G12" si="0">((SQRT(1-(1/F4)^2*SIN(RADIANS($C$4))^2)+1/F4*COS(RADIANS($C$4)))/(1+1/F4))^2</f>
        <v>0.80503341055243449</v>
      </c>
      <c r="H4" s="11">
        <f t="shared" ref="H4:H10" si="1">$B$1*G4</f>
        <v>1449.060138994382</v>
      </c>
      <c r="I4" s="100">
        <v>1804</v>
      </c>
    </row>
    <row r="5" spans="1:10" x14ac:dyDescent="0.35">
      <c r="D5" s="12" t="s">
        <v>10</v>
      </c>
      <c r="E5" s="13">
        <v>14</v>
      </c>
      <c r="F5" s="14">
        <v>28.085000000000001</v>
      </c>
      <c r="G5" s="48">
        <f t="shared" si="0"/>
        <v>0.88388859771899675</v>
      </c>
      <c r="H5" s="15">
        <f t="shared" si="1"/>
        <v>1590.9994758941941</v>
      </c>
      <c r="I5" s="101">
        <v>2017</v>
      </c>
    </row>
    <row r="6" spans="1:10" x14ac:dyDescent="0.35">
      <c r="D6" s="16" t="s">
        <v>12</v>
      </c>
      <c r="E6" s="17">
        <v>23</v>
      </c>
      <c r="F6" s="18">
        <v>50.942</v>
      </c>
      <c r="G6" s="49">
        <f t="shared" si="0"/>
        <v>0.93423858123481152</v>
      </c>
      <c r="H6" s="19">
        <f t="shared" si="1"/>
        <v>1681.6294462226608</v>
      </c>
      <c r="I6" s="102"/>
    </row>
    <row r="7" spans="1:10" x14ac:dyDescent="0.35">
      <c r="D7" s="20" t="s">
        <v>13</v>
      </c>
      <c r="E7" s="21">
        <v>41</v>
      </c>
      <c r="F7" s="22">
        <v>92.906000000000006</v>
      </c>
      <c r="G7" s="47">
        <f t="shared" si="0"/>
        <v>0.96339211459852625</v>
      </c>
      <c r="H7" s="23">
        <f t="shared" si="1"/>
        <v>1734.1058062773473</v>
      </c>
      <c r="I7" s="103">
        <v>2237</v>
      </c>
    </row>
    <row r="8" spans="1:10" ht="15" thickBot="1" x14ac:dyDescent="0.4">
      <c r="D8" s="60" t="s">
        <v>14</v>
      </c>
      <c r="E8" s="61">
        <v>73</v>
      </c>
      <c r="F8" s="62">
        <v>180.95</v>
      </c>
      <c r="G8" s="59">
        <f t="shared" si="0"/>
        <v>0.9810343260436506</v>
      </c>
      <c r="H8" s="63">
        <f t="shared" si="1"/>
        <v>1765.8617868785711</v>
      </c>
      <c r="I8" s="104">
        <v>2298</v>
      </c>
      <c r="J8" s="31"/>
    </row>
    <row r="9" spans="1:10" ht="15" thickBot="1" x14ac:dyDescent="0.4">
      <c r="D9" s="95" t="s">
        <v>23</v>
      </c>
      <c r="E9" s="96">
        <v>50</v>
      </c>
      <c r="F9" s="96">
        <v>118.69</v>
      </c>
      <c r="G9" s="97">
        <f t="shared" si="0"/>
        <v>0.97122954082518387</v>
      </c>
      <c r="H9" s="98">
        <f t="shared" si="1"/>
        <v>1748.213173485331</v>
      </c>
      <c r="I9" s="105">
        <f>(H9-104)/0.725</f>
        <v>2267.8802392901116</v>
      </c>
      <c r="J9" s="31"/>
    </row>
    <row r="10" spans="1:10" ht="15" thickBot="1" x14ac:dyDescent="0.4">
      <c r="D10" s="106" t="s">
        <v>43</v>
      </c>
      <c r="E10" s="107">
        <v>79</v>
      </c>
      <c r="F10" s="107">
        <v>196.97</v>
      </c>
      <c r="G10" s="93">
        <f t="shared" si="0"/>
        <v>0.98256334529170375</v>
      </c>
      <c r="H10" s="94">
        <f t="shared" si="1"/>
        <v>1768.6140215250668</v>
      </c>
      <c r="I10" s="108">
        <f>(H10-104)/0.725</f>
        <v>2296.0193400345752</v>
      </c>
    </row>
    <row r="11" spans="1:10" ht="15" thickBot="1" x14ac:dyDescent="0.4">
      <c r="D11" s="32" t="s">
        <v>26</v>
      </c>
      <c r="E11" s="33">
        <v>13</v>
      </c>
      <c r="F11" s="33">
        <v>26.98</v>
      </c>
      <c r="G11" s="64">
        <f t="shared" si="0"/>
        <v>0.87942743081298536</v>
      </c>
      <c r="H11" s="34">
        <f>$B$1*G11</f>
        <v>1582.9693754633736</v>
      </c>
      <c r="I11" s="109">
        <f>(H11-104)/0.725</f>
        <v>2039.9577592598257</v>
      </c>
    </row>
    <row r="12" spans="1:10" ht="15" thickBot="1" x14ac:dyDescent="0.4">
      <c r="D12" s="117" t="s">
        <v>44</v>
      </c>
      <c r="E12" s="118">
        <v>6</v>
      </c>
      <c r="F12" s="118">
        <v>12.01</v>
      </c>
      <c r="G12" s="92">
        <f t="shared" si="0"/>
        <v>0.7488438083509984</v>
      </c>
      <c r="H12" s="119">
        <f>$B$1*G12</f>
        <v>1347.9188550317972</v>
      </c>
      <c r="I12" s="116">
        <f>(H12-104)/0.725</f>
        <v>1715.7501448714445</v>
      </c>
    </row>
    <row r="13" spans="1:10" ht="17.25" customHeight="1" x14ac:dyDescent="0.35">
      <c r="G13">
        <f>H13/B1</f>
        <v>7.519597243901246</v>
      </c>
      <c r="H13">
        <f>I13*'3-alpha_Energy-Ch_Calib'!I12+'3-alpha_Energy-Ch_Calib'!J12</f>
        <v>13535.275039022243</v>
      </c>
      <c r="I13" s="128">
        <v>2262</v>
      </c>
    </row>
    <row r="14" spans="1:10" ht="15.75" customHeight="1" x14ac:dyDescent="0.35"/>
    <row r="31" ht="13.5" customHeight="1" x14ac:dyDescent="0.3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3-alpha_Energy-Ch_Calib</vt:lpstr>
      <vt:lpstr>Sn+Al targets</vt:lpstr>
      <vt:lpstr>Formvar + 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2024-06-06T19:22:16Z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