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-alpha_Energy-Ch_Calib" sheetId="1" state="visible" r:id="rId2"/>
    <sheet name="Sn+Al targets" sheetId="2" state="visible" r:id="rId3"/>
    <sheet name="Formvar + Al targets" sheetId="3" state="visible" r:id="rId4"/>
  </sheets>
  <externalReferences>
    <externalReference r:id="rId5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<sst xmlns="http://schemas.openxmlformats.org/spreadsheetml/2006/main" count="115" uniqueCount="49">
  <si>
    <t xml:space="preserve">https://www.gammadata.se/assets/Uploads/04-alpha-spectrometry-sources2.pdf</t>
  </si>
  <si>
    <t xml:space="preserve">Nucleide</t>
  </si>
  <si>
    <t xml:space="preserve">E_alpha (MeV)</t>
  </si>
  <si>
    <t xml:space="preserve">Intensity</t>
  </si>
  <si>
    <t xml:space="preserve">Channel</t>
  </si>
  <si>
    <t xml:space="preserve">244Cm</t>
  </si>
  <si>
    <t xml:space="preserve">241Am</t>
  </si>
  <si>
    <t xml:space="preserve">239Pu</t>
  </si>
  <si>
    <t xml:space="preserve">116Sn</t>
  </si>
  <si>
    <t xml:space="preserve">Energy = (keV)</t>
  </si>
  <si>
    <t xml:space="preserve">+-</t>
  </si>
  <si>
    <t xml:space="preserve">* Ch +</t>
  </si>
  <si>
    <t xml:space="preserve">E0 = </t>
  </si>
  <si>
    <t xml:space="preserve">keV</t>
  </si>
  <si>
    <t xml:space="preserve">Tin density = </t>
  </si>
  <si>
    <t xml:space="preserve">g/cm^3</t>
  </si>
  <si>
    <t xml:space="preserve">Al   density =</t>
  </si>
  <si>
    <t xml:space="preserve">MOV D Angle =</t>
  </si>
  <si>
    <t xml:space="preserve">Element</t>
  </si>
  <si>
    <t xml:space="preserve">Z</t>
  </si>
  <si>
    <t xml:space="preserve">A</t>
  </si>
  <si>
    <t xml:space="preserve">Kinematic factor [K]</t>
  </si>
  <si>
    <t xml:space="preserve">Back Energy (keV) [K * E0]</t>
  </si>
  <si>
    <t xml:space="preserve">Surface channel</t>
  </si>
  <si>
    <t xml:space="preserve">MOV E Angle =</t>
  </si>
  <si>
    <t xml:space="preserve">C</t>
  </si>
  <si>
    <t xml:space="preserve">O</t>
  </si>
  <si>
    <t xml:space="preserve">Al</t>
  </si>
  <si>
    <t xml:space="preserve">Sn</t>
  </si>
  <si>
    <t xml:space="preserve">(dE/dx)_in [E_0] (MeV cm^2 / g)</t>
  </si>
  <si>
    <t xml:space="preserve">(dE/dx)_in [E_0] (eV/nm)</t>
  </si>
  <si>
    <t xml:space="preserve">(dE/dx)_out [K * E_0] (MeV cm^2 / g)</t>
  </si>
  <si>
    <t xml:space="preserve">(dE/dx)_out [K * E_0] (eV/nm)</t>
  </si>
  <si>
    <t xml:space="preserve">[S] (eV/nm)</t>
  </si>
  <si>
    <t xml:space="preserve">Sn channel in</t>
  </si>
  <si>
    <t xml:space="preserve">Sn channel out</t>
  </si>
  <si>
    <t xml:space="preserve">Delta_E (keV)</t>
  </si>
  <si>
    <t xml:space="preserve">x (nm)</t>
  </si>
  <si>
    <t xml:space="preserve">PG03-C1</t>
  </si>
  <si>
    <t xml:space="preserve">Al channel in</t>
  </si>
  <si>
    <t xml:space="preserve">Al channel out</t>
  </si>
  <si>
    <t xml:space="preserve">O density = </t>
  </si>
  <si>
    <t xml:space="preserve">C density =</t>
  </si>
  <si>
    <t xml:space="preserve">g/cm3</t>
  </si>
  <si>
    <t xml:space="preserve">Si</t>
  </si>
  <si>
    <t xml:space="preserve">V</t>
  </si>
  <si>
    <t xml:space="preserve">Nb</t>
  </si>
  <si>
    <t xml:space="preserve">Ta</t>
  </si>
  <si>
    <t xml:space="preserve">Au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</si>
</sst>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General"/>
    <numFmt numFmtId="166" formatCode="0.000"/>
    <numFmt numFmtId="167" formatCode="0"/>
    <numFmt numFmtId="168" formatCode="0.0000"/>
    <numFmt numFmtId="169" formatCode="0.00"/>
    <numFmt numFmtId="170" formatCode="0.0"/>
    <numFmt numFmtId="171" formatCode="0.00E+0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b val="true"/>
      <sz val="11"/>
      <color rgb="FF595959"/>
      <name val="Calibri"/>
      <family val="2"/>
    </font>
    <font>
      <b val="true"/>
      <sz val="12"/>
      <color rgb="FF595959"/>
      <name val="Calibri"/>
      <family val="2"/>
    </font>
    <font>
      <sz val="10"/>
      <color rgb="FF595959"/>
      <name val="Calibri"/>
      <family val="2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sz val="1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5B9BD5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A9D18E"/>
        <bgColor rgb="FFC5E0B4"/>
      </patternFill>
    </fill>
    <fill>
      <patternFill patternType="solid">
        <fgColor rgb="FFE2F0D9"/>
        <bgColor rgb="FFDEEBF7"/>
      </patternFill>
    </fill>
    <fill>
      <patternFill patternType="solid">
        <fgColor rgb="FFFFC000"/>
        <bgColor rgb="FFFFFF00"/>
      </patternFill>
    </fill>
    <fill>
      <patternFill patternType="solid">
        <fgColor rgb="FFC5E0B4"/>
        <bgColor rgb="FFD9D9D9"/>
      </patternFill>
    </fill>
    <fill>
      <patternFill patternType="solid">
        <fgColor rgb="FFFFEBFF"/>
        <bgColor rgb="FFF2F2F2"/>
      </patternFill>
    </fill>
    <fill>
      <patternFill patternType="solid">
        <fgColor rgb="FFF2F2F2"/>
        <bgColor rgb="FFFFEBFF"/>
      </patternFill>
    </fill>
    <fill>
      <patternFill patternType="solid">
        <fgColor rgb="FF9DC3E6"/>
        <bgColor rgb="FFB4C7E7"/>
      </patternFill>
    </fill>
    <fill>
      <patternFill patternType="solid">
        <fgColor rgb="FFD0CECE"/>
        <bgColor rgb="FFD9D9D9"/>
      </patternFill>
    </fill>
    <fill>
      <patternFill patternType="solid">
        <fgColor rgb="FFFFF2CC"/>
        <bgColor rgb="FFFBE5D6"/>
      </patternFill>
    </fill>
    <fill>
      <patternFill patternType="solid">
        <fgColor rgb="FFD9D9D9"/>
        <bgColor rgb="FFD0CECE"/>
      </patternFill>
    </fill>
    <fill>
      <patternFill patternType="solid">
        <fgColor rgb="FFFFBDDE"/>
        <bgColor rgb="FFF8CBAD"/>
      </patternFill>
    </fill>
    <fill>
      <patternFill patternType="solid">
        <fgColor rgb="FFFF97BC"/>
        <bgColor rgb="FFF3B8A4"/>
      </patternFill>
    </fill>
    <fill>
      <patternFill patternType="solid">
        <fgColor rgb="FFDCCBB2"/>
        <bgColor rgb="FFD0CECE"/>
      </patternFill>
    </fill>
    <fill>
      <patternFill patternType="solid">
        <fgColor rgb="FFB4C7E7"/>
        <bgColor rgb="FF9DC3E6"/>
      </patternFill>
    </fill>
    <fill>
      <patternFill patternType="solid">
        <fgColor rgb="FFDAE3F3"/>
        <bgColor rgb="FFDEEBF7"/>
      </patternFill>
    </fill>
    <fill>
      <patternFill patternType="solid">
        <fgColor rgb="FFFFE699"/>
        <bgColor rgb="FFFFFF9B"/>
      </patternFill>
    </fill>
    <fill>
      <patternFill patternType="solid">
        <fgColor rgb="FFF8CBAD"/>
        <bgColor rgb="FFF3B8A4"/>
      </patternFill>
    </fill>
    <fill>
      <patternFill patternType="solid">
        <fgColor rgb="FFFBE5D6"/>
        <bgColor rgb="FFFFF2CC"/>
      </patternFill>
    </fill>
    <fill>
      <patternFill patternType="solid">
        <fgColor rgb="FFBDD7EE"/>
        <bgColor rgb="FFB4C7E7"/>
      </patternFill>
    </fill>
    <fill>
      <patternFill patternType="solid">
        <fgColor rgb="FFDEEBF7"/>
        <bgColor rgb="FFDAE3F3"/>
      </patternFill>
    </fill>
    <fill>
      <patternFill patternType="solid">
        <fgColor rgb="FFFFFF9B"/>
        <bgColor rgb="FFFFF2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8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8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1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1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1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11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2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2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12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7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2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7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7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7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11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7" borderId="2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8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1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6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6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9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1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21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21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2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2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2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22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2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9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1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14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14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4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F2F2F2"/>
      <rgbColor rgb="FF800000"/>
      <rgbColor rgb="FF008000"/>
      <rgbColor rgb="FF000080"/>
      <rgbColor rgb="FFFBE5D6"/>
      <rgbColor rgb="FF800080"/>
      <rgbColor rgb="FF008080"/>
      <rgbColor rgb="FFBFBFBF"/>
      <rgbColor rgb="FFD0CECE"/>
      <rgbColor rgb="FF5B9BD5"/>
      <rgbColor rgb="FF993366"/>
      <rgbColor rgb="FFFFF2CC"/>
      <rgbColor rgb="FFDEEBF7"/>
      <rgbColor rgb="FF660066"/>
      <rgbColor rgb="FFF3B8A4"/>
      <rgbColor rgb="FF0070C0"/>
      <rgbColor rgb="FFBDD7EE"/>
      <rgbColor rgb="FF000080"/>
      <rgbColor rgb="FFFF00FF"/>
      <rgbColor rgb="FFFFE699"/>
      <rgbColor rgb="FFFFEBFF"/>
      <rgbColor rgb="FF800080"/>
      <rgbColor rgb="FF800000"/>
      <rgbColor rgb="FF008080"/>
      <rgbColor rgb="FF0000FF"/>
      <rgbColor rgb="FF00CCFF"/>
      <rgbColor rgb="FFDAE3F3"/>
      <rgbColor rgb="FFE2F0D9"/>
      <rgbColor rgb="FFFFFF9B"/>
      <rgbColor rgb="FF9DC3E6"/>
      <rgbColor rgb="FFFF97BC"/>
      <rgbColor rgb="FFB4C7E7"/>
      <rgbColor rgb="FFF8CBAD"/>
      <rgbColor rgb="FF3366FF"/>
      <rgbColor rgb="FFD9D9D9"/>
      <rgbColor rgb="FFC5E0B4"/>
      <rgbColor rgb="FFFFC000"/>
      <rgbColor rgb="FFDCCBB2"/>
      <rgbColor rgb="FFFFBDDE"/>
      <rgbColor rgb="FF595959"/>
      <rgbColor rgb="FFA9D18E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MOV E</a:t>
            </a:r>
          </a:p>
        </c:rich>
      </c:tx>
      <c:layout>
        <c:manualLayout>
          <c:xMode val="edge"/>
          <c:yMode val="edge"/>
          <c:x val="0.227911710450989"/>
          <c:y val="0.0463205080313784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'3-alpha_Energy-Ch_Calib'!$K$4:$K$9</c:f>
              <c:numCache>
                <c:formatCode>General</c:formatCode>
                <c:ptCount val="6"/>
                <c:pt idx="0">
                  <c:v>953</c:v>
                </c:pt>
                <c:pt idx="1">
                  <c:v>945</c:v>
                </c:pt>
                <c:pt idx="2">
                  <c:v>899</c:v>
                </c:pt>
                <c:pt idx="3">
                  <c:v>891</c:v>
                </c:pt>
                <c:pt idx="4">
                  <c:v>844</c:v>
                </c:pt>
                <c:pt idx="5">
                  <c:v>498</c:v>
                </c:pt>
              </c:numCache>
            </c:numRef>
          </c:xVal>
          <c:yVal>
            <c:numRef>
              <c:f>'3-alpha_Energy-Ch_Calib'!$I$4:$I$9</c:f>
              <c:numCache>
                <c:formatCode>General</c:formatCode>
                <c:ptCount val="6"/>
                <c:pt idx="0">
                  <c:v>5805</c:v>
                </c:pt>
                <c:pt idx="1">
                  <c:v>5763</c:v>
                </c:pt>
                <c:pt idx="2">
                  <c:v>5486</c:v>
                </c:pt>
                <c:pt idx="3">
                  <c:v>5443</c:v>
                </c:pt>
                <c:pt idx="4">
                  <c:v>5155</c:v>
                </c:pt>
                <c:pt idx="5">
                  <c:v>3120.44</c:v>
                </c:pt>
              </c:numCache>
            </c:numRef>
          </c:yVal>
          <c:smooth val="0"/>
        </c:ser>
        <c:axId val="63041807"/>
        <c:axId val="81421319"/>
      </c:scatterChart>
      <c:valAx>
        <c:axId val="6304180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pt-PT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200" spc="-1" strike="noStrike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421319"/>
        <c:crosses val="autoZero"/>
        <c:crossBetween val="midCat"/>
      </c:valAx>
      <c:valAx>
        <c:axId val="8142131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pt-PT" sz="12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1" lang="pt-PT" sz="1200" spc="-1" strike="noStrike">
                    <a:solidFill>
                      <a:srgbClr val="595959"/>
                    </a:solidFill>
                    <a:latin typeface="Calibri"/>
                  </a:rPr>
                  <a:t>Energy (MeV)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1" sz="11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304180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MOV D</a:t>
            </a:r>
          </a:p>
        </c:rich>
      </c:tx>
      <c:layout>
        <c:manualLayout>
          <c:xMode val="edge"/>
          <c:yMode val="edge"/>
          <c:x val="0.271185276747699"/>
          <c:y val="0.0416721097322012"/>
        </c:manualLayout>
      </c:layout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f3b8a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f3b8a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cap="rnd" w="19080">
                <a:solidFill>
                  <a:srgbClr val="f3b8a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'3-alpha_Energy-Ch_Calib'!$K$21:$K$26</c:f>
              <c:numCache>
                <c:formatCode>General</c:formatCode>
                <c:ptCount val="6"/>
                <c:pt idx="0">
                  <c:v>968</c:v>
                </c:pt>
                <c:pt idx="1">
                  <c:v>961</c:v>
                </c:pt>
                <c:pt idx="2">
                  <c:v>910</c:v>
                </c:pt>
                <c:pt idx="3">
                  <c:v>905</c:v>
                </c:pt>
                <c:pt idx="4">
                  <c:v>853</c:v>
                </c:pt>
                <c:pt idx="5">
                  <c:v>530</c:v>
                </c:pt>
              </c:numCache>
            </c:numRef>
          </c:xVal>
          <c:yVal>
            <c:numRef>
              <c:f>'3-alpha_Energy-Ch_Calib'!$I$21:$I$26</c:f>
              <c:numCache>
                <c:formatCode>General</c:formatCode>
                <c:ptCount val="6"/>
                <c:pt idx="0">
                  <c:v>5805</c:v>
                </c:pt>
                <c:pt idx="1">
                  <c:v>5763</c:v>
                </c:pt>
                <c:pt idx="2">
                  <c:v>5486</c:v>
                </c:pt>
                <c:pt idx="3">
                  <c:v>5443</c:v>
                </c:pt>
                <c:pt idx="4">
                  <c:v>5155</c:v>
                </c:pt>
                <c:pt idx="5">
                  <c:v>3111.05</c:v>
                </c:pt>
              </c:numCache>
            </c:numRef>
          </c:yVal>
          <c:smooth val="0"/>
        </c:ser>
        <c:axId val="23088371"/>
        <c:axId val="42888910"/>
      </c:scatterChart>
      <c:valAx>
        <c:axId val="230883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lang="pt-PT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PT" sz="1000" spc="-1" strike="noStrike">
                    <a:solidFill>
                      <a:srgbClr val="595959"/>
                    </a:solidFill>
                    <a:latin typeface="Calibri"/>
                  </a:rPr>
                  <a:t>Channel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2888910"/>
        <c:crosses val="autoZero"/>
        <c:crossBetween val="midCat"/>
      </c:valAx>
      <c:valAx>
        <c:axId val="42888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lang="pt-PT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lang="pt-PT" sz="1000" spc="-1" strike="noStrike">
                    <a:solidFill>
                      <a:srgbClr val="595959"/>
                    </a:solidFill>
                    <a:latin typeface="Calibri"/>
                  </a:rPr>
                  <a:t>ENergy (MeV)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088371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chart" Target="../charts/chart3.xml"/><Relationship Id="rId3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177840</xdr:rowOff>
    </xdr:from>
    <xdr:to>
      <xdr:col>6</xdr:col>
      <xdr:colOff>582840</xdr:colOff>
      <xdr:row>18</xdr:row>
      <xdr:rowOff>151560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0" y="177840"/>
          <a:ext cx="4722120" cy="3950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282600</xdr:colOff>
      <xdr:row>10</xdr:row>
      <xdr:rowOff>128880</xdr:rowOff>
    </xdr:from>
    <xdr:to>
      <xdr:col>1</xdr:col>
      <xdr:colOff>195480</xdr:colOff>
      <xdr:row>13</xdr:row>
      <xdr:rowOff>23040</xdr:rowOff>
    </xdr:to>
    <xdr:sp>
      <xdr:nvSpPr>
        <xdr:cNvPr id="1" name="CustomShape 1"/>
        <xdr:cNvSpPr/>
      </xdr:nvSpPr>
      <xdr:spPr>
        <a:xfrm>
          <a:off x="282600" y="2283120"/>
          <a:ext cx="599760" cy="453240"/>
        </a:xfrm>
        <a:prstGeom prst="ellipse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254160</xdr:colOff>
      <xdr:row>6</xdr:row>
      <xdr:rowOff>176040</xdr:rowOff>
    </xdr:from>
    <xdr:to>
      <xdr:col>1</xdr:col>
      <xdr:colOff>167040</xdr:colOff>
      <xdr:row>9</xdr:row>
      <xdr:rowOff>70560</xdr:rowOff>
    </xdr:to>
    <xdr:sp>
      <xdr:nvSpPr>
        <xdr:cNvPr id="2" name="CustomShape 1"/>
        <xdr:cNvSpPr/>
      </xdr:nvSpPr>
      <xdr:spPr>
        <a:xfrm>
          <a:off x="254160" y="1587600"/>
          <a:ext cx="599760" cy="453240"/>
        </a:xfrm>
        <a:prstGeom prst="ellipse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0</xdr:col>
      <xdr:colOff>275400</xdr:colOff>
      <xdr:row>16</xdr:row>
      <xdr:rowOff>176760</xdr:rowOff>
    </xdr:from>
    <xdr:to>
      <xdr:col>1</xdr:col>
      <xdr:colOff>188280</xdr:colOff>
      <xdr:row>17</xdr:row>
      <xdr:rowOff>115560</xdr:rowOff>
    </xdr:to>
    <xdr:sp>
      <xdr:nvSpPr>
        <xdr:cNvPr id="3" name="CustomShape 1"/>
        <xdr:cNvSpPr/>
      </xdr:nvSpPr>
      <xdr:spPr>
        <a:xfrm>
          <a:off x="275400" y="3454920"/>
          <a:ext cx="599760" cy="453240"/>
        </a:xfrm>
        <a:prstGeom prst="ellipse">
          <a:avLst/>
        </a:prstGeom>
        <a:noFill/>
        <a:ln w="3816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11</xdr:col>
      <xdr:colOff>136440</xdr:colOff>
      <xdr:row>1</xdr:row>
      <xdr:rowOff>63720</xdr:rowOff>
    </xdr:from>
    <xdr:to>
      <xdr:col>22</xdr:col>
      <xdr:colOff>637200</xdr:colOff>
      <xdr:row>15</xdr:row>
      <xdr:rowOff>50760</xdr:rowOff>
    </xdr:to>
    <xdr:graphicFrame>
      <xdr:nvGraphicFramePr>
        <xdr:cNvPr id="4" name="Gráfico 6"/>
        <xdr:cNvGraphicFramePr/>
      </xdr:nvGraphicFramePr>
      <xdr:xfrm>
        <a:off x="7663680" y="247680"/>
        <a:ext cx="5659200" cy="2890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130320</xdr:colOff>
      <xdr:row>19</xdr:row>
      <xdr:rowOff>19080</xdr:rowOff>
    </xdr:from>
    <xdr:to>
      <xdr:col>22</xdr:col>
      <xdr:colOff>213840</xdr:colOff>
      <xdr:row>32</xdr:row>
      <xdr:rowOff>171000</xdr:rowOff>
    </xdr:to>
    <xdr:graphicFrame>
      <xdr:nvGraphicFramePr>
        <xdr:cNvPr id="5" name="Gráfico 7"/>
        <xdr:cNvGraphicFramePr/>
      </xdr:nvGraphicFramePr>
      <xdr:xfrm>
        <a:off x="7657560" y="4186440"/>
        <a:ext cx="5241960" cy="2755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Users/Lenovo/OneDrive%20-%20Universidade%20de%20Lisboa/NUCRIA/TESE/Targets/Nat-Sn_2ndProduction/RBS_30&amp;31-08-2023/Calibration_PIPS_Detector_20230830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lha1"/>
      <sheetName val="Folha2"/>
      <sheetName val="Folha3"/>
    </sheetNames>
    <sheetDataSet>
      <sheetData sheetId="0">
        <row r="8">
          <cell r="D8">
            <v>2.77999999999993</v>
          </cell>
          <cell r="E8">
            <v>4680.50000000001</v>
          </cell>
        </row>
      </sheetData>
      <sheetData sheetId="1"/>
      <sheetData sheetId="2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5"/>
  <sheetViews>
    <sheetView showFormulas="false" showGridLines="true" showRowColHeaders="true" showZeros="true" rightToLeft="false" tabSelected="false" showOutlineSymbols="true" defaultGridColor="true" view="normal" topLeftCell="G7" colorId="64" zoomScale="100" zoomScaleNormal="100" zoomScalePageLayoutView="100" workbookViewId="0">
      <selection pane="topLeft" activeCell="I29" activeCellId="0" sqref="I29"/>
    </sheetView>
  </sheetViews>
  <sheetFormatPr defaultColWidth="8.58984375" defaultRowHeight="14.5" zeroHeight="false" outlineLevelRow="0" outlineLevelCol="0"/>
  <cols>
    <col collapsed="false" customWidth="true" hidden="false" outlineLevel="0" max="4" min="4" style="0" width="8.81"/>
    <col collapsed="false" customWidth="true" hidden="false" outlineLevel="0" max="9" min="9" style="0" width="8"/>
    <col collapsed="false" customWidth="true" hidden="false" outlineLevel="0" max="12" min="12" style="0" width="7.82"/>
    <col collapsed="false" customWidth="true" hidden="false" outlineLevel="0" max="13" min="13" style="0" width="6.29"/>
    <col collapsed="false" customWidth="true" hidden="false" outlineLevel="0" max="14" min="14" style="0" width="2.45"/>
    <col collapsed="false" customWidth="true" hidden="false" outlineLevel="0" max="15" min="15" style="0" width="6.29"/>
    <col collapsed="false" customWidth="true" hidden="false" outlineLevel="0" max="16" min="16" style="0" width="5.82"/>
    <col collapsed="false" customWidth="true" hidden="false" outlineLevel="0" max="17" min="17" style="0" width="4.82"/>
    <col collapsed="false" customWidth="true" hidden="false" outlineLevel="0" max="18" min="18" style="0" width="2.45"/>
    <col collapsed="false" customWidth="true" hidden="false" outlineLevel="0" max="19" min="19" style="0" width="2.81"/>
  </cols>
  <sheetData>
    <row r="1" customFormat="false" ht="14.5" hidden="false" customHeight="false" outlineLevel="0" collapsed="false">
      <c r="A1" s="0" t="s">
        <v>0</v>
      </c>
    </row>
    <row r="2" customFormat="false" ht="15" hidden="false" customHeight="false" outlineLevel="0" collapsed="false"/>
    <row r="3" customFormat="false" ht="38.15" hidden="false" customHeight="true" outlineLevel="0" collapsed="false">
      <c r="H3" s="1" t="s">
        <v>1</v>
      </c>
      <c r="I3" s="2" t="s">
        <v>2</v>
      </c>
      <c r="J3" s="2" t="s">
        <v>3</v>
      </c>
      <c r="K3" s="3" t="s">
        <v>4</v>
      </c>
    </row>
    <row r="4" customFormat="false" ht="14.5" hidden="false" customHeight="false" outlineLevel="0" collapsed="false">
      <c r="H4" s="4" t="s">
        <v>5</v>
      </c>
      <c r="I4" s="5" t="n">
        <v>5805</v>
      </c>
      <c r="J4" s="6" t="n">
        <v>76.7</v>
      </c>
      <c r="K4" s="5" t="n">
        <v>953</v>
      </c>
    </row>
    <row r="5" customFormat="false" ht="14.5" hidden="false" customHeight="false" outlineLevel="0" collapsed="false">
      <c r="H5" s="7"/>
      <c r="I5" s="8" t="n">
        <v>5763</v>
      </c>
      <c r="J5" s="9" t="n">
        <v>23.3</v>
      </c>
      <c r="K5" s="8" t="n">
        <v>945</v>
      </c>
    </row>
    <row r="6" customFormat="false" ht="14.5" hidden="false" customHeight="false" outlineLevel="0" collapsed="false">
      <c r="H6" s="7" t="s">
        <v>6</v>
      </c>
      <c r="I6" s="8" t="n">
        <v>5486</v>
      </c>
      <c r="J6" s="9" t="n">
        <v>85.2</v>
      </c>
      <c r="K6" s="8" t="n">
        <v>899</v>
      </c>
    </row>
    <row r="7" customFormat="false" ht="14.5" hidden="false" customHeight="false" outlineLevel="0" collapsed="false">
      <c r="H7" s="7"/>
      <c r="I7" s="8" t="n">
        <v>5443</v>
      </c>
      <c r="J7" s="9" t="n">
        <v>12.8</v>
      </c>
      <c r="K7" s="8" t="n">
        <v>891</v>
      </c>
    </row>
    <row r="8" customFormat="false" ht="15" hidden="false" customHeight="false" outlineLevel="0" collapsed="false">
      <c r="H8" s="10" t="s">
        <v>7</v>
      </c>
      <c r="I8" s="11" t="n">
        <v>5155</v>
      </c>
      <c r="J8" s="12" t="n">
        <v>73.4</v>
      </c>
      <c r="K8" s="11" t="n">
        <v>844</v>
      </c>
    </row>
    <row r="9" customFormat="false" ht="14.5" hidden="false" customHeight="false" outlineLevel="0" collapsed="false">
      <c r="H9" s="7" t="s">
        <v>8</v>
      </c>
      <c r="I9" s="8" t="n">
        <v>3120.44</v>
      </c>
      <c r="K9" s="8" t="n">
        <v>498</v>
      </c>
    </row>
    <row r="11" customFormat="false" ht="15" hidden="false" customHeight="false" outlineLevel="0" collapsed="false"/>
    <row r="12" customFormat="false" ht="14.5" hidden="false" customHeight="false" outlineLevel="0" collapsed="false">
      <c r="I12" s="13" t="n">
        <f aca="false" t="array" ref="I12:J15">LINEST(I4:I9,K4:K9,1,1)</f>
        <v>5.90484783822681</v>
      </c>
      <c r="J12" s="14" t="n">
        <v>178.509228953187</v>
      </c>
    </row>
    <row r="13" customFormat="false" ht="14.5" hidden="false" customHeight="false" outlineLevel="0" collapsed="false">
      <c r="I13" s="15" t="n">
        <v>0.0120548474056056</v>
      </c>
      <c r="J13" s="16" t="n">
        <v>10.2804315406237</v>
      </c>
    </row>
    <row r="14" customFormat="false" ht="14.5" hidden="false" customHeight="false" outlineLevel="0" collapsed="false">
      <c r="I14" s="15" t="n">
        <v>0.999983329110832</v>
      </c>
      <c r="J14" s="16" t="n">
        <v>4.61937180610402</v>
      </c>
    </row>
    <row r="15" customFormat="false" ht="15" hidden="false" customHeight="false" outlineLevel="0" collapsed="false">
      <c r="I15" s="17" t="n">
        <v>239935.211373888</v>
      </c>
      <c r="J15" s="18" t="n">
        <v>4</v>
      </c>
    </row>
    <row r="17" customFormat="false" ht="40.5" hidden="false" customHeight="true" outlineLevel="0" collapsed="false">
      <c r="L17" s="19" t="s">
        <v>9</v>
      </c>
      <c r="M17" s="20" t="n">
        <f aca="false">I12</f>
        <v>5.90484783822681</v>
      </c>
      <c r="N17" s="21" t="s">
        <v>10</v>
      </c>
      <c r="O17" s="20" t="n">
        <f aca="false">I13</f>
        <v>0.0120548474056056</v>
      </c>
      <c r="P17" s="21" t="s">
        <v>11</v>
      </c>
      <c r="Q17" s="22" t="n">
        <f aca="false">J12</f>
        <v>178.509228953187</v>
      </c>
      <c r="R17" s="21" t="s">
        <v>10</v>
      </c>
      <c r="S17" s="23" t="n">
        <f aca="false">J13</f>
        <v>10.2804315406237</v>
      </c>
    </row>
    <row r="19" customFormat="false" ht="15" hidden="false" customHeight="false" outlineLevel="0" collapsed="false"/>
    <row r="20" customFormat="false" ht="29.5" hidden="false" customHeight="false" outlineLevel="0" collapsed="false">
      <c r="H20" s="1" t="s">
        <v>1</v>
      </c>
      <c r="I20" s="2" t="s">
        <v>2</v>
      </c>
      <c r="J20" s="2" t="s">
        <v>3</v>
      </c>
      <c r="K20" s="3" t="s">
        <v>4</v>
      </c>
    </row>
    <row r="21" customFormat="false" ht="14.5" hidden="false" customHeight="false" outlineLevel="0" collapsed="false">
      <c r="H21" s="4" t="s">
        <v>5</v>
      </c>
      <c r="I21" s="5" t="n">
        <v>5805</v>
      </c>
      <c r="J21" s="6" t="n">
        <v>76.7</v>
      </c>
      <c r="K21" s="5" t="n">
        <v>968</v>
      </c>
    </row>
    <row r="22" customFormat="false" ht="14.5" hidden="false" customHeight="false" outlineLevel="0" collapsed="false">
      <c r="H22" s="7"/>
      <c r="I22" s="8" t="n">
        <v>5763</v>
      </c>
      <c r="J22" s="9" t="n">
        <v>23.3</v>
      </c>
      <c r="K22" s="8" t="n">
        <v>961</v>
      </c>
    </row>
    <row r="23" customFormat="false" ht="14.5" hidden="false" customHeight="false" outlineLevel="0" collapsed="false">
      <c r="H23" s="7" t="s">
        <v>6</v>
      </c>
      <c r="I23" s="8" t="n">
        <v>5486</v>
      </c>
      <c r="J23" s="9" t="n">
        <v>85.2</v>
      </c>
      <c r="K23" s="8" t="n">
        <v>910</v>
      </c>
    </row>
    <row r="24" customFormat="false" ht="14.5" hidden="false" customHeight="false" outlineLevel="0" collapsed="false">
      <c r="H24" s="7"/>
      <c r="I24" s="8" t="n">
        <v>5443</v>
      </c>
      <c r="J24" s="9" t="n">
        <v>12.8</v>
      </c>
      <c r="K24" s="8" t="n">
        <v>905</v>
      </c>
    </row>
    <row r="25" customFormat="false" ht="15" hidden="false" customHeight="false" outlineLevel="0" collapsed="false">
      <c r="H25" s="10" t="s">
        <v>7</v>
      </c>
      <c r="I25" s="11" t="n">
        <v>5155</v>
      </c>
      <c r="J25" s="12" t="n">
        <v>73.4</v>
      </c>
      <c r="K25" s="11" t="n">
        <v>853</v>
      </c>
    </row>
    <row r="26" customFormat="false" ht="14.5" hidden="false" customHeight="false" outlineLevel="0" collapsed="false">
      <c r="H26" s="7" t="s">
        <v>8</v>
      </c>
      <c r="I26" s="8" t="n">
        <v>3111.05</v>
      </c>
      <c r="K26" s="8" t="n">
        <v>530</v>
      </c>
    </row>
    <row r="28" customFormat="false" ht="15" hidden="false" customHeight="false" outlineLevel="0" collapsed="false"/>
    <row r="29" customFormat="false" ht="14.5" hidden="false" customHeight="false" outlineLevel="0" collapsed="false">
      <c r="I29" s="13" t="n">
        <f aca="false" t="array" ref="I29:J32">LINEST(I21:I26,K21:K26,1,1)</f>
        <v>6.17578214305532</v>
      </c>
      <c r="J29" s="14" t="n">
        <v>-150.030841240774</v>
      </c>
    </row>
    <row r="30" customFormat="false" ht="14.5" hidden="false" customHeight="false" outlineLevel="0" collapsed="false">
      <c r="I30" s="15" t="n">
        <v>0.0720900178490595</v>
      </c>
      <c r="J30" s="16" t="n">
        <v>62.5439176621462</v>
      </c>
    </row>
    <row r="31" customFormat="false" ht="14.5" hidden="false" customHeight="false" outlineLevel="0" collapsed="false">
      <c r="I31" s="15" t="n">
        <v>0.99945525948091</v>
      </c>
      <c r="J31" s="16" t="n">
        <v>26.5030104667482</v>
      </c>
    </row>
    <row r="32" customFormat="false" ht="15" hidden="false" customHeight="false" outlineLevel="0" collapsed="false">
      <c r="I32" s="17" t="n">
        <v>7338.9456040471</v>
      </c>
      <c r="J32" s="18" t="n">
        <v>4</v>
      </c>
    </row>
    <row r="34" customFormat="false" ht="15" hidden="false" customHeight="false" outlineLevel="0" collapsed="false"/>
    <row r="35" customFormat="false" ht="36.5" hidden="false" customHeight="true" outlineLevel="0" collapsed="false">
      <c r="L35" s="19" t="s">
        <v>9</v>
      </c>
      <c r="M35" s="20" t="n">
        <f aca="false">I29</f>
        <v>6.17578214305532</v>
      </c>
      <c r="N35" s="21" t="s">
        <v>10</v>
      </c>
      <c r="O35" s="20" t="n">
        <f aca="false">I30</f>
        <v>0.0720900178490595</v>
      </c>
      <c r="P35" s="21" t="s">
        <v>11</v>
      </c>
      <c r="Q35" s="22" t="n">
        <f aca="false">J29</f>
        <v>-150.030841240774</v>
      </c>
      <c r="R35" s="21" t="s">
        <v>10</v>
      </c>
      <c r="S35" s="23" t="n">
        <f aca="false">J30</f>
        <v>62.5439176621462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26"/>
  <sheetViews>
    <sheetView showFormulas="false" showGridLines="true" showRowColHeaders="true" showZeros="true" rightToLeft="false" tabSelected="true" showOutlineSymbols="true" defaultGridColor="true" view="normal" topLeftCell="T4" colorId="64" zoomScale="100" zoomScaleNormal="100" zoomScalePageLayoutView="100" workbookViewId="0">
      <selection pane="topLeft" activeCell="AB26" activeCellId="0" sqref="AB26"/>
    </sheetView>
  </sheetViews>
  <sheetFormatPr defaultColWidth="8.53515625"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5" min="5" style="0" width="12.46"/>
    <col collapsed="false" customWidth="true" hidden="false" outlineLevel="0" max="7" min="6" style="0" width="10.18"/>
    <col collapsed="false" customWidth="true" hidden="false" outlineLevel="0" max="8" min="8" style="0" width="14.72"/>
    <col collapsed="false" customWidth="true" hidden="false" outlineLevel="0" max="10" min="10" style="0" width="15.45"/>
    <col collapsed="false" customWidth="true" hidden="false" outlineLevel="0" max="11" min="11" style="0" width="8.73"/>
    <col collapsed="false" customWidth="true" hidden="false" outlineLevel="0" max="12" min="12" style="0" width="8.27"/>
    <col collapsed="false" customWidth="true" hidden="false" outlineLevel="0" max="13" min="13" style="0" width="7.82"/>
    <col collapsed="false" customWidth="true" hidden="false" outlineLevel="0" max="14" min="14" style="0" width="7.73"/>
    <col collapsed="false" customWidth="true" hidden="false" outlineLevel="0" max="15" min="15" style="0" width="10.55"/>
    <col collapsed="false" customWidth="true" hidden="false" outlineLevel="0" max="16" min="16" style="0" width="8.27"/>
    <col collapsed="false" customWidth="true" hidden="false" outlineLevel="0" max="18" min="17" style="0" width="8.45"/>
    <col collapsed="false" customWidth="true" hidden="false" outlineLevel="0" max="19" min="19" style="0" width="8.73"/>
    <col collapsed="false" customWidth="true" hidden="false" outlineLevel="0" max="20" min="20" style="0" width="8.18"/>
    <col collapsed="false" customWidth="true" hidden="false" outlineLevel="0" max="22" min="22" style="0" width="8.18"/>
    <col collapsed="false" customWidth="true" hidden="false" outlineLevel="0" max="23" min="23" style="0" width="8.63"/>
    <col collapsed="false" customWidth="true" hidden="false" outlineLevel="0" max="24" min="24" style="0" width="7.27"/>
    <col collapsed="false" customWidth="true" hidden="false" outlineLevel="0" max="25" min="25" style="0" width="9.09"/>
    <col collapsed="false" customWidth="true" hidden="false" outlineLevel="0" max="26" min="26" style="0" width="12"/>
    <col collapsed="false" customWidth="true" hidden="false" outlineLevel="0" max="27" min="27" style="0" width="8.18"/>
    <col collapsed="false" customWidth="true" hidden="false" outlineLevel="0" max="28" min="28" style="0" width="11.73"/>
    <col collapsed="false" customWidth="true" hidden="false" outlineLevel="0" max="29" min="29" style="0" width="14.55"/>
    <col collapsed="false" customWidth="true" hidden="false" outlineLevel="0" max="30" min="30" style="0" width="8"/>
    <col collapsed="false" customWidth="true" hidden="false" outlineLevel="0" max="31" min="31" style="0" width="10.27"/>
    <col collapsed="false" customWidth="true" hidden="false" outlineLevel="0" max="33" min="33" style="0" width="5.27"/>
    <col collapsed="false" customWidth="true" hidden="false" outlineLevel="0" max="34" min="34" style="0" width="7.45"/>
    <col collapsed="false" customWidth="true" hidden="false" outlineLevel="0" max="35" min="35" style="0" width="9.44"/>
    <col collapsed="false" customWidth="true" hidden="false" outlineLevel="0" max="37" min="37" style="0" width="9.81"/>
    <col collapsed="false" customWidth="true" hidden="false" outlineLevel="0" max="38" min="38" style="0" width="9.44"/>
    <col collapsed="false" customWidth="true" hidden="false" outlineLevel="0" max="39" min="39" style="0" width="7.45"/>
    <col collapsed="false" customWidth="true" hidden="false" outlineLevel="0" max="40" min="40" style="0" width="7.27"/>
    <col collapsed="false" customWidth="true" hidden="false" outlineLevel="0" max="41" min="41" style="0" width="8.09"/>
    <col collapsed="false" customWidth="true" hidden="false" outlineLevel="0" max="42" min="42" style="0" width="8.83"/>
    <col collapsed="false" customWidth="true" hidden="false" outlineLevel="0" max="43" min="43" style="0" width="8.36"/>
    <col collapsed="false" customWidth="true" hidden="false" outlineLevel="0" max="44" min="44" style="0" width="8.83"/>
    <col collapsed="false" customWidth="true" hidden="false" outlineLevel="0" max="45" min="45" style="0" width="7.82"/>
    <col collapsed="false" customWidth="true" hidden="false" outlineLevel="0" max="46" min="46" style="0" width="6.18"/>
  </cols>
  <sheetData>
    <row r="1" customFormat="false" ht="15" hidden="false" customHeight="false" outlineLevel="0" collapsed="false">
      <c r="A1" s="24" t="s">
        <v>12</v>
      </c>
      <c r="B1" s="25" t="n">
        <v>3215</v>
      </c>
      <c r="C1" s="26" t="s">
        <v>13</v>
      </c>
    </row>
    <row r="2" customFormat="false" ht="29.5" hidden="false" customHeight="false" outlineLevel="0" collapsed="false">
      <c r="A2" s="27" t="s">
        <v>14</v>
      </c>
      <c r="B2" s="28" t="n">
        <v>7.31</v>
      </c>
      <c r="C2" s="29" t="s">
        <v>15</v>
      </c>
      <c r="D2" s="30" t="s">
        <v>16</v>
      </c>
      <c r="E2" s="31" t="n">
        <v>2.699</v>
      </c>
      <c r="F2" s="32" t="s">
        <v>15</v>
      </c>
    </row>
    <row r="3" customFormat="false" ht="29.5" hidden="false" customHeight="false" outlineLevel="0" collapsed="false">
      <c r="A3" s="33" t="s">
        <v>17</v>
      </c>
      <c r="B3" s="34"/>
      <c r="C3" s="35" t="n">
        <v>155</v>
      </c>
      <c r="D3" s="36" t="s">
        <v>18</v>
      </c>
      <c r="E3" s="36" t="s">
        <v>19</v>
      </c>
      <c r="F3" s="36" t="s">
        <v>20</v>
      </c>
      <c r="G3" s="36" t="s">
        <v>21</v>
      </c>
      <c r="H3" s="36" t="s">
        <v>22</v>
      </c>
      <c r="I3" s="37" t="s">
        <v>23</v>
      </c>
      <c r="V3" s="38" t="s">
        <v>18</v>
      </c>
      <c r="W3" s="38" t="s">
        <v>19</v>
      </c>
      <c r="X3" s="39" t="s">
        <v>20</v>
      </c>
      <c r="Y3" s="39" t="s">
        <v>21</v>
      </c>
      <c r="Z3" s="39" t="s">
        <v>22</v>
      </c>
      <c r="AA3" s="40" t="s">
        <v>23</v>
      </c>
    </row>
    <row r="4" customFormat="false" ht="15" hidden="false" customHeight="false" outlineLevel="0" collapsed="false">
      <c r="A4" s="41" t="s">
        <v>24</v>
      </c>
      <c r="B4" s="42"/>
      <c r="C4" s="43" t="n">
        <v>137</v>
      </c>
      <c r="D4" s="44" t="s">
        <v>25</v>
      </c>
      <c r="E4" s="45" t="n">
        <v>6</v>
      </c>
      <c r="F4" s="45" t="n">
        <v>12.011</v>
      </c>
      <c r="G4" s="46" t="n">
        <f aca="false">((SQRT(1-(1/F4)^2*SIN(RADIANS($C$4))^2)+1/F4*COS(RADIANS($C$4)))/(1+1/F4))^2</f>
        <v>0.748990185283499</v>
      </c>
      <c r="H4" s="47" t="n">
        <f aca="false">$B$1*G4</f>
        <v>2408.00344568645</v>
      </c>
      <c r="I4" s="48" t="n">
        <f aca="false">(H4-'3-alpha_Energy-Ch_Calib'!$Q$17)/'3-alpha_Energy-Ch_Calib'!$M$17</f>
        <v>377.570138607122</v>
      </c>
      <c r="V4" s="44" t="s">
        <v>25</v>
      </c>
      <c r="W4" s="45" t="n">
        <v>6</v>
      </c>
      <c r="X4" s="45" t="n">
        <v>12.011</v>
      </c>
      <c r="Y4" s="46" t="n">
        <f aca="false">((SQRT(1-(1/X4)^2*SIN(RADIANS($C$3))^2)+1/X4*COS(RADIANS($C$3)))/(1+1/X4))^2</f>
        <v>0.727461078266735</v>
      </c>
      <c r="Z4" s="47" t="n">
        <f aca="false">$B$1*Y4</f>
        <v>2338.78736662755</v>
      </c>
      <c r="AA4" s="48" t="n">
        <f aca="false">(Z4-'3-alpha_Energy-Ch_Calib'!$J$29)/'3-alpha_Energy-Ch_Calib'!$I$29</f>
        <v>402.996438381008</v>
      </c>
    </row>
    <row r="5" customFormat="false" ht="14.5" hidden="false" customHeight="false" outlineLevel="0" collapsed="false">
      <c r="D5" s="49" t="s">
        <v>26</v>
      </c>
      <c r="E5" s="50" t="n">
        <v>8</v>
      </c>
      <c r="F5" s="51" t="n">
        <v>15.999</v>
      </c>
      <c r="G5" s="52" t="n">
        <f aca="false">((SQRT(1-(1/F5)^2*SIN(RADIANS($C$4))^2)+1/F5*COS(RADIANS($C$4)))/(1+1/F5))^2</f>
        <v>0.805136841196982</v>
      </c>
      <c r="H5" s="53" t="n">
        <f aca="false">$B$1*G5</f>
        <v>2588.5149444483</v>
      </c>
      <c r="I5" s="54" t="n">
        <f aca="false">(H5-'3-alpha_Energy-Ch_Calib'!$Q$17)/'3-alpha_Energy-Ch_Calib'!$M$17</f>
        <v>408.140189471642</v>
      </c>
      <c r="V5" s="49" t="s">
        <v>26</v>
      </c>
      <c r="W5" s="50" t="n">
        <v>8</v>
      </c>
      <c r="X5" s="51" t="n">
        <v>15.999</v>
      </c>
      <c r="Y5" s="52" t="n">
        <f aca="false">((SQRT(1-(1/X5)^2*SIN(RADIANS($C$3))^2)+1/X5*COS(RADIANS($C$3)))/(1+1/X5))^2</f>
        <v>0.787708140964274</v>
      </c>
      <c r="Z5" s="53" t="n">
        <f aca="false">$B$1*Y5</f>
        <v>2532.48167320014</v>
      </c>
      <c r="AA5" s="54" t="n">
        <f aca="false">(Z5-'3-alpha_Energy-Ch_Calib'!$J$29)/'3-alpha_Energy-Ch_Calib'!$I$29</f>
        <v>434.359964827678</v>
      </c>
    </row>
    <row r="6" customFormat="false" ht="14.5" hidden="false" customHeight="false" outlineLevel="0" collapsed="false">
      <c r="D6" s="55" t="s">
        <v>27</v>
      </c>
      <c r="E6" s="56" t="n">
        <v>13</v>
      </c>
      <c r="F6" s="56" t="n">
        <v>26.98</v>
      </c>
      <c r="G6" s="57" t="n">
        <f aca="false">((SQRT(1-(1/F6)^2*SIN(RADIANS($C$4))^2)+1/F6*COS(RADIANS($C$4)))/(1+1/F6))^2</f>
        <v>0.879494391381708</v>
      </c>
      <c r="H6" s="58" t="n">
        <f aca="false">G6*H7</f>
        <v>2744.41387554505</v>
      </c>
      <c r="I6" s="59" t="n">
        <f aca="false">(H6-'3-alpha_Energy-Ch_Calib'!$Q$17)/'3-alpha_Energy-Ch_Calib'!$M$17</f>
        <v>434.542043569811</v>
      </c>
      <c r="V6" s="55" t="s">
        <v>27</v>
      </c>
      <c r="W6" s="56" t="n">
        <v>13</v>
      </c>
      <c r="X6" s="56" t="n">
        <v>26.98</v>
      </c>
      <c r="Y6" s="57" t="n">
        <f aca="false">((SQRT(1-(1/X6)^2*SIN(RADIANS($C$3))^2)+1/X6*COS(RADIANS($C$3)))/(1+1/X6))^2</f>
        <v>0.868159197113151</v>
      </c>
      <c r="Z6" s="58" t="n">
        <f aca="false">Z7*Y6</f>
        <v>2700.88354650266</v>
      </c>
      <c r="AA6" s="59" t="n">
        <f aca="false">(Z6-'3-alpha_Energy-Ch_Calib'!$J$29)/'3-alpha_Energy-Ch_Calib'!$I$29</f>
        <v>461.628069401589</v>
      </c>
    </row>
    <row r="7" customFormat="false" ht="15" hidden="false" customHeight="false" outlineLevel="0" collapsed="false">
      <c r="D7" s="60" t="s">
        <v>28</v>
      </c>
      <c r="E7" s="61" t="n">
        <v>50</v>
      </c>
      <c r="F7" s="61" t="n">
        <v>116</v>
      </c>
      <c r="G7" s="62" t="n">
        <f aca="false">((SQRT(1-(1/F7)^2*SIN(RADIANS($C$4))^2)+1/F7*COS(RADIANS($C$4)))/(1+1/F7))^2</f>
        <v>0.970589424370714</v>
      </c>
      <c r="H7" s="63" t="n">
        <f aca="false">$B$1*G7</f>
        <v>3120.44499935185</v>
      </c>
      <c r="I7" s="64" t="n">
        <f aca="false">(H7-'3-alpha_Energy-Ch_Calib'!$Q$17)/'3-alpha_Energy-Ch_Calib'!$M$17</f>
        <v>498.223807115427</v>
      </c>
      <c r="V7" s="60" t="s">
        <v>28</v>
      </c>
      <c r="W7" s="61" t="n">
        <v>50</v>
      </c>
      <c r="X7" s="61" t="n">
        <v>116</v>
      </c>
      <c r="Y7" s="62" t="n">
        <f aca="false">((SQRT(1-(1/X7)^2*SIN(RADIANS($C$3))^2)+1/X7*COS(RADIANS($C$3)))/(1+1/X7))^2</f>
        <v>0.96766606592678</v>
      </c>
      <c r="Z7" s="63" t="n">
        <f aca="false">$B$1*Y7</f>
        <v>3111.0464019546</v>
      </c>
      <c r="AA7" s="64" t="n">
        <f aca="false">(Z7-'3-alpha_Energy-Ch_Calib'!$J$29)/'3-alpha_Energy-Ch_Calib'!$I$29</f>
        <v>528.042791610202</v>
      </c>
    </row>
    <row r="8" customFormat="false" ht="14.5" hidden="false" customHeight="false" outlineLevel="0" collapsed="false">
      <c r="J8" s="65"/>
      <c r="Y8" s="0" t="n">
        <f aca="false">Z8/Z7</f>
        <v>0.785522728721462</v>
      </c>
      <c r="Z8" s="0" t="n">
        <f aca="false">AA8*'3-alpha_Energy-Ch_Calib'!I29+'3-alpha_Energy-Ch_Calib'!J29</f>
        <v>2443.79765884246</v>
      </c>
      <c r="AA8" s="0" t="n">
        <v>420</v>
      </c>
    </row>
    <row r="9" customFormat="false" ht="14.5" hidden="false" customHeight="false" outlineLevel="0" collapsed="false">
      <c r="J9" s="65"/>
      <c r="Z9" s="0" t="n">
        <f aca="false">AA9*'3-alpha_Energy-Ch_Calib'!M35+'3-alpha_Energy-Ch_Calib'!Q35</f>
        <v>3339.28606958548</v>
      </c>
      <c r="AA9" s="0" t="n">
        <v>565</v>
      </c>
    </row>
    <row r="12" customFormat="false" ht="15" hidden="false" customHeight="false" outlineLevel="0" collapsed="false"/>
    <row r="13" customFormat="false" ht="33.55" hidden="false" customHeight="true" outlineLevel="0" collapsed="false">
      <c r="J13" s="66" t="s">
        <v>29</v>
      </c>
      <c r="K13" s="67" t="s">
        <v>30</v>
      </c>
      <c r="L13" s="66" t="s">
        <v>31</v>
      </c>
      <c r="M13" s="67" t="s">
        <v>32</v>
      </c>
      <c r="N13" s="68" t="s">
        <v>33</v>
      </c>
      <c r="P13" s="69" t="s">
        <v>29</v>
      </c>
      <c r="Q13" s="70" t="s">
        <v>30</v>
      </c>
      <c r="R13" s="69" t="s">
        <v>31</v>
      </c>
      <c r="S13" s="70" t="s">
        <v>32</v>
      </c>
      <c r="T13" s="71" t="s">
        <v>33</v>
      </c>
      <c r="AH13" s="66" t="s">
        <v>29</v>
      </c>
      <c r="AI13" s="67" t="s">
        <v>30</v>
      </c>
      <c r="AJ13" s="66" t="s">
        <v>31</v>
      </c>
      <c r="AK13" s="67" t="s">
        <v>32</v>
      </c>
      <c r="AL13" s="68" t="s">
        <v>33</v>
      </c>
      <c r="AN13" s="69" t="s">
        <v>29</v>
      </c>
      <c r="AO13" s="70" t="s">
        <v>30</v>
      </c>
      <c r="AP13" s="69" t="s">
        <v>31</v>
      </c>
      <c r="AQ13" s="70" t="s">
        <v>32</v>
      </c>
      <c r="AR13" s="71" t="s">
        <v>33</v>
      </c>
    </row>
    <row r="14" customFormat="false" ht="16.4" hidden="false" customHeight="false" outlineLevel="0" collapsed="false">
      <c r="J14" s="72"/>
      <c r="K14" s="73" t="n">
        <f aca="false">J14*$B$2/10</f>
        <v>0</v>
      </c>
      <c r="L14" s="74"/>
      <c r="M14" s="72" t="n">
        <f aca="false">L14*$B$2/10</f>
        <v>0</v>
      </c>
      <c r="N14" s="75" t="n">
        <f aca="false">(($G$7/COS(RADIANS(0))*$K$14)+(1/COS(RADIANS(180-$C$4))*$M$14))</f>
        <v>0</v>
      </c>
      <c r="P14" s="76"/>
      <c r="Q14" s="73" t="n">
        <f aca="false">P14*$E$2/10</f>
        <v>0</v>
      </c>
      <c r="R14" s="76"/>
      <c r="S14" s="72" t="n">
        <f aca="false">R14*$E$2/10</f>
        <v>0</v>
      </c>
      <c r="T14" s="77" t="n">
        <f aca="false">(($G$6/COS(RADIANS(0))*Q14)+(1/COS(RADIANS(180-C4))*S14))</f>
        <v>0</v>
      </c>
      <c r="AH14" s="72" t="n">
        <v>46.02</v>
      </c>
      <c r="AI14" s="73" t="n">
        <f aca="false">AH14*$B$2/10</f>
        <v>33.64062</v>
      </c>
      <c r="AJ14" s="74" t="n">
        <v>46.94</v>
      </c>
      <c r="AK14" s="72" t="n">
        <f aca="false">AJ14*$B$2/10</f>
        <v>34.31314</v>
      </c>
      <c r="AL14" s="75" t="n">
        <f aca="false">(($Y$7/COS(RADIANS(0))*$AI$14)+(1/COS(RADIANS(180-$C$3))*$AK$14))</f>
        <v>70.4132474170064</v>
      </c>
      <c r="AN14" s="76" t="n">
        <v>80.39</v>
      </c>
      <c r="AO14" s="73" t="n">
        <f aca="false">AN14*$E$2/10</f>
        <v>21.697261</v>
      </c>
      <c r="AP14" s="76" t="n">
        <v>88.87</v>
      </c>
      <c r="AQ14" s="72" t="n">
        <f aca="false">AP14*$E$2/10</f>
        <v>23.986013</v>
      </c>
      <c r="AR14" s="77" t="n">
        <f aca="false">(($Y$6/COS(RADIANS(0))*AO14)+(1/COS(RADIANS(180-C3))*AQ14))</f>
        <v>45.3023137974618</v>
      </c>
    </row>
    <row r="16" customFormat="false" ht="15" hidden="false" customHeight="false" outlineLevel="0" collapsed="false"/>
    <row r="17" customFormat="false" ht="44" hidden="false" customHeight="false" outlineLevel="0" collapsed="false">
      <c r="J17" s="78"/>
      <c r="K17" s="79" t="s">
        <v>34</v>
      </c>
      <c r="L17" s="66" t="s">
        <v>35</v>
      </c>
      <c r="M17" s="67" t="s">
        <v>36</v>
      </c>
      <c r="N17" s="80" t="s">
        <v>37</v>
      </c>
      <c r="P17" s="81" t="s">
        <v>38</v>
      </c>
      <c r="Q17" s="82" t="s">
        <v>39</v>
      </c>
      <c r="R17" s="69" t="s">
        <v>40</v>
      </c>
      <c r="S17" s="70" t="s">
        <v>36</v>
      </c>
      <c r="T17" s="83" t="s">
        <v>37</v>
      </c>
      <c r="AH17" s="78"/>
      <c r="AI17" s="79" t="s">
        <v>34</v>
      </c>
      <c r="AJ17" s="66" t="s">
        <v>35</v>
      </c>
      <c r="AK17" s="67" t="s">
        <v>36</v>
      </c>
      <c r="AL17" s="80" t="s">
        <v>37</v>
      </c>
      <c r="AN17" s="81"/>
      <c r="AO17" s="82" t="s">
        <v>39</v>
      </c>
      <c r="AP17" s="69" t="s">
        <v>40</v>
      </c>
      <c r="AQ17" s="70" t="s">
        <v>36</v>
      </c>
      <c r="AR17" s="83" t="s">
        <v>37</v>
      </c>
    </row>
    <row r="18" customFormat="false" ht="16.4" hidden="false" customHeight="false" outlineLevel="0" collapsed="false">
      <c r="J18" s="84"/>
      <c r="K18" s="85"/>
      <c r="L18" s="86"/>
      <c r="M18" s="87" t="n">
        <f aca="false">(K18-L18)*'3-alpha_Energy-Ch_Calib'!$I$12</f>
        <v>0</v>
      </c>
      <c r="N18" s="88" t="e">
        <f aca="false">M18*10^3/$N$14</f>
        <v>#DIV/0!</v>
      </c>
      <c r="P18" s="89"/>
      <c r="Q18" s="85"/>
      <c r="R18" s="86"/>
      <c r="S18" s="90" t="n">
        <f aca="false">(Q18-R18)*'3-alpha_Energy-Ch_Calib'!$I$12</f>
        <v>0</v>
      </c>
      <c r="T18" s="88" t="e">
        <f aca="false">S18*10^3/$T$14</f>
        <v>#DIV/0!</v>
      </c>
      <c r="AH18" s="84"/>
      <c r="AI18" s="85" t="n">
        <v>528.5</v>
      </c>
      <c r="AJ18" s="86" t="n">
        <v>512.5</v>
      </c>
      <c r="AK18" s="87" t="n">
        <f aca="false">(AI18-AJ18)*'3-alpha_Energy-Ch_Calib'!$I$29</f>
        <v>98.8125142888852</v>
      </c>
      <c r="AL18" s="88" t="n">
        <f aca="false">AK18*10^3/$AL$14</f>
        <v>1403.32278248283</v>
      </c>
      <c r="AN18" s="89"/>
      <c r="AO18" s="85" t="n">
        <v>461</v>
      </c>
      <c r="AP18" s="86" t="n">
        <v>446</v>
      </c>
      <c r="AQ18" s="90" t="n">
        <f aca="false">(AO18-AP18)*'3-alpha_Energy-Ch_Calib'!$I$29</f>
        <v>92.6367321458299</v>
      </c>
      <c r="AR18" s="88" t="n">
        <f aca="false">AQ18*10^3/$AR$14</f>
        <v>2044.85652896211</v>
      </c>
    </row>
    <row r="19" customFormat="false" ht="14.5" hidden="false" customHeight="false" outlineLevel="0" collapsed="false">
      <c r="N19" s="91"/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ColWidth="8.53515625" defaultRowHeight="14.5" zeroHeight="false" outlineLevelRow="0" outlineLevelCol="0"/>
  <cols>
    <col collapsed="false" customWidth="true" hidden="false" outlineLevel="0" max="1" min="1" style="0" width="15.54"/>
    <col collapsed="false" customWidth="true" hidden="false" outlineLevel="0" max="4" min="4" style="0" width="11.27"/>
    <col collapsed="false" customWidth="true" hidden="false" outlineLevel="0" max="5" min="5" style="0" width="12.46"/>
    <col collapsed="false" customWidth="true" hidden="false" outlineLevel="0" max="7" min="6" style="0" width="10.18"/>
    <col collapsed="false" customWidth="true" hidden="false" outlineLevel="0" max="8" min="8" style="0" width="14.72"/>
    <col collapsed="false" customWidth="true" hidden="false" outlineLevel="0" max="10" min="10" style="0" width="15.45"/>
    <col collapsed="false" customWidth="true" hidden="false" outlineLevel="0" max="11" min="11" style="0" width="8.73"/>
    <col collapsed="false" customWidth="true" hidden="false" outlineLevel="0" max="12" min="12" style="0" width="8.27"/>
    <col collapsed="false" customWidth="true" hidden="false" outlineLevel="0" max="13" min="13" style="0" width="7.82"/>
    <col collapsed="false" customWidth="true" hidden="false" outlineLevel="0" max="14" min="14" style="0" width="7.73"/>
    <col collapsed="false" customWidth="true" hidden="false" outlineLevel="0" max="15" min="15" style="0" width="10.55"/>
    <col collapsed="false" customWidth="true" hidden="false" outlineLevel="0" max="16" min="16" style="0" width="8.27"/>
    <col collapsed="false" customWidth="true" hidden="false" outlineLevel="0" max="18" min="17" style="0" width="8.45"/>
    <col collapsed="false" customWidth="true" hidden="false" outlineLevel="0" max="19" min="19" style="0" width="8.73"/>
    <col collapsed="false" customWidth="true" hidden="false" outlineLevel="0" max="20" min="20" style="0" width="8.18"/>
    <col collapsed="false" customWidth="true" hidden="false" outlineLevel="0" max="23" min="22" style="0" width="8.18"/>
    <col collapsed="false" customWidth="true" hidden="false" outlineLevel="0" max="24" min="24" style="0" width="8.73"/>
    <col collapsed="false" customWidth="true" hidden="false" outlineLevel="0" max="26" min="26" style="0" width="10.55"/>
    <col collapsed="false" customWidth="true" hidden="false" outlineLevel="0" max="27" min="27" style="0" width="8.18"/>
    <col collapsed="false" customWidth="true" hidden="false" outlineLevel="0" max="28" min="28" style="0" width="7.82"/>
    <col collapsed="false" customWidth="true" hidden="false" outlineLevel="0" max="29" min="29" style="0" width="8.27"/>
    <col collapsed="false" customWidth="true" hidden="false" outlineLevel="0" max="30" min="30" style="0" width="8"/>
    <col collapsed="false" customWidth="true" hidden="false" outlineLevel="0" max="31" min="31" style="0" width="10.27"/>
    <col collapsed="false" customWidth="true" hidden="false" outlineLevel="0" max="33" min="33" style="0" width="5.27"/>
    <col collapsed="false" customWidth="true" hidden="false" outlineLevel="0" max="35" min="34" style="0" width="7.45"/>
    <col collapsed="false" customWidth="true" hidden="false" outlineLevel="0" max="37" min="37" style="0" width="9.81"/>
    <col collapsed="false" customWidth="true" hidden="false" outlineLevel="0" max="39" min="38" style="0" width="7.45"/>
    <col collapsed="false" customWidth="true" hidden="false" outlineLevel="0" max="40" min="40" style="0" width="7.27"/>
    <col collapsed="false" customWidth="true" hidden="false" outlineLevel="0" max="42" min="41" style="0" width="14.45"/>
    <col collapsed="false" customWidth="true" hidden="false" outlineLevel="0" max="43" min="43" style="0" width="20.18"/>
    <col collapsed="false" customWidth="true" hidden="false" outlineLevel="0" max="44" min="44" style="0" width="11.46"/>
    <col collapsed="false" customWidth="true" hidden="false" outlineLevel="0" max="45" min="45" style="0" width="7.82"/>
    <col collapsed="false" customWidth="true" hidden="false" outlineLevel="0" max="46" min="46" style="0" width="6.18"/>
  </cols>
  <sheetData>
    <row r="1" customFormat="false" ht="15" hidden="false" customHeight="false" outlineLevel="0" collapsed="false">
      <c r="A1" s="24" t="s">
        <v>12</v>
      </c>
      <c r="B1" s="25" t="n">
        <v>1800</v>
      </c>
      <c r="C1" s="26" t="s">
        <v>13</v>
      </c>
    </row>
    <row r="2" customFormat="false" ht="15" hidden="false" customHeight="false" outlineLevel="0" collapsed="false">
      <c r="A2" s="30" t="s">
        <v>16</v>
      </c>
      <c r="B2" s="31" t="n">
        <v>2.699</v>
      </c>
      <c r="C2" s="32" t="s">
        <v>15</v>
      </c>
      <c r="D2" s="92" t="s">
        <v>41</v>
      </c>
      <c r="E2" s="93" t="n">
        <v>0.00133151</v>
      </c>
      <c r="F2" s="94" t="s">
        <v>15</v>
      </c>
      <c r="G2" s="95" t="s">
        <v>42</v>
      </c>
      <c r="H2" s="96" t="n">
        <v>2</v>
      </c>
      <c r="I2" s="97" t="s">
        <v>43</v>
      </c>
    </row>
    <row r="3" customFormat="false" ht="29.5" hidden="false" customHeight="false" outlineLevel="0" collapsed="false">
      <c r="A3" s="33" t="s">
        <v>17</v>
      </c>
      <c r="B3" s="34" t="n">
        <f aca="false">B4-58.4</f>
        <v>5061.6</v>
      </c>
      <c r="C3" s="35" t="n">
        <f aca="false">(B3+58.4-[1]Folha1!$E$8)/[1]Folha1!$D$8</f>
        <v>158.093525179858</v>
      </c>
      <c r="D3" s="39" t="s">
        <v>18</v>
      </c>
      <c r="E3" s="39" t="s">
        <v>19</v>
      </c>
      <c r="F3" s="39" t="s">
        <v>20</v>
      </c>
      <c r="G3" s="39" t="s">
        <v>21</v>
      </c>
      <c r="H3" s="39" t="s">
        <v>22</v>
      </c>
      <c r="I3" s="98" t="s">
        <v>23</v>
      </c>
    </row>
    <row r="4" customFormat="false" ht="15" hidden="false" customHeight="false" outlineLevel="0" collapsed="false">
      <c r="A4" s="41" t="s">
        <v>24</v>
      </c>
      <c r="B4" s="42" t="n">
        <v>5120</v>
      </c>
      <c r="C4" s="99" t="n">
        <f aca="false">(B4-58.4-[1]Folha1!$E$8)/[1]Folha1!$D$8</f>
        <v>137.086330935253</v>
      </c>
      <c r="D4" s="100" t="s">
        <v>26</v>
      </c>
      <c r="E4" s="50" t="n">
        <v>8</v>
      </c>
      <c r="F4" s="51" t="n">
        <v>15.999</v>
      </c>
      <c r="G4" s="52" t="n">
        <f aca="false">((SQRT(1-(1/F4)^2*SIN(RADIANS($C$4))^2)+1/F4*COS(RADIANS($C$4)))/(1+1/F4))^2</f>
        <v>0.805033410552434</v>
      </c>
      <c r="H4" s="53" t="n">
        <f aca="false">$B$1*G4</f>
        <v>1449.06013899438</v>
      </c>
      <c r="I4" s="101" t="n">
        <v>1804</v>
      </c>
    </row>
    <row r="5" customFormat="false" ht="14.5" hidden="false" customHeight="false" outlineLevel="0" collapsed="false">
      <c r="D5" s="102" t="s">
        <v>44</v>
      </c>
      <c r="E5" s="103" t="n">
        <v>14</v>
      </c>
      <c r="F5" s="104" t="n">
        <v>28.085</v>
      </c>
      <c r="G5" s="105" t="n">
        <f aca="false">((SQRT(1-(1/F5)^2*SIN(RADIANS($C$4))^2)+1/F5*COS(RADIANS($C$4)))/(1+1/F5))^2</f>
        <v>0.883888597718997</v>
      </c>
      <c r="H5" s="106" t="n">
        <f aca="false">$B$1*G5</f>
        <v>1590.99947589419</v>
      </c>
      <c r="I5" s="107" t="n">
        <v>2017</v>
      </c>
    </row>
    <row r="6" customFormat="false" ht="14.5" hidden="false" customHeight="false" outlineLevel="0" collapsed="false">
      <c r="D6" s="108" t="s">
        <v>45</v>
      </c>
      <c r="E6" s="109" t="n">
        <v>23</v>
      </c>
      <c r="F6" s="110" t="n">
        <v>50.942</v>
      </c>
      <c r="G6" s="111" t="n">
        <f aca="false">((SQRT(1-(1/F6)^2*SIN(RADIANS($C$4))^2)+1/F6*COS(RADIANS($C$4)))/(1+1/F6))^2</f>
        <v>0.934238581234811</v>
      </c>
      <c r="H6" s="112" t="n">
        <f aca="false">$B$1*G6</f>
        <v>1681.62944622266</v>
      </c>
      <c r="I6" s="101"/>
    </row>
    <row r="7" customFormat="false" ht="14.5" hidden="false" customHeight="false" outlineLevel="0" collapsed="false">
      <c r="D7" s="113" t="s">
        <v>46</v>
      </c>
      <c r="E7" s="114" t="n">
        <v>41</v>
      </c>
      <c r="F7" s="115" t="n">
        <v>92.906</v>
      </c>
      <c r="G7" s="116" t="n">
        <f aca="false">((SQRT(1-(1/F7)^2*SIN(RADIANS($C$4))^2)+1/F7*COS(RADIANS($C$4)))/(1+1/F7))^2</f>
        <v>0.963392114598526</v>
      </c>
      <c r="H7" s="117" t="n">
        <f aca="false">$B$1*G7</f>
        <v>1734.10580627735</v>
      </c>
      <c r="I7" s="101" t="n">
        <v>2237</v>
      </c>
    </row>
    <row r="8" customFormat="false" ht="15" hidden="false" customHeight="false" outlineLevel="0" collapsed="false">
      <c r="D8" s="118" t="s">
        <v>47</v>
      </c>
      <c r="E8" s="119" t="n">
        <v>73</v>
      </c>
      <c r="F8" s="120" t="n">
        <v>180.95</v>
      </c>
      <c r="G8" s="121" t="n">
        <f aca="false">((SQRT(1-(1/F8)^2*SIN(RADIANS($C$4))^2)+1/F8*COS(RADIANS($C$4)))/(1+1/F8))^2</f>
        <v>0.981034326043651</v>
      </c>
      <c r="H8" s="122" t="n">
        <f aca="false">$B$1*G8</f>
        <v>1765.86178687857</v>
      </c>
      <c r="I8" s="101" t="n">
        <v>2298</v>
      </c>
      <c r="J8" s="65"/>
    </row>
    <row r="9" customFormat="false" ht="15" hidden="false" customHeight="false" outlineLevel="0" collapsed="false">
      <c r="D9" s="123" t="s">
        <v>28</v>
      </c>
      <c r="E9" s="124" t="n">
        <v>50</v>
      </c>
      <c r="F9" s="124" t="n">
        <v>118.69</v>
      </c>
      <c r="G9" s="125" t="n">
        <f aca="false">((SQRT(1-(1/F9)^2*SIN(RADIANS($C$4))^2)+1/F9*COS(RADIANS($C$4)))/(1+1/F9))^2</f>
        <v>0.971229540825184</v>
      </c>
      <c r="H9" s="126" t="n">
        <f aca="false">$B$1*G9</f>
        <v>1748.21317348533</v>
      </c>
      <c r="I9" s="127" t="n">
        <f aca="false">(H9-104)/0.725</f>
        <v>2267.88023929011</v>
      </c>
      <c r="J9" s="65"/>
    </row>
    <row r="10" customFormat="false" ht="15" hidden="false" customHeight="false" outlineLevel="0" collapsed="false">
      <c r="D10" s="128" t="s">
        <v>48</v>
      </c>
      <c r="E10" s="129" t="n">
        <v>79</v>
      </c>
      <c r="F10" s="129" t="n">
        <v>196.97</v>
      </c>
      <c r="G10" s="130" t="n">
        <f aca="false">((SQRT(1-(1/F10)^2*SIN(RADIANS($C$4))^2)+1/F10*COS(RADIANS($C$4)))/(1+1/F10))^2</f>
        <v>0.982563345291704</v>
      </c>
      <c r="H10" s="131" t="n">
        <f aca="false">$B$1*G10</f>
        <v>1768.61402152507</v>
      </c>
      <c r="I10" s="132" t="n">
        <f aca="false">(H10-104)/0.725</f>
        <v>2296.01934003457</v>
      </c>
    </row>
    <row r="11" customFormat="false" ht="15" hidden="false" customHeight="false" outlineLevel="0" collapsed="false">
      <c r="D11" s="133" t="s">
        <v>27</v>
      </c>
      <c r="E11" s="134" t="n">
        <v>13</v>
      </c>
      <c r="F11" s="134" t="n">
        <v>26.98</v>
      </c>
      <c r="G11" s="135" t="n">
        <f aca="false">((SQRT(1-(1/F11)^2*SIN(RADIANS($C$4))^2)+1/F11*COS(RADIANS($C$4)))/(1+1/F11))^2</f>
        <v>0.879427430812985</v>
      </c>
      <c r="H11" s="136" t="n">
        <f aca="false">$B$1*G11</f>
        <v>1582.96937546337</v>
      </c>
      <c r="I11" s="137" t="n">
        <f aca="false">(H11-104)/0.725</f>
        <v>2039.95775925983</v>
      </c>
    </row>
    <row r="12" customFormat="false" ht="15" hidden="false" customHeight="false" outlineLevel="0" collapsed="false">
      <c r="D12" s="138" t="s">
        <v>25</v>
      </c>
      <c r="E12" s="139" t="n">
        <v>6</v>
      </c>
      <c r="F12" s="139" t="n">
        <v>12.01</v>
      </c>
      <c r="G12" s="140" t="n">
        <f aca="false">((SQRT(1-(1/F12)^2*SIN(RADIANS($C$4))^2)+1/F12*COS(RADIANS($C$4)))/(1+1/F12))^2</f>
        <v>0.748843808350998</v>
      </c>
      <c r="H12" s="141" t="n">
        <f aca="false">$B$1*G12</f>
        <v>1347.9188550318</v>
      </c>
      <c r="I12" s="142" t="n">
        <f aca="false">(H12-104)/0.725</f>
        <v>1715.75014487144</v>
      </c>
    </row>
    <row r="13" customFormat="false" ht="17.25" hidden="false" customHeight="true" outlineLevel="0" collapsed="false">
      <c r="G13" s="0" t="n">
        <f aca="false">H13/B1</f>
        <v>7.51959724390124</v>
      </c>
      <c r="H13" s="0" t="n">
        <f aca="false">I13*'3-alpha_Energy-Ch_Calib'!I12+'3-alpha_Energy-Ch_Calib'!J12</f>
        <v>13535.2750390222</v>
      </c>
      <c r="I13" s="143" t="n">
        <v>2262</v>
      </c>
    </row>
    <row r="14" customFormat="false" ht="15.75" hidden="false" customHeight="true" outlineLevel="0" collapsed="false"/>
    <row r="31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2022-08-29T11:45:38Z</dcterms:created>
  <dc:creator>Ricardo Pires</dc:creator>
  <dc:description/>
  <dc:language>pt-PT</dc:language>
  <cp:lastModifiedBy/>
  <dcterms:modified xsi:type="dcterms:W3CDTF">2025-03-31T15:58:45Z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