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 - Universidade de Lisboa\NUCRIA\06_TargetCharacterization\208Pb\208Pb-1stRun\"/>
    </mc:Choice>
  </mc:AlternateContent>
  <bookViews>
    <workbookView xWindow="0" yWindow="0" windowWidth="16380" windowHeight="7890" tabRatio="854"/>
  </bookViews>
  <sheets>
    <sheet name="Ta-Nb-V Calib - RBS1 - Protoes" sheetId="2" r:id="rId1"/>
    <sheet name="Ta-Nb-V Calib - RBS2" sheetId="3" r:id="rId2"/>
    <sheet name="RBS2- MeanEnergyApprox" sheetId="8" r:id="rId3"/>
    <sheet name="Ta-Nb-V Calib - ERD" sheetId="4" r:id="rId4"/>
    <sheet name="uProbe_140º_protons_1.75MeV" sheetId="7" r:id="rId5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40" i="2" l="1"/>
  <c r="S39" i="2"/>
  <c r="S34" i="2"/>
  <c r="S33" i="2"/>
  <c r="S32" i="2"/>
  <c r="S40" i="4" l="1"/>
  <c r="S39" i="4"/>
  <c r="S38" i="4"/>
  <c r="S34" i="4"/>
  <c r="S33" i="4"/>
  <c r="S32" i="4"/>
  <c r="S28" i="4"/>
  <c r="S27" i="4"/>
  <c r="S26" i="4"/>
  <c r="S22" i="4"/>
  <c r="S21" i="4"/>
  <c r="S20" i="4"/>
  <c r="S22" i="3"/>
  <c r="S21" i="3"/>
  <c r="S20" i="3"/>
  <c r="S40" i="3"/>
  <c r="S39" i="3"/>
  <c r="S38" i="3"/>
  <c r="S34" i="3"/>
  <c r="S33" i="3"/>
  <c r="S32" i="3"/>
  <c r="S28" i="3"/>
  <c r="S27" i="3"/>
  <c r="S26" i="3"/>
  <c r="S22" i="2" l="1"/>
  <c r="S21" i="2"/>
  <c r="S20" i="2"/>
  <c r="S28" i="2"/>
  <c r="S11" i="2"/>
  <c r="N28" i="4"/>
  <c r="N27" i="4"/>
  <c r="N26" i="4"/>
  <c r="N28" i="3"/>
  <c r="N27" i="3"/>
  <c r="N26" i="3"/>
  <c r="F9" i="3"/>
  <c r="N34" i="4"/>
  <c r="N33" i="4"/>
  <c r="N32" i="4"/>
  <c r="N34" i="3"/>
  <c r="N33" i="3"/>
  <c r="N32" i="3"/>
  <c r="T7" i="7" l="1"/>
  <c r="T7" i="8"/>
  <c r="T8" i="2"/>
  <c r="T7" i="2"/>
  <c r="N40" i="8" l="1"/>
  <c r="N39" i="8"/>
  <c r="N38" i="8"/>
  <c r="F12" i="8"/>
  <c r="G12" i="8" s="1"/>
  <c r="F11" i="8"/>
  <c r="G11" i="8" s="1"/>
  <c r="F9" i="8"/>
  <c r="G9" i="8" s="1"/>
  <c r="F8" i="8"/>
  <c r="G8" i="8" s="1"/>
  <c r="F7" i="8"/>
  <c r="G7" i="8" s="1"/>
  <c r="F6" i="8"/>
  <c r="G6" i="8" s="1"/>
  <c r="F5" i="8"/>
  <c r="G5" i="8" s="1"/>
  <c r="F4" i="8"/>
  <c r="G4" i="8" s="1"/>
  <c r="O3" i="8"/>
  <c r="M3" i="8"/>
  <c r="G4" i="7"/>
  <c r="F4" i="7"/>
  <c r="F10" i="7"/>
  <c r="G10" i="7" s="1"/>
  <c r="F9" i="7"/>
  <c r="G9" i="7" s="1"/>
  <c r="F8" i="7"/>
  <c r="G8" i="7" s="1"/>
  <c r="F7" i="7"/>
  <c r="G7" i="7" s="1"/>
  <c r="F6" i="7"/>
  <c r="G6" i="7" s="1"/>
  <c r="F5" i="7"/>
  <c r="G5" i="7" s="1"/>
  <c r="F12" i="7"/>
  <c r="G12" i="7" s="1"/>
  <c r="F11" i="7"/>
  <c r="G11" i="7" s="1"/>
  <c r="O3" i="7"/>
  <c r="M3" i="7"/>
  <c r="N40" i="4"/>
  <c r="N39" i="4"/>
  <c r="N38" i="4"/>
  <c r="P3" i="4"/>
  <c r="F12" i="4"/>
  <c r="F11" i="4"/>
  <c r="F9" i="4"/>
  <c r="G9" i="4" s="1"/>
  <c r="F8" i="4"/>
  <c r="F7" i="4"/>
  <c r="F6" i="4"/>
  <c r="G6" i="4" s="1"/>
  <c r="F5" i="4"/>
  <c r="G5" i="4" s="1"/>
  <c r="F4" i="4"/>
  <c r="G4" i="4" s="1"/>
  <c r="P3" i="3"/>
  <c r="G12" i="4"/>
  <c r="G11" i="4"/>
  <c r="G8" i="4"/>
  <c r="G7" i="4"/>
  <c r="O3" i="4"/>
  <c r="M3" i="4"/>
  <c r="N40" i="3"/>
  <c r="N39" i="3"/>
  <c r="N38" i="3"/>
  <c r="N40" i="2"/>
  <c r="N39" i="2"/>
  <c r="N38" i="2"/>
  <c r="N34" i="2"/>
  <c r="N33" i="2"/>
  <c r="N32" i="2"/>
  <c r="N28" i="2"/>
  <c r="N27" i="2"/>
  <c r="N26" i="2"/>
  <c r="N22" i="2"/>
  <c r="N21" i="2"/>
  <c r="N20" i="2"/>
  <c r="N16" i="2"/>
  <c r="N15" i="2"/>
  <c r="N14" i="2"/>
  <c r="N13" i="2"/>
  <c r="N12" i="2"/>
  <c r="N11" i="2"/>
  <c r="F12" i="3"/>
  <c r="G12" i="3" s="1"/>
  <c r="F11" i="3"/>
  <c r="G11" i="3" s="1"/>
  <c r="G9" i="3"/>
  <c r="F8" i="3"/>
  <c r="F7" i="3"/>
  <c r="F6" i="3"/>
  <c r="G6" i="3" s="1"/>
  <c r="F5" i="3"/>
  <c r="G5" i="3" s="1"/>
  <c r="F4" i="3"/>
  <c r="G4" i="3" s="1"/>
  <c r="G8" i="3"/>
  <c r="G7" i="3"/>
  <c r="O3" i="3"/>
  <c r="M3" i="3"/>
  <c r="P3" i="2"/>
  <c r="P3" i="8" l="1"/>
  <c r="P3" i="7"/>
  <c r="O20" i="4"/>
  <c r="O21" i="3"/>
  <c r="O15" i="3"/>
  <c r="O22" i="3"/>
  <c r="O32" i="3"/>
  <c r="O39" i="3"/>
  <c r="O13" i="3"/>
  <c r="O20" i="3"/>
  <c r="O27" i="3"/>
  <c r="O34" i="3"/>
  <c r="O16" i="3"/>
  <c r="O12" i="3"/>
  <c r="O26" i="3"/>
  <c r="O40" i="3"/>
  <c r="O11" i="3"/>
  <c r="O14" i="3"/>
  <c r="O28" i="3"/>
  <c r="O33" i="3"/>
  <c r="O38" i="3"/>
  <c r="F4" i="2"/>
  <c r="F5" i="2"/>
  <c r="F6" i="2"/>
  <c r="F7" i="2"/>
  <c r="F8" i="2"/>
  <c r="F9" i="2"/>
  <c r="O23" i="3" l="1"/>
  <c r="Q22" i="3" s="1"/>
  <c r="O38" i="8"/>
  <c r="O39" i="8"/>
  <c r="O34" i="8"/>
  <c r="O32" i="8"/>
  <c r="O28" i="8"/>
  <c r="O26" i="8"/>
  <c r="O22" i="8"/>
  <c r="O20" i="8"/>
  <c r="O16" i="8"/>
  <c r="O14" i="8"/>
  <c r="O12" i="8"/>
  <c r="O11" i="8"/>
  <c r="O33" i="8"/>
  <c r="O27" i="8"/>
  <c r="O21" i="8"/>
  <c r="O15" i="8"/>
  <c r="O13" i="8"/>
  <c r="O40" i="8"/>
  <c r="O38" i="7"/>
  <c r="O39" i="7"/>
  <c r="O34" i="7"/>
  <c r="O32" i="7"/>
  <c r="O28" i="7"/>
  <c r="O26" i="7"/>
  <c r="O22" i="7"/>
  <c r="O20" i="7"/>
  <c r="O23" i="7" s="1"/>
  <c r="O16" i="7"/>
  <c r="O14" i="7"/>
  <c r="O12" i="7"/>
  <c r="O11" i="7"/>
  <c r="O33" i="7"/>
  <c r="O27" i="7"/>
  <c r="O21" i="7"/>
  <c r="O15" i="7"/>
  <c r="O13" i="7"/>
  <c r="O40" i="7"/>
  <c r="O22" i="4"/>
  <c r="O34" i="4"/>
  <c r="O15" i="4"/>
  <c r="O27" i="4"/>
  <c r="O26" i="4"/>
  <c r="O21" i="4"/>
  <c r="O23" i="4" s="1"/>
  <c r="O16" i="4"/>
  <c r="O12" i="4"/>
  <c r="O38" i="4"/>
  <c r="O33" i="4"/>
  <c r="O28" i="4"/>
  <c r="O14" i="4"/>
  <c r="O40" i="4"/>
  <c r="O32" i="4"/>
  <c r="O35" i="4" s="1"/>
  <c r="T7" i="4" s="1"/>
  <c r="O39" i="4"/>
  <c r="O11" i="4"/>
  <c r="O13" i="4"/>
  <c r="O41" i="3"/>
  <c r="Q40" i="3" s="1"/>
  <c r="Q21" i="3"/>
  <c r="O29" i="3"/>
  <c r="O17" i="3"/>
  <c r="Q15" i="3" s="1"/>
  <c r="Q20" i="3"/>
  <c r="O35" i="3"/>
  <c r="T5" i="3" l="1"/>
  <c r="W5" i="3" s="1"/>
  <c r="Q33" i="3"/>
  <c r="T7" i="3"/>
  <c r="W7" i="3" s="1"/>
  <c r="O23" i="8"/>
  <c r="Q21" i="8" s="1"/>
  <c r="O35" i="8"/>
  <c r="Q33" i="8" s="1"/>
  <c r="O29" i="8"/>
  <c r="O17" i="8"/>
  <c r="Q22" i="8"/>
  <c r="Q20" i="8"/>
  <c r="Q32" i="8"/>
  <c r="Q28" i="8"/>
  <c r="Q26" i="8"/>
  <c r="Q29" i="8" s="1"/>
  <c r="V6" i="8" s="1"/>
  <c r="Y6" i="8" s="1"/>
  <c r="T6" i="8"/>
  <c r="W6" i="8" s="1"/>
  <c r="W7" i="8"/>
  <c r="Q27" i="8"/>
  <c r="O41" i="8"/>
  <c r="O35" i="7"/>
  <c r="Q32" i="7" s="1"/>
  <c r="O17" i="7"/>
  <c r="Q22" i="7"/>
  <c r="Q20" i="7"/>
  <c r="T5" i="7"/>
  <c r="W5" i="7" s="1"/>
  <c r="Q21" i="7"/>
  <c r="Q34" i="7"/>
  <c r="O29" i="7"/>
  <c r="O41" i="7"/>
  <c r="T6" i="3"/>
  <c r="W6" i="3" s="1"/>
  <c r="Q27" i="3"/>
  <c r="Q26" i="3"/>
  <c r="Q12" i="3"/>
  <c r="Q23" i="3"/>
  <c r="V5" i="3" s="1"/>
  <c r="Y5" i="3" s="1"/>
  <c r="T5" i="4"/>
  <c r="W5" i="4" s="1"/>
  <c r="Q20" i="4"/>
  <c r="Q21" i="4"/>
  <c r="Q22" i="4"/>
  <c r="Q33" i="4"/>
  <c r="Q32" i="4"/>
  <c r="Q34" i="4"/>
  <c r="O29" i="4"/>
  <c r="O41" i="4"/>
  <c r="O17" i="4"/>
  <c r="Q13" i="3"/>
  <c r="Q14" i="3"/>
  <c r="Q38" i="3"/>
  <c r="Q39" i="3"/>
  <c r="T8" i="3"/>
  <c r="W8" i="3" s="1"/>
  <c r="Q28" i="3"/>
  <c r="T4" i="3"/>
  <c r="W4" i="3" s="1"/>
  <c r="Q16" i="3"/>
  <c r="Q11" i="3"/>
  <c r="Q34" i="3"/>
  <c r="Q32" i="3"/>
  <c r="Q29" i="3"/>
  <c r="V6" i="3" s="1"/>
  <c r="Y6" i="3" s="1"/>
  <c r="H12" i="2"/>
  <c r="H11" i="2"/>
  <c r="Q33" i="7" l="1"/>
  <c r="Q34" i="8"/>
  <c r="Q35" i="8" s="1"/>
  <c r="V7" i="8" s="1"/>
  <c r="Y7" i="8" s="1"/>
  <c r="T5" i="8"/>
  <c r="W5" i="8" s="1"/>
  <c r="Q23" i="8"/>
  <c r="V5" i="8" s="1"/>
  <c r="Y5" i="8" s="1"/>
  <c r="Q39" i="8"/>
  <c r="Q40" i="8"/>
  <c r="T8" i="8"/>
  <c r="W8" i="8" s="1"/>
  <c r="Q38" i="8"/>
  <c r="Q16" i="8"/>
  <c r="Q14" i="8"/>
  <c r="Q12" i="8"/>
  <c r="Q11" i="8"/>
  <c r="T4" i="8"/>
  <c r="W4" i="8" s="1"/>
  <c r="Q15" i="8"/>
  <c r="Q13" i="8"/>
  <c r="Q35" i="7"/>
  <c r="V7" i="7" s="1"/>
  <c r="Y7" i="7" s="1"/>
  <c r="Q23" i="7"/>
  <c r="V5" i="7" s="1"/>
  <c r="Y5" i="7" s="1"/>
  <c r="Q39" i="7"/>
  <c r="T8" i="7"/>
  <c r="W8" i="7" s="1"/>
  <c r="Q40" i="7"/>
  <c r="Q38" i="7"/>
  <c r="Q28" i="7"/>
  <c r="Q26" i="7"/>
  <c r="Q29" i="7" s="1"/>
  <c r="V6" i="7" s="1"/>
  <c r="Y6" i="7" s="1"/>
  <c r="T6" i="7"/>
  <c r="W6" i="7" s="1"/>
  <c r="W7" i="7"/>
  <c r="Q27" i="7"/>
  <c r="Q16" i="7"/>
  <c r="Q14" i="7"/>
  <c r="Q12" i="7"/>
  <c r="Q11" i="7"/>
  <c r="T4" i="7"/>
  <c r="W4" i="7" s="1"/>
  <c r="Q15" i="7"/>
  <c r="Q13" i="7"/>
  <c r="Q17" i="3"/>
  <c r="V4" i="3" s="1"/>
  <c r="Y4" i="3" s="1"/>
  <c r="Q23" i="4"/>
  <c r="V5" i="4" s="1"/>
  <c r="Y5" i="4" s="1"/>
  <c r="Q35" i="4"/>
  <c r="V7" i="4" s="1"/>
  <c r="Y7" i="4" s="1"/>
  <c r="Q38" i="4"/>
  <c r="T8" i="4"/>
  <c r="W8" i="4" s="1"/>
  <c r="Q39" i="4"/>
  <c r="Q40" i="4"/>
  <c r="Q28" i="4"/>
  <c r="T6" i="4"/>
  <c r="W6" i="4" s="1"/>
  <c r="Q27" i="4"/>
  <c r="W7" i="4"/>
  <c r="Q26" i="4"/>
  <c r="Q29" i="4" s="1"/>
  <c r="V6" i="4" s="1"/>
  <c r="Y6" i="4" s="1"/>
  <c r="Q14" i="4"/>
  <c r="Q15" i="4"/>
  <c r="T4" i="4"/>
  <c r="W4" i="4" s="1"/>
  <c r="Q16" i="4"/>
  <c r="Q12" i="4"/>
  <c r="Q13" i="4"/>
  <c r="Q11" i="4"/>
  <c r="Q35" i="3"/>
  <c r="V7" i="3" s="1"/>
  <c r="Y7" i="3" s="1"/>
  <c r="Q41" i="3"/>
  <c r="V8" i="3" s="1"/>
  <c r="Y8" i="3" s="1"/>
  <c r="G12" i="2"/>
  <c r="F12" i="2"/>
  <c r="Q17" i="8" l="1"/>
  <c r="V4" i="8" s="1"/>
  <c r="Y4" i="8" s="1"/>
  <c r="Q41" i="8"/>
  <c r="V8" i="8" s="1"/>
  <c r="Y8" i="8" s="1"/>
  <c r="Q41" i="7"/>
  <c r="V8" i="7" s="1"/>
  <c r="Y8" i="7" s="1"/>
  <c r="Q17" i="7"/>
  <c r="V4" i="7" s="1"/>
  <c r="Y4" i="7" s="1"/>
  <c r="Q41" i="4"/>
  <c r="V8" i="4" s="1"/>
  <c r="Y8" i="4" s="1"/>
  <c r="Q17" i="4"/>
  <c r="V4" i="4" s="1"/>
  <c r="Y4" i="4" s="1"/>
  <c r="F11" i="2"/>
  <c r="G11" i="2" s="1"/>
  <c r="O3" i="2" l="1"/>
  <c r="M3" i="2"/>
  <c r="G8" i="2"/>
  <c r="G7" i="2"/>
  <c r="G6" i="2"/>
  <c r="G5" i="2"/>
  <c r="G4" i="2"/>
  <c r="G9" i="2" l="1"/>
  <c r="H9" i="2" s="1"/>
  <c r="O13" i="2" l="1"/>
  <c r="O14" i="2"/>
  <c r="O16" i="2"/>
  <c r="O12" i="2"/>
  <c r="O15" i="2"/>
  <c r="O11" i="2"/>
  <c r="O28" i="2"/>
  <c r="O34" i="2"/>
  <c r="O33" i="2"/>
  <c r="O22" i="2"/>
  <c r="O27" i="2"/>
  <c r="O39" i="2"/>
  <c r="O38" i="2"/>
  <c r="O40" i="2"/>
  <c r="O32" i="2"/>
  <c r="O26" i="2"/>
  <c r="O21" i="2"/>
  <c r="O20" i="2"/>
  <c r="O23" i="2" s="1"/>
  <c r="Q22" i="2" s="1"/>
  <c r="O35" i="2" l="1"/>
  <c r="Q33" i="2" s="1"/>
  <c r="O17" i="2"/>
  <c r="Q13" i="2" s="1"/>
  <c r="Q15" i="2"/>
  <c r="O41" i="2"/>
  <c r="O29" i="2"/>
  <c r="T5" i="2"/>
  <c r="W5" i="2" s="1"/>
  <c r="Q20" i="2"/>
  <c r="Q21" i="2"/>
  <c r="Q32" i="2" l="1"/>
  <c r="Q35" i="2" s="1"/>
  <c r="V7" i="2" s="1"/>
  <c r="Y7" i="2" s="1"/>
  <c r="Q34" i="2"/>
  <c r="Q11" i="2"/>
  <c r="Q12" i="2"/>
  <c r="Q14" i="2"/>
  <c r="T4" i="2"/>
  <c r="W4" i="2" s="1"/>
  <c r="Q16" i="2"/>
  <c r="Q38" i="2"/>
  <c r="Q40" i="2"/>
  <c r="Q39" i="2"/>
  <c r="W8" i="2"/>
  <c r="T6" i="2"/>
  <c r="W6" i="2" s="1"/>
  <c r="Q26" i="2"/>
  <c r="W7" i="2"/>
  <c r="Q28" i="2"/>
  <c r="Q27" i="2"/>
  <c r="Q23" i="2"/>
  <c r="V5" i="2" s="1"/>
  <c r="Y5" i="2" s="1"/>
  <c r="Q41" i="2" l="1"/>
  <c r="V8" i="2" s="1"/>
  <c r="Y8" i="2" s="1"/>
  <c r="Q17" i="2"/>
  <c r="V4" i="2" s="1"/>
  <c r="Y4" i="2" s="1"/>
  <c r="Q29" i="2"/>
  <c r="V6" i="2" s="1"/>
  <c r="Y6" i="2" s="1"/>
</calcChain>
</file>

<file path=xl/sharedStrings.xml><?xml version="1.0" encoding="utf-8"?>
<sst xmlns="http://schemas.openxmlformats.org/spreadsheetml/2006/main" count="338" uniqueCount="40">
  <si>
    <t>Target</t>
  </si>
  <si>
    <t xml:space="preserve">E0 = </t>
  </si>
  <si>
    <t>keV</t>
  </si>
  <si>
    <t xml:space="preserve">Pb density = </t>
  </si>
  <si>
    <t>g/cm^3</t>
  </si>
  <si>
    <t>K * E_0</t>
  </si>
  <si>
    <t>Element</t>
  </si>
  <si>
    <t>Z</t>
  </si>
  <si>
    <t>A</t>
  </si>
  <si>
    <t>Kinematic factor [K]</t>
  </si>
  <si>
    <t>Back Energy (keV) [K * E0]</t>
  </si>
  <si>
    <t>Surface channel</t>
  </si>
  <si>
    <t>O</t>
  </si>
  <si>
    <t>nm</t>
  </si>
  <si>
    <t>mg/cm2</t>
  </si>
  <si>
    <t>Si</t>
  </si>
  <si>
    <t>+-</t>
  </si>
  <si>
    <t>V</t>
  </si>
  <si>
    <t>Nb</t>
  </si>
  <si>
    <t>Ta</t>
  </si>
  <si>
    <t>Pb</t>
  </si>
  <si>
    <t>Target 1</t>
  </si>
  <si>
    <t>Pb channel in</t>
  </si>
  <si>
    <t>Pb channel out</t>
  </si>
  <si>
    <t>Delta_E (keV)</t>
  </si>
  <si>
    <t>(dE/dx)_in [E_0] (MeV cm^2 / g)</t>
  </si>
  <si>
    <t>(dE/dx)_in [E_0] (eV/nm)</t>
  </si>
  <si>
    <t>(dE/dx)_out [K * E_0] (MeV cm^2 / g)</t>
  </si>
  <si>
    <t>(dE/dx)_out [K * E_0] (eV/nm)</t>
  </si>
  <si>
    <t>[S] (eV/nm)</t>
  </si>
  <si>
    <t>x (nm)</t>
  </si>
  <si>
    <t>Target 6</t>
  </si>
  <si>
    <t>Target 7</t>
  </si>
  <si>
    <r>
      <t>C</t>
    </r>
    <r>
      <rPr>
        <i/>
        <sz val="11"/>
        <color rgb="FF000000"/>
        <rFont val="Caladea"/>
        <family val="1"/>
      </rPr>
      <t>l</t>
    </r>
  </si>
  <si>
    <t>Cu</t>
  </si>
  <si>
    <t>Target 3</t>
  </si>
  <si>
    <t>Target 8</t>
  </si>
  <si>
    <t>C</t>
  </si>
  <si>
    <t>SimNRA (10^15 atms/cm^2)</t>
  </si>
  <si>
    <t>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</si>
</sst>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12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2"/>
      <color rgb="FF00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charset val="1"/>
    </font>
    <font>
      <i/>
      <sz val="11"/>
      <color rgb="FF000000"/>
      <name val="Caladea"/>
      <family val="1"/>
    </font>
    <font>
      <b/>
      <sz val="16"/>
      <color rgb="FFFF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5E0B4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0CECE"/>
        <bgColor rgb="FFD9D9D9"/>
      </patternFill>
    </fill>
    <fill>
      <patternFill patternType="solid">
        <fgColor rgb="FFE2F0D9"/>
        <bgColor rgb="FFDEEBF7"/>
      </patternFill>
    </fill>
    <fill>
      <patternFill patternType="solid">
        <fgColor rgb="FFFF97BC"/>
        <bgColor indexed="64"/>
      </patternFill>
    </fill>
    <fill>
      <patternFill patternType="solid">
        <fgColor rgb="FFB4C7E7"/>
        <bgColor rgb="FFBDD7EE"/>
      </patternFill>
    </fill>
    <fill>
      <patternFill patternType="solid">
        <fgColor rgb="FFDAE3F3"/>
        <bgColor rgb="FFDEEBF7"/>
      </patternFill>
    </fill>
    <fill>
      <patternFill patternType="solid">
        <fgColor rgb="FFFFBDDE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F8CBAD"/>
        <bgColor rgb="FFFFE699"/>
      </patternFill>
    </fill>
    <fill>
      <patternFill patternType="solid">
        <fgColor rgb="FFFBE5D6"/>
        <bgColor rgb="FFFFF2CC"/>
      </patternFill>
    </fill>
    <fill>
      <patternFill patternType="solid">
        <fgColor rgb="FFBDD7EE"/>
        <bgColor rgb="FFB4C7E7"/>
      </patternFill>
    </fill>
    <fill>
      <patternFill patternType="solid">
        <fgColor rgb="FFDEEBF7"/>
        <bgColor rgb="FFDAE3F3"/>
      </patternFill>
    </fill>
    <fill>
      <patternFill patternType="solid">
        <fgColor rgb="FFFFBDDE"/>
        <bgColor rgb="FFDAE3F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A072"/>
        <bgColor indexed="64"/>
      </patternFill>
    </fill>
    <fill>
      <patternFill patternType="solid">
        <fgColor rgb="FFFFC000"/>
        <bgColor rgb="FFDEEBF7"/>
      </patternFill>
    </fill>
    <fill>
      <patternFill patternType="solid">
        <fgColor rgb="FFFFC000"/>
        <bgColor rgb="FFFBE5D6"/>
      </patternFill>
    </fill>
    <fill>
      <patternFill patternType="solid">
        <fgColor rgb="FFFFC000"/>
        <bgColor rgb="FFFFF2CC"/>
      </patternFill>
    </fill>
    <fill>
      <patternFill patternType="solid">
        <fgColor rgb="FFFFC000"/>
        <bgColor rgb="FFDAE3F3"/>
      </patternFill>
    </fill>
    <fill>
      <patternFill patternType="solid">
        <fgColor rgb="FFDCCBB2"/>
        <bgColor indexed="64"/>
      </patternFill>
    </fill>
    <fill>
      <patternFill patternType="solid">
        <fgColor rgb="FFDCCBB2"/>
        <bgColor rgb="FFDAE3F3"/>
      </patternFill>
    </fill>
    <fill>
      <patternFill patternType="solid">
        <fgColor theme="7" tint="0.79998168889431442"/>
        <bgColor rgb="FFDEEBF7"/>
      </patternFill>
    </fill>
    <fill>
      <patternFill patternType="solid">
        <fgColor theme="8" tint="0.79998168889431442"/>
        <bgColor rgb="FFDEEBF7"/>
      </patternFill>
    </fill>
    <fill>
      <patternFill patternType="solid">
        <fgColor theme="5" tint="0.79998168889431442"/>
        <bgColor rgb="FFDEEBF7"/>
      </patternFill>
    </fill>
    <fill>
      <patternFill patternType="solid">
        <fgColor theme="4" tint="0.79998168889431442"/>
        <bgColor rgb="FFDEEBF7"/>
      </patternFill>
    </fill>
    <fill>
      <patternFill patternType="solid">
        <fgColor rgb="FF9BE9E5"/>
        <bgColor indexed="64"/>
      </patternFill>
    </fill>
    <fill>
      <patternFill patternType="solid">
        <fgColor rgb="FF9BE9E5"/>
        <bgColor rgb="FFDEEBF7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0" fillId="0" borderId="0" xfId="0" applyFont="1"/>
    <xf numFmtId="0" fontId="1" fillId="3" borderId="1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164" fontId="0" fillId="6" borderId="0" xfId="0" applyNumberFormat="1" applyFill="1" applyBorder="1" applyAlignment="1">
      <alignment horizontal="center" vertical="center" wrapText="1"/>
    </xf>
    <xf numFmtId="165" fontId="0" fillId="6" borderId="0" xfId="0" applyNumberFormat="1" applyFill="1" applyBorder="1" applyAlignment="1">
      <alignment horizontal="center" vertical="center" wrapText="1"/>
    </xf>
    <xf numFmtId="2" fontId="0" fillId="6" borderId="0" xfId="0" applyNumberForma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vertical="center" wrapText="1"/>
    </xf>
    <xf numFmtId="0" fontId="2" fillId="7" borderId="7" xfId="0" applyFont="1" applyFill="1" applyBorder="1" applyAlignment="1">
      <alignment vertical="center" wrapText="1"/>
    </xf>
    <xf numFmtId="0" fontId="2" fillId="7" borderId="13" xfId="0" applyFont="1" applyFill="1" applyBorder="1" applyAlignment="1">
      <alignment vertical="center" wrapText="1"/>
    </xf>
    <xf numFmtId="0" fontId="3" fillId="8" borderId="14" xfId="0" applyFont="1" applyFill="1" applyBorder="1" applyAlignment="1">
      <alignment horizontal="center" vertical="center" wrapText="1"/>
    </xf>
    <xf numFmtId="0" fontId="4" fillId="9" borderId="0" xfId="0" applyFont="1" applyFill="1" applyBorder="1" applyAlignment="1">
      <alignment horizontal="center" vertical="center" wrapText="1"/>
    </xf>
    <xf numFmtId="164" fontId="4" fillId="9" borderId="0" xfId="0" applyNumberFormat="1" applyFont="1" applyFill="1" applyBorder="1" applyAlignment="1">
      <alignment horizontal="center" vertical="center" wrapText="1"/>
    </xf>
    <xf numFmtId="2" fontId="0" fillId="9" borderId="0" xfId="0" applyNumberFormat="1" applyFill="1" applyBorder="1" applyAlignment="1">
      <alignment horizontal="center" vertical="center" wrapText="1"/>
    </xf>
    <xf numFmtId="1" fontId="4" fillId="11" borderId="14" xfId="0" applyNumberFormat="1" applyFont="1" applyFill="1" applyBorder="1" applyAlignment="1">
      <alignment vertical="center" wrapText="1"/>
    </xf>
    <xf numFmtId="0" fontId="4" fillId="11" borderId="0" xfId="0" quotePrefix="1" applyFont="1" applyFill="1" applyBorder="1" applyAlignment="1">
      <alignment horizontal="center" vertical="center" wrapText="1"/>
    </xf>
    <xf numFmtId="1" fontId="4" fillId="11" borderId="2" xfId="0" applyNumberFormat="1" applyFont="1" applyFill="1" applyBorder="1" applyAlignment="1">
      <alignment horizontal="left" vertical="center" wrapText="1"/>
    </xf>
    <xf numFmtId="2" fontId="4" fillId="11" borderId="0" xfId="0" applyNumberFormat="1" applyFont="1" applyFill="1" applyBorder="1" applyAlignment="1">
      <alignment vertical="center" wrapText="1"/>
    </xf>
    <xf numFmtId="2" fontId="4" fillId="11" borderId="2" xfId="0" applyNumberFormat="1" applyFont="1" applyFill="1" applyBorder="1" applyAlignment="1">
      <alignment horizontal="left" vertical="center" wrapText="1"/>
    </xf>
    <xf numFmtId="0" fontId="2" fillId="12" borderId="14" xfId="0" applyFont="1" applyFill="1" applyBorder="1" applyAlignment="1">
      <alignment horizontal="center" vertical="center" wrapText="1"/>
    </xf>
    <xf numFmtId="0" fontId="0" fillId="13" borderId="0" xfId="0" applyFill="1" applyBorder="1" applyAlignment="1">
      <alignment horizontal="center" vertical="center" wrapText="1"/>
    </xf>
    <xf numFmtId="164" fontId="0" fillId="13" borderId="0" xfId="0" applyNumberFormat="1" applyFill="1" applyBorder="1" applyAlignment="1">
      <alignment horizontal="center" vertical="center" wrapText="1"/>
    </xf>
    <xf numFmtId="2" fontId="0" fillId="13" borderId="0" xfId="0" applyNumberFormat="1" applyFill="1" applyBorder="1" applyAlignment="1">
      <alignment horizontal="center" vertical="center" wrapText="1"/>
    </xf>
    <xf numFmtId="0" fontId="2" fillId="14" borderId="14" xfId="0" applyFont="1" applyFill="1" applyBorder="1" applyAlignment="1">
      <alignment horizontal="center" vertical="center" wrapText="1"/>
    </xf>
    <xf numFmtId="0" fontId="0" fillId="15" borderId="0" xfId="0" applyFill="1" applyBorder="1" applyAlignment="1">
      <alignment horizontal="center" vertical="center" wrapText="1"/>
    </xf>
    <xf numFmtId="164" fontId="0" fillId="15" borderId="0" xfId="0" applyNumberFormat="1" applyFill="1" applyBorder="1" applyAlignment="1">
      <alignment horizontal="center" vertical="center" wrapText="1"/>
    </xf>
    <xf numFmtId="2" fontId="0" fillId="15" borderId="0" xfId="0" applyNumberFormat="1" applyFill="1" applyBorder="1" applyAlignment="1">
      <alignment horizontal="center" vertical="center" wrapText="1"/>
    </xf>
    <xf numFmtId="0" fontId="2" fillId="16" borderId="11" xfId="0" applyFont="1" applyFill="1" applyBorder="1" applyAlignment="1">
      <alignment horizontal="center" vertical="center" wrapText="1"/>
    </xf>
    <xf numFmtId="0" fontId="0" fillId="17" borderId="3" xfId="0" applyFill="1" applyBorder="1" applyAlignment="1">
      <alignment horizontal="center" vertical="center" wrapText="1"/>
    </xf>
    <xf numFmtId="164" fontId="0" fillId="17" borderId="3" xfId="0" applyNumberFormat="1" applyFill="1" applyBorder="1" applyAlignment="1">
      <alignment horizontal="center" vertical="center" wrapText="1"/>
    </xf>
    <xf numFmtId="2" fontId="0" fillId="17" borderId="3" xfId="0" applyNumberFormat="1" applyFill="1" applyBorder="1" applyAlignment="1">
      <alignment horizontal="center" vertical="center" wrapText="1"/>
    </xf>
    <xf numFmtId="0" fontId="5" fillId="0" borderId="0" xfId="0" applyFont="1"/>
    <xf numFmtId="0" fontId="2" fillId="10" borderId="12" xfId="0" applyFont="1" applyFill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 wrapText="1"/>
    </xf>
    <xf numFmtId="165" fontId="0" fillId="18" borderId="7" xfId="0" applyNumberFormat="1" applyFill="1" applyBorder="1" applyAlignment="1">
      <alignment horizontal="center" vertical="center" wrapText="1"/>
    </xf>
    <xf numFmtId="2" fontId="0" fillId="18" borderId="7" xfId="0" applyNumberForma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 wrapText="1"/>
    </xf>
    <xf numFmtId="0" fontId="7" fillId="7" borderId="16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2" fillId="10" borderId="8" xfId="0" applyFont="1" applyFill="1" applyBorder="1" applyAlignment="1">
      <alignment horizontal="center" vertical="center" wrapText="1"/>
    </xf>
    <xf numFmtId="0" fontId="0" fillId="19" borderId="18" xfId="0" applyFill="1" applyBorder="1" applyAlignment="1">
      <alignment horizontal="center" vertical="center" wrapText="1"/>
    </xf>
    <xf numFmtId="0" fontId="0" fillId="19" borderId="19" xfId="0" applyFill="1" applyBorder="1" applyAlignment="1">
      <alignment horizontal="center" vertical="center" wrapText="1"/>
    </xf>
    <xf numFmtId="2" fontId="0" fillId="19" borderId="19" xfId="0" applyNumberFormat="1" applyFill="1" applyBorder="1" applyAlignment="1">
      <alignment horizontal="center" vertical="center" wrapText="1"/>
    </xf>
    <xf numFmtId="164" fontId="0" fillId="19" borderId="20" xfId="0" applyNumberFormat="1" applyFill="1" applyBorder="1" applyAlignment="1">
      <alignment horizontal="center" vertical="center" wrapText="1"/>
    </xf>
    <xf numFmtId="1" fontId="1" fillId="19" borderId="21" xfId="0" applyNumberFormat="1" applyFont="1" applyFill="1" applyBorder="1" applyAlignment="1">
      <alignment horizontal="center" vertical="center" wrapText="1"/>
    </xf>
    <xf numFmtId="0" fontId="0" fillId="0" borderId="0" xfId="0" applyBorder="1"/>
    <xf numFmtId="1" fontId="0" fillId="0" borderId="2" xfId="0" applyNumberFormat="1" applyBorder="1"/>
    <xf numFmtId="0" fontId="0" fillId="0" borderId="2" xfId="0" applyBorder="1"/>
    <xf numFmtId="0" fontId="2" fillId="10" borderId="9" xfId="0" applyFont="1" applyFill="1" applyBorder="1" applyAlignment="1">
      <alignment horizontal="center" vertical="center" wrapText="1"/>
    </xf>
    <xf numFmtId="0" fontId="0" fillId="19" borderId="23" xfId="0" applyFill="1" applyBorder="1" applyAlignment="1">
      <alignment horizontal="center" vertical="center" wrapText="1"/>
    </xf>
    <xf numFmtId="0" fontId="1" fillId="20" borderId="7" xfId="0" quotePrefix="1" applyFont="1" applyFill="1" applyBorder="1" applyAlignment="1">
      <alignment horizontal="center" vertical="center" wrapText="1"/>
    </xf>
    <xf numFmtId="1" fontId="8" fillId="20" borderId="13" xfId="0" applyNumberFormat="1" applyFont="1" applyFill="1" applyBorder="1" applyAlignment="1">
      <alignment horizontal="center" vertical="center" wrapText="1"/>
    </xf>
    <xf numFmtId="0" fontId="4" fillId="19" borderId="23" xfId="0" applyFont="1" applyFill="1" applyBorder="1" applyAlignment="1">
      <alignment horizontal="center" vertical="center" wrapText="1"/>
    </xf>
    <xf numFmtId="1" fontId="8" fillId="20" borderId="11" xfId="0" applyNumberFormat="1" applyFont="1" applyFill="1" applyBorder="1"/>
    <xf numFmtId="1" fontId="9" fillId="20" borderId="13" xfId="0" applyNumberFormat="1" applyFont="1" applyFill="1" applyBorder="1" applyAlignment="1">
      <alignment horizontal="center" vertical="center" wrapText="1"/>
    </xf>
    <xf numFmtId="0" fontId="0" fillId="0" borderId="3" xfId="0" applyBorder="1"/>
    <xf numFmtId="0" fontId="4" fillId="19" borderId="19" xfId="0" applyFont="1" applyFill="1" applyBorder="1" applyAlignment="1">
      <alignment horizontal="center" vertical="center" wrapText="1"/>
    </xf>
    <xf numFmtId="1" fontId="0" fillId="0" borderId="0" xfId="0" applyNumberFormat="1"/>
    <xf numFmtId="0" fontId="0" fillId="22" borderId="2" xfId="0" applyFill="1" applyBorder="1" applyAlignment="1">
      <alignment horizontal="center" vertical="center" wrapText="1"/>
    </xf>
    <xf numFmtId="0" fontId="4" fillId="22" borderId="2" xfId="0" applyFont="1" applyFill="1" applyBorder="1" applyAlignment="1">
      <alignment horizontal="center" vertical="center" wrapText="1"/>
    </xf>
    <xf numFmtId="0" fontId="0" fillId="23" borderId="2" xfId="0" applyFill="1" applyBorder="1" applyAlignment="1">
      <alignment horizontal="center" vertical="center" wrapText="1"/>
    </xf>
    <xf numFmtId="0" fontId="0" fillId="24" borderId="2" xfId="0" applyFill="1" applyBorder="1" applyAlignment="1">
      <alignment horizontal="center" vertical="center" wrapText="1"/>
    </xf>
    <xf numFmtId="0" fontId="0" fillId="25" borderId="4" xfId="0" applyFill="1" applyBorder="1" applyAlignment="1">
      <alignment horizontal="center" vertical="center" wrapText="1"/>
    </xf>
    <xf numFmtId="0" fontId="0" fillId="26" borderId="7" xfId="0" applyFill="1" applyBorder="1"/>
    <xf numFmtId="165" fontId="0" fillId="27" borderId="7" xfId="0" applyNumberFormat="1" applyFill="1" applyBorder="1" applyAlignment="1">
      <alignment horizontal="center" vertical="center" wrapText="1"/>
    </xf>
    <xf numFmtId="2" fontId="0" fillId="27" borderId="7" xfId="0" applyNumberFormat="1" applyFill="1" applyBorder="1" applyAlignment="1">
      <alignment horizontal="center" vertical="center" wrapText="1"/>
    </xf>
    <xf numFmtId="0" fontId="0" fillId="21" borderId="1" xfId="0" applyFill="1" applyBorder="1"/>
    <xf numFmtId="164" fontId="0" fillId="19" borderId="19" xfId="0" applyNumberFormat="1" applyFill="1" applyBorder="1" applyAlignment="1">
      <alignment horizontal="center" vertical="center" wrapText="1"/>
    </xf>
    <xf numFmtId="1" fontId="4" fillId="11" borderId="10" xfId="0" applyNumberFormat="1" applyFont="1" applyFill="1" applyBorder="1" applyAlignment="1">
      <alignment vertical="center" wrapText="1"/>
    </xf>
    <xf numFmtId="0" fontId="4" fillId="11" borderId="5" xfId="0" quotePrefix="1" applyFont="1" applyFill="1" applyBorder="1" applyAlignment="1">
      <alignment horizontal="center" vertical="center" wrapText="1"/>
    </xf>
    <xf numFmtId="1" fontId="4" fillId="11" borderId="6" xfId="0" applyNumberFormat="1" applyFont="1" applyFill="1" applyBorder="1" applyAlignment="1">
      <alignment horizontal="left" vertical="center" wrapText="1"/>
    </xf>
    <xf numFmtId="0" fontId="0" fillId="10" borderId="12" xfId="0" applyFill="1" applyBorder="1" applyAlignment="1">
      <alignment horizontal="center" vertical="center" wrapText="1"/>
    </xf>
    <xf numFmtId="0" fontId="0" fillId="19" borderId="24" xfId="0" applyFill="1" applyBorder="1" applyAlignment="1">
      <alignment horizontal="center" vertical="center" wrapText="1"/>
    </xf>
    <xf numFmtId="0" fontId="0" fillId="19" borderId="25" xfId="0" applyFill="1" applyBorder="1" applyAlignment="1">
      <alignment horizontal="center" vertical="center" wrapText="1"/>
    </xf>
    <xf numFmtId="2" fontId="0" fillId="19" borderId="25" xfId="0" applyNumberFormat="1" applyFill="1" applyBorder="1" applyAlignment="1">
      <alignment horizontal="center" vertical="center" wrapText="1"/>
    </xf>
    <xf numFmtId="1" fontId="1" fillId="19" borderId="2" xfId="0" applyNumberFormat="1" applyFont="1" applyFill="1" applyBorder="1" applyAlignment="1">
      <alignment horizontal="center" vertical="center" wrapText="1"/>
    </xf>
    <xf numFmtId="0" fontId="0" fillId="19" borderId="22" xfId="0" applyFill="1" applyBorder="1" applyAlignment="1">
      <alignment horizontal="center" vertical="center" wrapText="1"/>
    </xf>
    <xf numFmtId="2" fontId="0" fillId="19" borderId="23" xfId="0" applyNumberFormat="1" applyFill="1" applyBorder="1" applyAlignment="1">
      <alignment horizontal="center" vertical="center" wrapText="1"/>
    </xf>
    <xf numFmtId="0" fontId="2" fillId="10" borderId="14" xfId="0" applyFont="1" applyFill="1" applyBorder="1" applyAlignment="1">
      <alignment horizontal="center" vertical="center" wrapText="1"/>
    </xf>
    <xf numFmtId="1" fontId="0" fillId="11" borderId="14" xfId="0" applyNumberFormat="1" applyFill="1" applyBorder="1"/>
    <xf numFmtId="1" fontId="3" fillId="11" borderId="12" xfId="0" applyNumberFormat="1" applyFont="1" applyFill="1" applyBorder="1" applyAlignment="1">
      <alignment vertical="center" wrapText="1"/>
    </xf>
    <xf numFmtId="0" fontId="3" fillId="11" borderId="7" xfId="0" quotePrefix="1" applyFont="1" applyFill="1" applyBorder="1" applyAlignment="1">
      <alignment horizontal="center" vertical="center" wrapText="1"/>
    </xf>
    <xf numFmtId="1" fontId="3" fillId="11" borderId="13" xfId="0" applyNumberFormat="1" applyFont="1" applyFill="1" applyBorder="1" applyAlignment="1">
      <alignment horizontal="left" vertical="center" wrapText="1"/>
    </xf>
    <xf numFmtId="2" fontId="3" fillId="11" borderId="7" xfId="0" applyNumberFormat="1" applyFont="1" applyFill="1" applyBorder="1" applyAlignment="1">
      <alignment vertical="center" wrapText="1"/>
    </xf>
    <xf numFmtId="2" fontId="3" fillId="11" borderId="13" xfId="0" applyNumberFormat="1" applyFont="1" applyFill="1" applyBorder="1" applyAlignment="1">
      <alignment horizontal="left" vertical="center" wrapText="1"/>
    </xf>
    <xf numFmtId="1" fontId="0" fillId="11" borderId="2" xfId="0" applyNumberFormat="1" applyFill="1" applyBorder="1" applyAlignment="1">
      <alignment horizontal="left" vertical="center"/>
    </xf>
    <xf numFmtId="166" fontId="3" fillId="0" borderId="19" xfId="0" applyNumberFormat="1" applyFont="1" applyFill="1" applyBorder="1" applyAlignment="1">
      <alignment horizontal="center" vertical="center" wrapText="1"/>
    </xf>
    <xf numFmtId="0" fontId="1" fillId="20" borderId="3" xfId="0" quotePrefix="1" applyFont="1" applyFill="1" applyBorder="1" applyAlignment="1">
      <alignment horizontal="center" vertical="center" wrapText="1"/>
    </xf>
    <xf numFmtId="1" fontId="9" fillId="20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Border="1"/>
    <xf numFmtId="0" fontId="0" fillId="0" borderId="10" xfId="0" applyBorder="1"/>
    <xf numFmtId="0" fontId="6" fillId="7" borderId="10" xfId="0" applyFont="1" applyFill="1" applyBorder="1" applyAlignment="1">
      <alignment horizontal="center" vertical="center" wrapText="1"/>
    </xf>
    <xf numFmtId="0" fontId="2" fillId="10" borderId="27" xfId="0" applyFont="1" applyFill="1" applyBorder="1" applyAlignment="1">
      <alignment horizontal="center" vertical="center" wrapText="1"/>
    </xf>
    <xf numFmtId="1" fontId="8" fillId="20" borderId="12" xfId="0" applyNumberFormat="1" applyFont="1" applyFill="1" applyBorder="1" applyAlignment="1">
      <alignment horizontal="center" vertical="center" wrapText="1"/>
    </xf>
    <xf numFmtId="0" fontId="2" fillId="10" borderId="10" xfId="0" applyFont="1" applyFill="1" applyBorder="1" applyAlignment="1">
      <alignment horizontal="center" vertical="center" wrapText="1"/>
    </xf>
    <xf numFmtId="0" fontId="2" fillId="10" borderId="11" xfId="0" applyFont="1" applyFill="1" applyBorder="1" applyAlignment="1">
      <alignment horizontal="center" vertical="center" wrapText="1"/>
    </xf>
    <xf numFmtId="0" fontId="7" fillId="7" borderId="28" xfId="0" applyFont="1" applyFill="1" applyBorder="1" applyAlignment="1">
      <alignment horizontal="center" vertical="center" wrapText="1"/>
    </xf>
    <xf numFmtId="0" fontId="7" fillId="7" borderId="29" xfId="0" applyFont="1" applyFill="1" applyBorder="1" applyAlignment="1">
      <alignment horizontal="center" vertical="center" wrapText="1"/>
    </xf>
    <xf numFmtId="0" fontId="2" fillId="7" borderId="29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2" fontId="0" fillId="19" borderId="30" xfId="0" applyNumberFormat="1" applyFill="1" applyBorder="1" applyAlignment="1">
      <alignment horizontal="center" vertical="center" wrapText="1"/>
    </xf>
    <xf numFmtId="0" fontId="4" fillId="19" borderId="30" xfId="0" applyFont="1" applyFill="1" applyBorder="1" applyAlignment="1">
      <alignment horizontal="center" vertical="center" wrapText="1"/>
    </xf>
    <xf numFmtId="0" fontId="0" fillId="19" borderId="31" xfId="0" applyFill="1" applyBorder="1" applyAlignment="1">
      <alignment horizontal="center" vertical="center" wrapText="1"/>
    </xf>
    <xf numFmtId="0" fontId="0" fillId="19" borderId="32" xfId="0" applyFill="1" applyBorder="1" applyAlignment="1">
      <alignment horizontal="center" vertical="center" wrapText="1"/>
    </xf>
    <xf numFmtId="2" fontId="0" fillId="19" borderId="32" xfId="0" applyNumberFormat="1" applyFill="1" applyBorder="1" applyAlignment="1">
      <alignment horizontal="center" vertical="center" wrapText="1"/>
    </xf>
    <xf numFmtId="1" fontId="1" fillId="19" borderId="33" xfId="0" applyNumberFormat="1" applyFont="1" applyFill="1" applyBorder="1" applyAlignment="1">
      <alignment horizontal="center" vertical="center" wrapText="1"/>
    </xf>
    <xf numFmtId="0" fontId="4" fillId="19" borderId="34" xfId="0" applyFont="1" applyFill="1" applyBorder="1" applyAlignment="1">
      <alignment horizontal="center" vertical="center" wrapText="1"/>
    </xf>
    <xf numFmtId="1" fontId="1" fillId="19" borderId="35" xfId="0" applyNumberFormat="1" applyFont="1" applyFill="1" applyBorder="1" applyAlignment="1">
      <alignment horizontal="center" vertical="center" wrapText="1"/>
    </xf>
    <xf numFmtId="0" fontId="4" fillId="19" borderId="36" xfId="0" applyFont="1" applyFill="1" applyBorder="1" applyAlignment="1">
      <alignment horizontal="center" vertical="center" wrapText="1"/>
    </xf>
    <xf numFmtId="1" fontId="1" fillId="19" borderId="26" xfId="0" applyNumberFormat="1" applyFont="1" applyFill="1" applyBorder="1" applyAlignment="1">
      <alignment horizontal="center" vertical="center" wrapText="1"/>
    </xf>
    <xf numFmtId="165" fontId="0" fillId="28" borderId="0" xfId="0" applyNumberFormat="1" applyFill="1" applyBorder="1" applyAlignment="1">
      <alignment horizontal="center" vertical="center" wrapText="1"/>
    </xf>
    <xf numFmtId="165" fontId="0" fillId="29" borderId="0" xfId="0" applyNumberFormat="1" applyFill="1" applyBorder="1" applyAlignment="1">
      <alignment horizontal="center" vertical="center" wrapText="1"/>
    </xf>
    <xf numFmtId="165" fontId="0" fillId="30" borderId="0" xfId="0" applyNumberFormat="1" applyFill="1" applyBorder="1" applyAlignment="1">
      <alignment horizontal="center" vertical="center" wrapText="1"/>
    </xf>
    <xf numFmtId="165" fontId="0" fillId="31" borderId="3" xfId="0" applyNumberFormat="1" applyFill="1" applyBorder="1" applyAlignment="1">
      <alignment horizontal="center" vertical="center" wrapText="1"/>
    </xf>
    <xf numFmtId="1" fontId="0" fillId="19" borderId="20" xfId="0" applyNumberFormat="1" applyFill="1" applyBorder="1" applyAlignment="1">
      <alignment horizontal="center" vertical="center" wrapText="1"/>
    </xf>
    <xf numFmtId="166" fontId="0" fillId="19" borderId="19" xfId="0" applyNumberFormat="1" applyFill="1" applyBorder="1" applyAlignment="1">
      <alignment horizontal="center" vertical="center" wrapText="1"/>
    </xf>
    <xf numFmtId="0" fontId="0" fillId="32" borderId="0" xfId="0" applyFill="1"/>
    <xf numFmtId="165" fontId="0" fillId="33" borderId="0" xfId="0" applyNumberFormat="1" applyFill="1" applyBorder="1" applyAlignment="1">
      <alignment horizontal="center" vertical="center" wrapText="1"/>
    </xf>
    <xf numFmtId="2" fontId="0" fillId="33" borderId="0" xfId="0" applyNumberFormat="1" applyFill="1" applyBorder="1" applyAlignment="1">
      <alignment horizontal="center" vertical="center" wrapText="1"/>
    </xf>
    <xf numFmtId="0" fontId="0" fillId="19" borderId="0" xfId="0" applyFill="1" applyBorder="1" applyAlignment="1">
      <alignment horizontal="center" vertical="center" wrapText="1"/>
    </xf>
    <xf numFmtId="2" fontId="0" fillId="19" borderId="0" xfId="0" applyNumberFormat="1" applyFill="1" applyBorder="1" applyAlignment="1">
      <alignment horizontal="center" vertical="center" wrapText="1"/>
    </xf>
    <xf numFmtId="0" fontId="4" fillId="19" borderId="0" xfId="0" applyFont="1" applyFill="1" applyBorder="1" applyAlignment="1">
      <alignment horizontal="center" vertical="center" wrapText="1"/>
    </xf>
    <xf numFmtId="0" fontId="0" fillId="19" borderId="10" xfId="0" applyFill="1" applyBorder="1" applyAlignment="1">
      <alignment horizontal="center" vertical="center" wrapText="1"/>
    </xf>
    <xf numFmtId="0" fontId="0" fillId="19" borderId="5" xfId="0" applyFill="1" applyBorder="1" applyAlignment="1">
      <alignment horizontal="center" vertical="center" wrapText="1"/>
    </xf>
    <xf numFmtId="2" fontId="0" fillId="19" borderId="5" xfId="0" applyNumberFormat="1" applyFill="1" applyBorder="1" applyAlignment="1">
      <alignment horizontal="center" vertical="center" wrapText="1"/>
    </xf>
    <xf numFmtId="1" fontId="1" fillId="19" borderId="6" xfId="0" applyNumberFormat="1" applyFont="1" applyFill="1" applyBorder="1" applyAlignment="1">
      <alignment horizontal="center" vertical="center" wrapText="1"/>
    </xf>
    <xf numFmtId="0" fontId="4" fillId="19" borderId="14" xfId="0" applyFont="1" applyFill="1" applyBorder="1" applyAlignment="1">
      <alignment horizontal="center" vertical="center" wrapText="1"/>
    </xf>
    <xf numFmtId="0" fontId="4" fillId="19" borderId="11" xfId="0" applyFont="1" applyFill="1" applyBorder="1" applyAlignment="1">
      <alignment horizontal="center" vertical="center" wrapText="1"/>
    </xf>
    <xf numFmtId="0" fontId="0" fillId="19" borderId="3" xfId="0" applyFill="1" applyBorder="1" applyAlignment="1">
      <alignment horizontal="center" vertical="center" wrapText="1"/>
    </xf>
    <xf numFmtId="2" fontId="0" fillId="19" borderId="3" xfId="0" applyNumberFormat="1" applyFill="1" applyBorder="1" applyAlignment="1">
      <alignment horizontal="center" vertical="center" wrapText="1"/>
    </xf>
    <xf numFmtId="1" fontId="1" fillId="19" borderId="4" xfId="0" applyNumberFormat="1" applyFont="1" applyFill="1" applyBorder="1" applyAlignment="1">
      <alignment horizontal="center" vertical="center" wrapText="1"/>
    </xf>
    <xf numFmtId="0" fontId="4" fillId="19" borderId="3" xfId="0" applyFont="1" applyFill="1" applyBorder="1" applyAlignment="1">
      <alignment horizontal="center" vertical="center" wrapText="1"/>
    </xf>
    <xf numFmtId="1" fontId="8" fillId="20" borderId="11" xfId="0" applyNumberFormat="1" applyFont="1" applyFill="1" applyBorder="1" applyAlignment="1">
      <alignment horizontal="center" vertical="center" wrapText="1"/>
    </xf>
    <xf numFmtId="0" fontId="0" fillId="19" borderId="14" xfId="0" applyFill="1" applyBorder="1" applyAlignment="1">
      <alignment horizontal="center" vertical="center" wrapText="1"/>
    </xf>
    <xf numFmtId="0" fontId="0" fillId="19" borderId="11" xfId="0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0" fillId="19" borderId="15" xfId="0" applyFill="1" applyBorder="1" applyAlignment="1">
      <alignment horizontal="center" vertical="center" wrapText="1"/>
    </xf>
    <xf numFmtId="166" fontId="3" fillId="0" borderId="16" xfId="0" applyNumberFormat="1" applyFont="1" applyFill="1" applyBorder="1" applyAlignment="1">
      <alignment horizontal="center" vertical="center" wrapText="1"/>
    </xf>
    <xf numFmtId="0" fontId="4" fillId="19" borderId="16" xfId="0" applyFont="1" applyFill="1" applyBorder="1" applyAlignment="1">
      <alignment horizontal="center" vertical="center" wrapText="1"/>
    </xf>
    <xf numFmtId="164" fontId="0" fillId="19" borderId="16" xfId="0" applyNumberFormat="1" applyFill="1" applyBorder="1" applyAlignment="1">
      <alignment horizontal="center" vertical="center" wrapText="1"/>
    </xf>
    <xf numFmtId="1" fontId="0" fillId="19" borderId="17" xfId="0" applyNumberForma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C5E0B4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E699"/>
      <rgbColor rgb="FFB4C7E7"/>
      <rgbColor rgb="FFD9D9D9"/>
      <rgbColor rgb="FFD0CECE"/>
      <rgbColor rgb="FFF8CBAD"/>
      <rgbColor rgb="FF3366FF"/>
      <rgbColor rgb="FF33CCCC"/>
      <rgbColor rgb="FF99CC00"/>
      <rgbColor rgb="FFFFC000"/>
      <rgbColor rgb="FFFF9900"/>
      <rgbColor rgb="FFFF6600"/>
      <rgbColor rgb="FF595959"/>
      <rgbColor rgb="FFA5A5A5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BE9E5"/>
      <color rgb="FFFFEBFF"/>
      <color rgb="FFDCCBB2"/>
      <color rgb="FFCEB692"/>
      <color rgb="FFC0A072"/>
      <color rgb="FFFFCCFF"/>
      <color rgb="FFFFBDDE"/>
      <color rgb="FFFF97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Calib. 165º RBS1</a:t>
            </a:r>
          </a:p>
        </c:rich>
      </c:tx>
      <c:layout>
        <c:manualLayout>
          <c:xMode val="edge"/>
          <c:yMode val="edge"/>
          <c:x val="0.26869188317885218"/>
          <c:y val="2.6574027236285474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0.19145839297856351"/>
                  <c:y val="-0.20157916679962398"/>
                </c:manualLayout>
              </c:layout>
              <c:tx>
                <c:rich>
                  <a:bodyPr/>
                  <a:lstStyle/>
                  <a:p>
                    <a:pPr>
                      <a:defRPr sz="1600"/>
                    </a:pPr>
                    <a:r>
                      <a:rPr lang="en-US" sz="1800" b="1" i="0" baseline="0">
                        <a:solidFill>
                          <a:srgbClr val="FF0000"/>
                        </a:solidFill>
                      </a:rPr>
                      <a:t>y = 2,3656x + 86,245</a:t>
                    </a:r>
                    <a:br>
                      <a:rPr lang="en-US" sz="1800" b="1" i="0" baseline="0">
                        <a:solidFill>
                          <a:srgbClr val="FF0000"/>
                        </a:solidFill>
                      </a:rPr>
                    </a:br>
                    <a:r>
                      <a:rPr lang="en-US" sz="1100" baseline="0"/>
                      <a:t>R² = 0,9984</a:t>
                    </a:r>
                    <a:endParaRPr lang="en-US" sz="1100"/>
                  </a:p>
                </c:rich>
              </c:tx>
              <c:numFmt formatCode="General" sourceLinked="0"/>
              <c:spPr>
                <a:solidFill>
                  <a:srgbClr val="FFFF00"/>
                </a:solidFill>
              </c:spPr>
            </c:trendlineLbl>
          </c:trendline>
          <c:xVal>
            <c:numRef>
              <c:f>'Ta-Nb-V Calib - RBS1 - Protoes'!$H$4:$H$8</c:f>
              <c:numCache>
                <c:formatCode>General</c:formatCode>
                <c:ptCount val="5"/>
                <c:pt idx="0">
                  <c:v>627</c:v>
                </c:pt>
                <c:pt idx="1">
                  <c:v>694</c:v>
                </c:pt>
                <c:pt idx="2">
                  <c:v>747</c:v>
                </c:pt>
                <c:pt idx="3">
                  <c:v>774</c:v>
                </c:pt>
                <c:pt idx="4">
                  <c:v>792</c:v>
                </c:pt>
              </c:numCache>
            </c:numRef>
          </c:xVal>
          <c:yVal>
            <c:numRef>
              <c:f>'Ta-Nb-V Calib - RBS1 - Protoes'!$G$4:$G$8</c:f>
              <c:numCache>
                <c:formatCode>0.00</c:formatCode>
                <c:ptCount val="5"/>
                <c:pt idx="0">
                  <c:v>1563.7159776396684</c:v>
                </c:pt>
                <c:pt idx="1">
                  <c:v>1738.6148261306816</c:v>
                </c:pt>
                <c:pt idx="2">
                  <c:v>1851.4223731335767</c:v>
                </c:pt>
                <c:pt idx="3">
                  <c:v>1917.1213586935332</c:v>
                </c:pt>
                <c:pt idx="4">
                  <c:v>1957.0104259791678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5359408"/>
        <c:axId val="-1845014352"/>
      </c:scatterChart>
      <c:valAx>
        <c:axId val="-1845359408"/>
        <c:scaling>
          <c:orientation val="minMax"/>
          <c:min val="6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6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600" b="1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1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-1845014352"/>
        <c:crosses val="autoZero"/>
        <c:crossBetween val="midCat"/>
      </c:valAx>
      <c:valAx>
        <c:axId val="-18450143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6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600" b="1" strike="noStrike" spc="-1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1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-184535940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Calib. 140º</a:t>
            </a:r>
            <a:r>
              <a:rPr lang="pt-PT" sz="1400" b="0" strike="noStrike" spc="-1" baseline="0">
                <a:solidFill>
                  <a:srgbClr val="595959"/>
                </a:solidFill>
                <a:latin typeface="Calibri"/>
              </a:rPr>
              <a:t> RBS2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265033074751908"/>
          <c:y val="0.13165756541107876"/>
          <c:w val="0.72369462446600807"/>
          <c:h val="0.66569350625980506"/>
        </c:manualLayout>
      </c:layout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7.5452128948680586E-2"/>
                  <c:y val="-0.2054538482905524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600" b="1" baseline="0">
                        <a:solidFill>
                          <a:srgbClr val="FF0000"/>
                        </a:solidFill>
                      </a:rPr>
                      <a:t>y = 2,1773x + 89,918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0,9987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rgbClr val="FFFF00"/>
                </a:solidFill>
              </c:spPr>
            </c:trendlineLbl>
          </c:trendline>
          <c:xVal>
            <c:numRef>
              <c:f>'Ta-Nb-V Calib - RBS2'!$H$4:$H$8</c:f>
              <c:numCache>
                <c:formatCode>General</c:formatCode>
                <c:ptCount val="5"/>
                <c:pt idx="0">
                  <c:v>697</c:v>
                </c:pt>
                <c:pt idx="1">
                  <c:v>765</c:v>
                </c:pt>
                <c:pt idx="2">
                  <c:v>817</c:v>
                </c:pt>
                <c:pt idx="3">
                  <c:v>842</c:v>
                </c:pt>
                <c:pt idx="4">
                  <c:v>861</c:v>
                </c:pt>
              </c:numCache>
            </c:numRef>
          </c:xVal>
          <c:yVal>
            <c:numRef>
              <c:f>'Ta-Nb-V Calib - RBS2'!$G$4:$G$8</c:f>
              <c:numCache>
                <c:formatCode>0.00</c:formatCode>
                <c:ptCount val="5"/>
                <c:pt idx="0">
                  <c:v>1603.2996923913081</c:v>
                </c:pt>
                <c:pt idx="1">
                  <c:v>1763.5432180925407</c:v>
                </c:pt>
                <c:pt idx="2">
                  <c:v>1866.0090964170986</c:v>
                </c:pt>
                <c:pt idx="3">
                  <c:v>1925.3883807852114</c:v>
                </c:pt>
                <c:pt idx="4">
                  <c:v>1961.3387359138496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5019248"/>
        <c:axId val="-1601901856"/>
      </c:scatterChart>
      <c:valAx>
        <c:axId val="-1845019248"/>
        <c:scaling>
          <c:orientation val="minMax"/>
          <c:min val="6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6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600" b="1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1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-1601901856"/>
        <c:crosses val="autoZero"/>
        <c:crossBetween val="midCat"/>
      </c:valAx>
      <c:valAx>
        <c:axId val="-16019018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6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600" b="1" strike="noStrike" spc="-1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1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-184501924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Calib. 140º</a:t>
            </a:r>
            <a:r>
              <a:rPr lang="pt-PT" sz="1400" b="0" strike="noStrike" spc="-1" baseline="0">
                <a:solidFill>
                  <a:srgbClr val="595959"/>
                </a:solidFill>
                <a:latin typeface="Calibri"/>
              </a:rPr>
              <a:t> RBS2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265033074751908"/>
          <c:y val="0.13165756541107876"/>
          <c:w val="0.72369462446600807"/>
          <c:h val="0.66569350625980506"/>
        </c:manualLayout>
      </c:layout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0.12655132502784525"/>
                  <c:y val="-0.2058357191543809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800" b="1" baseline="0">
                        <a:solidFill>
                          <a:srgbClr val="FF0000"/>
                        </a:solidFill>
                      </a:rPr>
                      <a:t>y = 2,1773x + 89,918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0,9987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rgbClr val="FFFF00"/>
                </a:solidFill>
              </c:spPr>
            </c:trendlineLbl>
          </c:trendline>
          <c:xVal>
            <c:numRef>
              <c:f>'RBS2- MeanEnergyApprox'!$H$4:$H$8</c:f>
              <c:numCache>
                <c:formatCode>General</c:formatCode>
                <c:ptCount val="5"/>
                <c:pt idx="0">
                  <c:v>697</c:v>
                </c:pt>
                <c:pt idx="1">
                  <c:v>765</c:v>
                </c:pt>
                <c:pt idx="2">
                  <c:v>817</c:v>
                </c:pt>
                <c:pt idx="3">
                  <c:v>842</c:v>
                </c:pt>
                <c:pt idx="4">
                  <c:v>861</c:v>
                </c:pt>
              </c:numCache>
            </c:numRef>
          </c:xVal>
          <c:yVal>
            <c:numRef>
              <c:f>'RBS2- MeanEnergyApprox'!$G$4:$G$8</c:f>
              <c:numCache>
                <c:formatCode>0.00</c:formatCode>
                <c:ptCount val="5"/>
                <c:pt idx="0">
                  <c:v>1603.2996923913081</c:v>
                </c:pt>
                <c:pt idx="1">
                  <c:v>1763.5432180925407</c:v>
                </c:pt>
                <c:pt idx="2">
                  <c:v>1866.0090964170986</c:v>
                </c:pt>
                <c:pt idx="3">
                  <c:v>1925.3883807852114</c:v>
                </c:pt>
                <c:pt idx="4">
                  <c:v>1961.3387359138496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1908928"/>
        <c:axId val="-1601906752"/>
      </c:scatterChart>
      <c:valAx>
        <c:axId val="-1601908928"/>
        <c:scaling>
          <c:orientation val="minMax"/>
          <c:min val="6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6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600" b="1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1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-1601906752"/>
        <c:crosses val="autoZero"/>
        <c:crossBetween val="midCat"/>
      </c:valAx>
      <c:valAx>
        <c:axId val="-16019067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6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600" b="1" strike="noStrike" spc="-1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1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-160190892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Calib. 165º</a:t>
            </a:r>
            <a:r>
              <a:rPr lang="pt-PT" sz="1400" b="0" strike="noStrike" spc="-1" baseline="0">
                <a:solidFill>
                  <a:srgbClr val="595959"/>
                </a:solidFill>
                <a:latin typeface="Calibri"/>
              </a:rPr>
              <a:t> ERD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265033074751908"/>
          <c:y val="0.13165756541107876"/>
          <c:w val="0.72369462446600807"/>
          <c:h val="0.66569350625980506"/>
        </c:manualLayout>
      </c:layout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4.0843264032974627E-2"/>
                  <c:y val="-0.2137511698064647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800" b="1" baseline="0">
                        <a:solidFill>
                          <a:srgbClr val="FF0000"/>
                        </a:solidFill>
                      </a:rPr>
                      <a:t>y = 2,3486x - 1,3125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0,9991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rgbClr val="FFFF00"/>
                </a:solidFill>
              </c:spPr>
            </c:trendlineLbl>
          </c:trendline>
          <c:xVal>
            <c:numRef>
              <c:f>'Ta-Nb-V Calib - ERD'!$H$4:$H$8</c:f>
              <c:numCache>
                <c:formatCode>General</c:formatCode>
                <c:ptCount val="5"/>
                <c:pt idx="0">
                  <c:v>668</c:v>
                </c:pt>
                <c:pt idx="1">
                  <c:v>738</c:v>
                </c:pt>
                <c:pt idx="4">
                  <c:v>835</c:v>
                </c:pt>
              </c:numCache>
            </c:numRef>
          </c:xVal>
          <c:yVal>
            <c:numRef>
              <c:f>'Ta-Nb-V Calib - ERD'!$G$4:$G$8</c:f>
              <c:numCache>
                <c:formatCode>0.00</c:formatCode>
                <c:ptCount val="5"/>
                <c:pt idx="0">
                  <c:v>1563.7159776396684</c:v>
                </c:pt>
                <c:pt idx="1">
                  <c:v>1738.6148261306816</c:v>
                </c:pt>
                <c:pt idx="2">
                  <c:v>1851.4223731335767</c:v>
                </c:pt>
                <c:pt idx="3">
                  <c:v>1917.1213586935332</c:v>
                </c:pt>
                <c:pt idx="4">
                  <c:v>1957.0104259791678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1908384"/>
        <c:axId val="-1601906208"/>
      </c:scatterChart>
      <c:valAx>
        <c:axId val="-1601908384"/>
        <c:scaling>
          <c:orientation val="minMax"/>
          <c:min val="6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6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600" b="1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1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-1601906208"/>
        <c:crosses val="autoZero"/>
        <c:crossBetween val="midCat"/>
      </c:valAx>
      <c:valAx>
        <c:axId val="-16019062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6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600" b="1" strike="noStrike" spc="-1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1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-160190838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Calib. 165º</a:t>
            </a:r>
            <a:r>
              <a:rPr lang="pt-PT" sz="1400" b="0" strike="noStrike" spc="-1" baseline="0">
                <a:solidFill>
                  <a:srgbClr val="595959"/>
                </a:solidFill>
                <a:latin typeface="Calibri"/>
              </a:rPr>
              <a:t> ERD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265033074751908"/>
          <c:y val="0.13165756541107876"/>
          <c:w val="0.72369462446600807"/>
          <c:h val="0.66569350625980506"/>
        </c:manualLayout>
      </c:layout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xVal>
            <c:numRef>
              <c:f>uProbe_140º_protons_1.75MeV!$H$5:$H$9</c:f>
              <c:numCache>
                <c:formatCode>General</c:formatCode>
                <c:ptCount val="5"/>
              </c:numCache>
            </c:numRef>
          </c:xVal>
          <c:yVal>
            <c:numRef>
              <c:f>uProbe_140º_protons_1.75MeV!$G$5:$G$9</c:f>
              <c:numCache>
                <c:formatCode>0.00</c:formatCode>
                <c:ptCount val="5"/>
                <c:pt idx="0">
                  <c:v>1402.8872308423945</c:v>
                </c:pt>
                <c:pt idx="1">
                  <c:v>1543.1003158309729</c:v>
                </c:pt>
                <c:pt idx="2">
                  <c:v>1632.7579593649612</c:v>
                </c:pt>
                <c:pt idx="3">
                  <c:v>1684.7148331870601</c:v>
                </c:pt>
                <c:pt idx="4">
                  <c:v>1716.1713939246185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1907840"/>
        <c:axId val="-1601904032"/>
      </c:scatterChart>
      <c:valAx>
        <c:axId val="-1601907840"/>
        <c:scaling>
          <c:orientation val="minMax"/>
          <c:min val="6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6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600" b="1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1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-1601904032"/>
        <c:crosses val="autoZero"/>
        <c:crossBetween val="midCat"/>
      </c:valAx>
      <c:valAx>
        <c:axId val="-16019040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6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600" b="1" strike="noStrike" spc="-1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1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-160190784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193256</xdr:colOff>
      <xdr:row>12</xdr:row>
      <xdr:rowOff>161391</xdr:rowOff>
    </xdr:from>
    <xdr:to>
      <xdr:col>9</xdr:col>
      <xdr:colOff>239156</xdr:colOff>
      <xdr:row>29</xdr:row>
      <xdr:rowOff>75712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189675</xdr:colOff>
      <xdr:row>12</xdr:row>
      <xdr:rowOff>120157</xdr:rowOff>
    </xdr:from>
    <xdr:to>
      <xdr:col>9</xdr:col>
      <xdr:colOff>255649</xdr:colOff>
      <xdr:row>29</xdr:row>
      <xdr:rowOff>17985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189675</xdr:colOff>
      <xdr:row>12</xdr:row>
      <xdr:rowOff>120157</xdr:rowOff>
    </xdr:from>
    <xdr:to>
      <xdr:col>9</xdr:col>
      <xdr:colOff>255649</xdr:colOff>
      <xdr:row>29</xdr:row>
      <xdr:rowOff>34478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107208</xdr:colOff>
      <xdr:row>12</xdr:row>
      <xdr:rowOff>136651</xdr:rowOff>
    </xdr:from>
    <xdr:to>
      <xdr:col>9</xdr:col>
      <xdr:colOff>173182</xdr:colOff>
      <xdr:row>29</xdr:row>
      <xdr:rowOff>50972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107208</xdr:colOff>
      <xdr:row>12</xdr:row>
      <xdr:rowOff>136651</xdr:rowOff>
    </xdr:from>
    <xdr:to>
      <xdr:col>9</xdr:col>
      <xdr:colOff>173182</xdr:colOff>
      <xdr:row>29</xdr:row>
      <xdr:rowOff>50972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abSelected="1" topLeftCell="D16" zoomScale="77" zoomScaleNormal="77" workbookViewId="0">
      <selection activeCell="S40" sqref="S40"/>
    </sheetView>
  </sheetViews>
  <sheetFormatPr defaultColWidth="8.54296875" defaultRowHeight="14.5" x14ac:dyDescent="0.35"/>
  <cols>
    <col min="1" max="1" width="8.26953125" bestFit="1" customWidth="1"/>
    <col min="5" max="5" width="12.453125" customWidth="1"/>
    <col min="6" max="6" width="9.1796875" customWidth="1"/>
    <col min="7" max="7" width="12" bestFit="1" customWidth="1"/>
    <col min="10" max="10" width="15.453125" customWidth="1"/>
    <col min="11" max="11" width="7.26953125" bestFit="1" customWidth="1"/>
    <col min="12" max="13" width="8" bestFit="1" customWidth="1"/>
    <col min="14" max="14" width="7.7265625" bestFit="1" customWidth="1"/>
    <col min="15" max="15" width="8.7265625" customWidth="1"/>
    <col min="16" max="16" width="10" customWidth="1"/>
    <col min="17" max="17" width="7.6328125" bestFit="1" customWidth="1"/>
    <col min="18" max="18" width="24.7265625" bestFit="1" customWidth="1"/>
    <col min="19" max="19" width="8.54296875" bestFit="1" customWidth="1"/>
    <col min="20" max="20" width="6.7265625" bestFit="1" customWidth="1"/>
    <col min="22" max="22" width="8.453125" bestFit="1" customWidth="1"/>
    <col min="23" max="23" width="7.453125" bestFit="1" customWidth="1"/>
    <col min="24" max="24" width="8.1796875" customWidth="1"/>
    <col min="25" max="25" width="8" bestFit="1" customWidth="1"/>
    <col min="26" max="26" width="7.453125" bestFit="1" customWidth="1"/>
    <col min="27" max="27" width="7.7265625" bestFit="1" customWidth="1"/>
    <col min="28" max="29" width="15.26953125" bestFit="1" customWidth="1"/>
    <col min="30" max="31" width="19.7265625" bestFit="1" customWidth="1"/>
    <col min="32" max="32" width="8.54296875" bestFit="1" customWidth="1"/>
    <col min="33" max="33" width="5.26953125" bestFit="1" customWidth="1"/>
    <col min="34" max="35" width="7.453125" bestFit="1" customWidth="1"/>
    <col min="37" max="37" width="9.81640625" customWidth="1"/>
    <col min="38" max="39" width="7.36328125" bestFit="1" customWidth="1"/>
    <col min="40" max="40" width="7.26953125" bestFit="1" customWidth="1"/>
    <col min="41" max="42" width="14.36328125" bestFit="1" customWidth="1"/>
    <col min="43" max="43" width="20.1796875" customWidth="1"/>
    <col min="44" max="44" width="11.36328125" customWidth="1"/>
    <col min="45" max="45" width="7.81640625" bestFit="1" customWidth="1"/>
    <col min="46" max="46" width="6.1796875" bestFit="1" customWidth="1"/>
  </cols>
  <sheetData>
    <row r="1" spans="1:25" ht="21.5" thickBot="1" x14ac:dyDescent="0.4">
      <c r="A1" s="159" t="s">
        <v>1</v>
      </c>
      <c r="B1" s="160">
        <v>2000</v>
      </c>
      <c r="C1" s="161" t="s">
        <v>2</v>
      </c>
    </row>
    <row r="2" spans="1:25" ht="33" customHeight="1" thickBot="1" x14ac:dyDescent="0.4">
      <c r="A2" s="5" t="s">
        <v>3</v>
      </c>
      <c r="B2" s="6">
        <v>11.31</v>
      </c>
      <c r="C2" s="7" t="s">
        <v>4</v>
      </c>
      <c r="G2" s="8" t="s">
        <v>5</v>
      </c>
      <c r="L2" s="49" t="s">
        <v>25</v>
      </c>
      <c r="M2" s="50" t="s">
        <v>26</v>
      </c>
      <c r="N2" s="49" t="s">
        <v>27</v>
      </c>
      <c r="O2" s="50" t="s">
        <v>28</v>
      </c>
      <c r="P2" s="51" t="s">
        <v>29</v>
      </c>
    </row>
    <row r="3" spans="1:25" ht="44" thickBot="1" x14ac:dyDescent="0.4">
      <c r="C3" s="9" t="s">
        <v>6</v>
      </c>
      <c r="D3" s="10" t="s">
        <v>7</v>
      </c>
      <c r="E3" s="10" t="s">
        <v>8</v>
      </c>
      <c r="F3" s="10" t="s">
        <v>9</v>
      </c>
      <c r="G3" s="10" t="s">
        <v>10</v>
      </c>
      <c r="H3" s="11" t="s">
        <v>11</v>
      </c>
      <c r="L3" s="154">
        <v>45.37</v>
      </c>
      <c r="M3" s="155">
        <f t="shared" ref="M3" si="0">L3*$B$2/10</f>
        <v>51.313469999999995</v>
      </c>
      <c r="N3" s="156">
        <v>45.81</v>
      </c>
      <c r="O3" s="157">
        <f t="shared" ref="O3" si="1">N3*$B$2/10</f>
        <v>51.811110000000006</v>
      </c>
      <c r="P3" s="158">
        <f>(($F$9/COS(RADIANS(0))*M3)+(1/COS(RADIANS(15))*O3))</f>
        <v>103.98772071014974</v>
      </c>
      <c r="S3" s="17" t="s">
        <v>0</v>
      </c>
      <c r="T3" s="18"/>
      <c r="U3" s="19" t="s">
        <v>13</v>
      </c>
      <c r="V3" s="20"/>
      <c r="W3" s="19"/>
      <c r="X3" s="19" t="s">
        <v>14</v>
      </c>
      <c r="Y3" s="20"/>
    </row>
    <row r="4" spans="1:25" x14ac:dyDescent="0.35">
      <c r="C4" s="12" t="s">
        <v>12</v>
      </c>
      <c r="D4" s="13">
        <v>8</v>
      </c>
      <c r="E4" s="14">
        <v>15.999000000000001</v>
      </c>
      <c r="F4" s="15">
        <f t="shared" ref="F4:F12" si="2">((SQRT(1-(1/E4)^2*SIN(RADIANS(165))^2)+1/E4*COS(RADIANS(165)))/(1+1/E4))^2</f>
        <v>0.78185798881983415</v>
      </c>
      <c r="G4" s="16">
        <f>$B$1*F4</f>
        <v>1563.7159776396684</v>
      </c>
      <c r="H4" s="74">
        <v>627</v>
      </c>
      <c r="S4" s="94">
        <v>1</v>
      </c>
      <c r="T4" s="84">
        <f>O17</f>
        <v>1683.4141454829848</v>
      </c>
      <c r="U4" s="85" t="s">
        <v>16</v>
      </c>
      <c r="V4" s="86">
        <f>Q17</f>
        <v>45.950403988145929</v>
      </c>
      <c r="W4" s="28">
        <f>T4*344.092/0.30397*10^(-6)</f>
        <v>1.9056135149769096</v>
      </c>
      <c r="X4" s="26" t="s">
        <v>16</v>
      </c>
      <c r="Y4" s="29">
        <f>V4*344.092/0.30397*10^(-6)</f>
        <v>5.2015548932753584E-2</v>
      </c>
    </row>
    <row r="5" spans="1:25" x14ac:dyDescent="0.35">
      <c r="C5" s="21" t="s">
        <v>15</v>
      </c>
      <c r="D5" s="22">
        <v>14</v>
      </c>
      <c r="E5" s="23">
        <v>28.085000000000001</v>
      </c>
      <c r="F5" s="127">
        <f t="shared" si="2"/>
        <v>0.86930741306534087</v>
      </c>
      <c r="G5" s="24">
        <f>$B$1*F5</f>
        <v>1738.6148261306816</v>
      </c>
      <c r="H5" s="75">
        <v>694</v>
      </c>
      <c r="S5" s="94">
        <v>3</v>
      </c>
      <c r="T5" s="25">
        <f>O23</f>
        <v>1220.8544028052274</v>
      </c>
      <c r="U5" s="26" t="s">
        <v>16</v>
      </c>
      <c r="V5" s="27">
        <f>Q23</f>
        <v>19.33279634521584</v>
      </c>
      <c r="W5" s="28">
        <f t="shared" ref="W5:W6" si="3">T5*344.092/0.30397*10^(-6)</f>
        <v>1.3819989905913619</v>
      </c>
      <c r="X5" s="26" t="s">
        <v>16</v>
      </c>
      <c r="Y5" s="29">
        <f t="shared" ref="Y5:Y6" si="4">V5*344.092/0.30397*10^(-6)</f>
        <v>2.1884595716741808E-2</v>
      </c>
    </row>
    <row r="6" spans="1:25" x14ac:dyDescent="0.35">
      <c r="C6" s="30" t="s">
        <v>17</v>
      </c>
      <c r="D6" s="31">
        <v>23</v>
      </c>
      <c r="E6" s="32">
        <v>50.942</v>
      </c>
      <c r="F6" s="126">
        <f t="shared" si="2"/>
        <v>0.9257111865667883</v>
      </c>
      <c r="G6" s="33">
        <f>$B$1*F6</f>
        <v>1851.4223731335767</v>
      </c>
      <c r="H6" s="76">
        <v>747</v>
      </c>
      <c r="S6" s="94">
        <v>6</v>
      </c>
      <c r="T6" s="25">
        <f>O29</f>
        <v>1637.9164658753364</v>
      </c>
      <c r="U6" s="26" t="s">
        <v>16</v>
      </c>
      <c r="V6" s="27">
        <f>Q29</f>
        <v>56.872099509560258</v>
      </c>
      <c r="W6" s="28">
        <f t="shared" si="3"/>
        <v>1.8541104470045604</v>
      </c>
      <c r="X6" s="26" t="s">
        <v>16</v>
      </c>
      <c r="Y6" s="29">
        <f t="shared" si="4"/>
        <v>6.4378834965436088E-2</v>
      </c>
    </row>
    <row r="7" spans="1:25" x14ac:dyDescent="0.35">
      <c r="C7" s="34" t="s">
        <v>18</v>
      </c>
      <c r="D7" s="35">
        <v>41</v>
      </c>
      <c r="E7" s="36">
        <v>92.906000000000006</v>
      </c>
      <c r="F7" s="128">
        <f t="shared" si="2"/>
        <v>0.95856067934676659</v>
      </c>
      <c r="G7" s="37">
        <f>$B$1*F7</f>
        <v>1917.1213586935332</v>
      </c>
      <c r="H7" s="77">
        <v>774</v>
      </c>
      <c r="S7" s="94">
        <v>8</v>
      </c>
      <c r="T7" s="25">
        <f>O35</f>
        <v>894.78769895041535</v>
      </c>
      <c r="U7" s="26" t="s">
        <v>16</v>
      </c>
      <c r="V7" s="27">
        <f>Q35</f>
        <v>60.900078864292524</v>
      </c>
      <c r="W7" s="28">
        <f t="shared" ref="W7" si="5">T7*344.092/0.30397*10^(-6)</f>
        <v>1.0128936701228617</v>
      </c>
      <c r="X7" s="26" t="s">
        <v>16</v>
      </c>
      <c r="Y7" s="29">
        <f t="shared" ref="Y7" si="6">V7*344.092/0.30397*10^(-6)</f>
        <v>6.893848056246385E-2</v>
      </c>
    </row>
    <row r="8" spans="1:25" ht="15" thickBot="1" x14ac:dyDescent="0.4">
      <c r="C8" s="38" t="s">
        <v>19</v>
      </c>
      <c r="D8" s="39">
        <v>73</v>
      </c>
      <c r="E8" s="40">
        <v>180.95</v>
      </c>
      <c r="F8" s="129">
        <f t="shared" si="2"/>
        <v>0.97850521298958393</v>
      </c>
      <c r="G8" s="41">
        <f>$B$1*F8</f>
        <v>1957.0104259791678</v>
      </c>
      <c r="H8" s="78">
        <v>792</v>
      </c>
      <c r="I8" s="73"/>
      <c r="J8" s="42"/>
      <c r="S8" s="94">
        <v>7</v>
      </c>
      <c r="T8" s="95">
        <f>O41</f>
        <v>1493.8404804511172</v>
      </c>
      <c r="U8" s="26" t="s">
        <v>16</v>
      </c>
      <c r="V8" s="101">
        <f>Q41</f>
        <v>80.339878861380086</v>
      </c>
      <c r="W8" s="28">
        <f t="shared" ref="W8" si="7">T8*344.092/0.30397*10^(-6)</f>
        <v>1.6910173984254555</v>
      </c>
      <c r="X8" s="26" t="s">
        <v>16</v>
      </c>
      <c r="Y8" s="29">
        <f t="shared" ref="Y8" si="8">V8*344.092/0.30397*10^(-6)</f>
        <v>9.0944203695002765E-2</v>
      </c>
    </row>
    <row r="9" spans="1:25" ht="15" thickBot="1" x14ac:dyDescent="0.4">
      <c r="C9" s="43" t="s">
        <v>20</v>
      </c>
      <c r="D9" s="44">
        <v>82</v>
      </c>
      <c r="E9" s="44">
        <v>207.2</v>
      </c>
      <c r="F9" s="45">
        <f t="shared" si="2"/>
        <v>0.9812026480871997</v>
      </c>
      <c r="G9" s="46">
        <f t="shared" ref="G9:G12" si="9">$B$1*F9</f>
        <v>1962.4052961743994</v>
      </c>
      <c r="H9" s="47">
        <f>(G9-86.245)/2.3656</f>
        <v>793.10124119648253</v>
      </c>
      <c r="I9" s="73"/>
      <c r="S9" s="87"/>
      <c r="T9" s="96"/>
      <c r="U9" s="97"/>
      <c r="V9" s="98"/>
      <c r="W9" s="99"/>
      <c r="X9" s="97"/>
      <c r="Y9" s="100"/>
    </row>
    <row r="10" spans="1:25" ht="44" thickBot="1" x14ac:dyDescent="0.4">
      <c r="J10" s="1"/>
      <c r="K10" s="107" t="s">
        <v>21</v>
      </c>
      <c r="L10" s="151" t="s">
        <v>22</v>
      </c>
      <c r="M10" s="152" t="s">
        <v>23</v>
      </c>
      <c r="N10" s="153" t="s">
        <v>24</v>
      </c>
      <c r="O10" s="17" t="s">
        <v>30</v>
      </c>
      <c r="P10" s="53"/>
      <c r="Q10" s="54"/>
      <c r="R10" t="s">
        <v>38</v>
      </c>
      <c r="S10" t="s">
        <v>39</v>
      </c>
    </row>
    <row r="11" spans="1:25" ht="15" thickBot="1" x14ac:dyDescent="0.4">
      <c r="C11" s="82" t="s">
        <v>33</v>
      </c>
      <c r="D11" s="79">
        <v>17</v>
      </c>
      <c r="E11" s="79">
        <v>35.450000000000003</v>
      </c>
      <c r="F11" s="80">
        <f t="shared" si="2"/>
        <v>0.89499019427127813</v>
      </c>
      <c r="G11" s="81">
        <f t="shared" si="9"/>
        <v>1789.9803885425563</v>
      </c>
      <c r="H11" s="47">
        <f>(G11-86.245)/2.3656</f>
        <v>720.21279529191588</v>
      </c>
      <c r="K11" s="110">
        <v>26</v>
      </c>
      <c r="L11" s="138">
        <v>789</v>
      </c>
      <c r="M11" s="139">
        <v>711</v>
      </c>
      <c r="N11" s="140">
        <f>(L11-M11)*2.3656</f>
        <v>184.51680000000002</v>
      </c>
      <c r="O11" s="141">
        <f>N11*10^3/$P$3</f>
        <v>1774.4095046982814</v>
      </c>
      <c r="P11" s="61"/>
      <c r="Q11" s="62">
        <f t="shared" ref="Q11:Q16" si="10">($O$17-O11)^2</f>
        <v>8280.1553987208463</v>
      </c>
      <c r="S11">
        <f>R11*0.30397</f>
        <v>0</v>
      </c>
    </row>
    <row r="12" spans="1:25" ht="15" thickBot="1" x14ac:dyDescent="0.4">
      <c r="C12" s="82" t="s">
        <v>34</v>
      </c>
      <c r="D12" s="79">
        <v>29</v>
      </c>
      <c r="E12" s="79">
        <v>63.545999999999999</v>
      </c>
      <c r="F12" s="80">
        <f t="shared" si="2"/>
        <v>0.93999634329545045</v>
      </c>
      <c r="G12" s="81">
        <f t="shared" si="9"/>
        <v>1879.9926865909008</v>
      </c>
      <c r="H12" s="47">
        <f>(G12-86.245)/2.3656</f>
        <v>758.26331019229815</v>
      </c>
      <c r="K12" s="94">
        <v>28</v>
      </c>
      <c r="L12" s="149">
        <v>790</v>
      </c>
      <c r="M12" s="135">
        <v>712</v>
      </c>
      <c r="N12" s="136">
        <f t="shared" ref="N12:N16" si="11">(L12-M12)*2.3656</f>
        <v>184.51680000000002</v>
      </c>
      <c r="O12" s="91">
        <f t="shared" ref="O12:O16" si="12">N12*10^3/$P$3</f>
        <v>1774.4095046982814</v>
      </c>
      <c r="P12" s="61"/>
      <c r="Q12" s="62">
        <f t="shared" si="10"/>
        <v>8280.1553987208463</v>
      </c>
    </row>
    <row r="13" spans="1:25" x14ac:dyDescent="0.35">
      <c r="K13" s="94">
        <v>30</v>
      </c>
      <c r="L13" s="149">
        <v>790</v>
      </c>
      <c r="M13" s="135">
        <v>712</v>
      </c>
      <c r="N13" s="136">
        <f t="shared" si="11"/>
        <v>184.51680000000002</v>
      </c>
      <c r="O13" s="91">
        <f t="shared" si="12"/>
        <v>1774.4095046982814</v>
      </c>
      <c r="P13" s="61"/>
      <c r="Q13" s="62">
        <f t="shared" si="10"/>
        <v>8280.1553987208463</v>
      </c>
    </row>
    <row r="14" spans="1:25" x14ac:dyDescent="0.35">
      <c r="K14" s="94">
        <v>32</v>
      </c>
      <c r="L14" s="149">
        <v>790</v>
      </c>
      <c r="M14" s="135">
        <v>719</v>
      </c>
      <c r="N14" s="136">
        <f t="shared" si="11"/>
        <v>167.95760000000001</v>
      </c>
      <c r="O14" s="91">
        <f t="shared" si="12"/>
        <v>1615.1676260715124</v>
      </c>
      <c r="P14" s="61"/>
      <c r="Q14" s="62">
        <f t="shared" si="10"/>
        <v>4657.5874117804915</v>
      </c>
    </row>
    <row r="15" spans="1:25" x14ac:dyDescent="0.35">
      <c r="K15" s="94">
        <v>34</v>
      </c>
      <c r="L15" s="149">
        <v>790</v>
      </c>
      <c r="M15" s="135">
        <v>719</v>
      </c>
      <c r="N15" s="136">
        <f t="shared" si="11"/>
        <v>167.95760000000001</v>
      </c>
      <c r="O15" s="91">
        <f t="shared" si="12"/>
        <v>1615.1676260715124</v>
      </c>
      <c r="P15" s="61"/>
      <c r="Q15" s="62">
        <f t="shared" si="10"/>
        <v>4657.5874117804915</v>
      </c>
    </row>
    <row r="16" spans="1:25" ht="15" thickBot="1" x14ac:dyDescent="0.4">
      <c r="K16" s="111">
        <v>36</v>
      </c>
      <c r="L16" s="150">
        <v>790</v>
      </c>
      <c r="M16" s="144">
        <v>722</v>
      </c>
      <c r="N16" s="145">
        <f t="shared" si="11"/>
        <v>160.86080000000001</v>
      </c>
      <c r="O16" s="146">
        <f t="shared" si="12"/>
        <v>1546.9211066600401</v>
      </c>
      <c r="P16" s="61"/>
      <c r="Q16" s="62">
        <f t="shared" si="10"/>
        <v>18630.349647121904</v>
      </c>
    </row>
    <row r="17" spans="11:21" ht="15" thickBot="1" x14ac:dyDescent="0.4">
      <c r="L17" s="61"/>
      <c r="M17" s="61"/>
      <c r="N17" s="61"/>
      <c r="O17" s="148">
        <f>SUM(O11:O16)/6</f>
        <v>1683.4141454829848</v>
      </c>
      <c r="P17" s="66" t="s">
        <v>16</v>
      </c>
      <c r="Q17" s="67">
        <f>SQRT(SUM(Q11:Q16))/5</f>
        <v>45.950403988145929</v>
      </c>
      <c r="R17" s="61"/>
      <c r="S17" s="61"/>
    </row>
    <row r="18" spans="11:21" ht="15" thickBot="1" x14ac:dyDescent="0.4"/>
    <row r="19" spans="11:21" ht="44" thickBot="1" x14ac:dyDescent="0.4">
      <c r="K19" s="107" t="s">
        <v>35</v>
      </c>
      <c r="L19" s="151" t="s">
        <v>22</v>
      </c>
      <c r="M19" s="152" t="s">
        <v>23</v>
      </c>
      <c r="N19" s="153" t="s">
        <v>24</v>
      </c>
      <c r="O19" s="17" t="s">
        <v>30</v>
      </c>
      <c r="P19" s="106"/>
      <c r="Q19" s="54"/>
    </row>
    <row r="20" spans="11:21" x14ac:dyDescent="0.35">
      <c r="K20" s="110">
        <v>14</v>
      </c>
      <c r="L20" s="138">
        <v>792</v>
      </c>
      <c r="M20" s="139">
        <v>740</v>
      </c>
      <c r="N20" s="140">
        <f t="shared" ref="N20:N22" si="13">(L20-M20)*2.3656</f>
        <v>123.0112</v>
      </c>
      <c r="O20" s="141">
        <f t="shared" ref="O20:O22" si="14">N20*10^3/$P$3</f>
        <v>1182.9396697988541</v>
      </c>
      <c r="P20" s="61"/>
      <c r="Q20" s="62">
        <f>($O$23-O20)^2</f>
        <v>1437.526978944577</v>
      </c>
      <c r="R20">
        <v>3859</v>
      </c>
      <c r="S20" s="73">
        <f>R20*0.30397</f>
        <v>1173.0202300000001</v>
      </c>
    </row>
    <row r="21" spans="11:21" x14ac:dyDescent="0.35">
      <c r="K21" s="94">
        <v>20</v>
      </c>
      <c r="L21" s="142">
        <v>792</v>
      </c>
      <c r="M21" s="137">
        <v>738</v>
      </c>
      <c r="N21" s="136">
        <f t="shared" si="13"/>
        <v>127.7424</v>
      </c>
      <c r="O21" s="91">
        <f t="shared" si="14"/>
        <v>1228.4373494065023</v>
      </c>
      <c r="P21" s="61"/>
      <c r="Q21" s="62">
        <f>($O$23-O21)^2</f>
        <v>57.501079157786528</v>
      </c>
      <c r="R21">
        <v>4200</v>
      </c>
      <c r="S21" s="73">
        <f t="shared" ref="S21:S22" si="15">R21*0.30397</f>
        <v>1276.674</v>
      </c>
    </row>
    <row r="22" spans="11:21" ht="15" thickBot="1" x14ac:dyDescent="0.4">
      <c r="K22" s="111">
        <v>26</v>
      </c>
      <c r="L22" s="143">
        <v>793</v>
      </c>
      <c r="M22" s="147">
        <v>738</v>
      </c>
      <c r="N22" s="145">
        <f t="shared" si="13"/>
        <v>130.108</v>
      </c>
      <c r="O22" s="146">
        <f t="shared" si="14"/>
        <v>1251.1861892103263</v>
      </c>
      <c r="P22" s="61"/>
      <c r="Q22" s="62">
        <f>($O$23-O22)^2</f>
        <v>920.01726652454306</v>
      </c>
      <c r="R22">
        <v>4154</v>
      </c>
      <c r="S22" s="73">
        <f t="shared" si="15"/>
        <v>1262.69138</v>
      </c>
    </row>
    <row r="23" spans="11:21" ht="15" thickBot="1" x14ac:dyDescent="0.4">
      <c r="L23" s="61"/>
      <c r="M23" s="61"/>
      <c r="N23" s="61"/>
      <c r="O23" s="69">
        <f>SUM(O20:O22)/3</f>
        <v>1220.8544028052274</v>
      </c>
      <c r="P23" s="66" t="s">
        <v>16</v>
      </c>
      <c r="Q23" s="70">
        <f>SQRT(SUM(Q20:Q21))/2</f>
        <v>19.33279634521584</v>
      </c>
    </row>
    <row r="24" spans="11:21" ht="15" thickBot="1" x14ac:dyDescent="0.4">
      <c r="L24" s="61"/>
      <c r="M24" s="61"/>
      <c r="N24" s="61"/>
      <c r="O24" s="61"/>
      <c r="P24" s="61"/>
      <c r="Q24" s="61"/>
      <c r="R24" s="61"/>
      <c r="S24" s="61"/>
    </row>
    <row r="25" spans="11:21" ht="44" thickBot="1" x14ac:dyDescent="0.4">
      <c r="K25" s="107" t="s">
        <v>31</v>
      </c>
      <c r="L25" s="151" t="s">
        <v>22</v>
      </c>
      <c r="M25" s="152" t="s">
        <v>23</v>
      </c>
      <c r="N25" s="153" t="s">
        <v>24</v>
      </c>
      <c r="O25" s="17" t="s">
        <v>30</v>
      </c>
      <c r="P25" s="53"/>
      <c r="Q25" s="54"/>
      <c r="R25" s="61"/>
      <c r="S25" s="61"/>
      <c r="T25" s="61"/>
      <c r="U25" s="61"/>
    </row>
    <row r="26" spans="11:21" x14ac:dyDescent="0.35">
      <c r="K26" s="110">
        <v>52</v>
      </c>
      <c r="L26" s="138">
        <v>793</v>
      </c>
      <c r="M26" s="139">
        <v>726</v>
      </c>
      <c r="N26" s="140">
        <f t="shared" ref="N26:N28" si="16">(L26-M26)*2.3656</f>
        <v>158.49520000000001</v>
      </c>
      <c r="O26" s="141">
        <f t="shared" ref="O26:O28" si="17">N26*10^3/$P$3</f>
        <v>1524.1722668562159</v>
      </c>
      <c r="P26" s="61"/>
      <c r="Q26" s="62">
        <f>($O$29-O26)^2</f>
        <v>12937.742810501297</v>
      </c>
      <c r="S26">
        <v>1473</v>
      </c>
    </row>
    <row r="27" spans="11:21" x14ac:dyDescent="0.35">
      <c r="K27" s="94">
        <v>58</v>
      </c>
      <c r="L27" s="142">
        <v>792</v>
      </c>
      <c r="M27" s="137">
        <v>720</v>
      </c>
      <c r="N27" s="136">
        <f t="shared" si="16"/>
        <v>170.32320000000001</v>
      </c>
      <c r="O27" s="91">
        <f t="shared" si="17"/>
        <v>1637.9164658753366</v>
      </c>
      <c r="P27" s="61"/>
      <c r="Q27" s="62">
        <f>($O$29-O27)^2</f>
        <v>5.169878828456423E-26</v>
      </c>
      <c r="S27">
        <v>1598</v>
      </c>
    </row>
    <row r="28" spans="11:21" ht="15" thickBot="1" x14ac:dyDescent="0.4">
      <c r="K28" s="111">
        <v>63</v>
      </c>
      <c r="L28" s="143">
        <v>792</v>
      </c>
      <c r="M28" s="147">
        <v>715</v>
      </c>
      <c r="N28" s="145">
        <f t="shared" si="16"/>
        <v>182.15120000000002</v>
      </c>
      <c r="O28" s="146">
        <f t="shared" si="17"/>
        <v>1751.6606648944571</v>
      </c>
      <c r="P28" s="61"/>
      <c r="Q28" s="62">
        <f>($O$29-O28)^2</f>
        <v>12937.742810501348</v>
      </c>
      <c r="R28">
        <v>5886</v>
      </c>
      <c r="S28" s="73">
        <f>R28*0.30397</f>
        <v>1789.16742</v>
      </c>
    </row>
    <row r="29" spans="11:21" ht="15" thickBot="1" x14ac:dyDescent="0.4">
      <c r="L29" s="61"/>
      <c r="M29" s="61"/>
      <c r="N29" s="61"/>
      <c r="O29" s="69">
        <f>SUM(O26:O28)/3</f>
        <v>1637.9164658753364</v>
      </c>
      <c r="P29" s="66" t="s">
        <v>16</v>
      </c>
      <c r="Q29" s="70">
        <f>SQRT(SUM(Q26:Q27))/2</f>
        <v>56.872099509560258</v>
      </c>
    </row>
    <row r="30" spans="11:21" ht="15" thickBot="1" x14ac:dyDescent="0.4">
      <c r="R30" s="61"/>
      <c r="S30" s="61"/>
    </row>
    <row r="31" spans="11:21" ht="44" thickBot="1" x14ac:dyDescent="0.4">
      <c r="K31" s="107" t="s">
        <v>36</v>
      </c>
      <c r="L31" s="151" t="s">
        <v>22</v>
      </c>
      <c r="M31" s="152" t="s">
        <v>23</v>
      </c>
      <c r="N31" s="153" t="s">
        <v>24</v>
      </c>
      <c r="O31" s="17" t="s">
        <v>30</v>
      </c>
      <c r="P31" s="53"/>
      <c r="Q31" s="54"/>
    </row>
    <row r="32" spans="11:21" x14ac:dyDescent="0.35">
      <c r="K32" s="110">
        <v>63</v>
      </c>
      <c r="L32" s="138">
        <v>791</v>
      </c>
      <c r="M32" s="139">
        <v>756</v>
      </c>
      <c r="N32" s="140">
        <f t="shared" ref="N32:N34" si="18">(L32-M32)*2.3656</f>
        <v>82.796000000000006</v>
      </c>
      <c r="O32" s="141">
        <f t="shared" ref="O32:O34" si="19">N32*10^3/$P$3</f>
        <v>796.20939313384406</v>
      </c>
      <c r="P32" s="61"/>
      <c r="Q32" s="62">
        <f>($O$35-O32)^2</f>
        <v>9717.6823776654528</v>
      </c>
      <c r="R32">
        <v>2449</v>
      </c>
      <c r="S32" s="73">
        <f t="shared" ref="S32:S34" si="20">R32*0.30397</f>
        <v>744.42253000000005</v>
      </c>
    </row>
    <row r="33" spans="11:19" x14ac:dyDescent="0.35">
      <c r="K33" s="94">
        <v>58</v>
      </c>
      <c r="L33" s="142">
        <v>792</v>
      </c>
      <c r="M33" s="137">
        <v>750</v>
      </c>
      <c r="N33" s="136">
        <f t="shared" si="18"/>
        <v>99.355200000000011</v>
      </c>
      <c r="O33" s="91">
        <f t="shared" si="19"/>
        <v>955.45127176061305</v>
      </c>
      <c r="P33" s="61"/>
      <c r="Q33" s="62">
        <f>($O$35-O33)^2</f>
        <v>3680.0690660981586</v>
      </c>
      <c r="R33">
        <v>2717</v>
      </c>
      <c r="S33" s="73">
        <f t="shared" si="20"/>
        <v>825.88649000000009</v>
      </c>
    </row>
    <row r="34" spans="11:19" ht="15" thickBot="1" x14ac:dyDescent="0.4">
      <c r="K34" s="111">
        <v>52</v>
      </c>
      <c r="L34" s="143">
        <v>791</v>
      </c>
      <c r="M34" s="147">
        <v>750</v>
      </c>
      <c r="N34" s="145">
        <f t="shared" si="18"/>
        <v>96.98960000000001</v>
      </c>
      <c r="O34" s="146">
        <f t="shared" si="19"/>
        <v>932.70243195678881</v>
      </c>
      <c r="P34" s="61"/>
      <c r="Q34" s="62">
        <f>($O$35-O34)^2</f>
        <v>1437.5269789445856</v>
      </c>
      <c r="R34">
        <v>2785</v>
      </c>
      <c r="S34" s="73">
        <f t="shared" si="20"/>
        <v>846.55645000000004</v>
      </c>
    </row>
    <row r="35" spans="11:19" ht="15" thickBot="1" x14ac:dyDescent="0.4">
      <c r="L35" s="61"/>
      <c r="M35" s="61"/>
      <c r="N35" s="61"/>
      <c r="O35" s="69">
        <f>SUM(O32:O34)/3</f>
        <v>894.78769895041535</v>
      </c>
      <c r="P35" s="66" t="s">
        <v>16</v>
      </c>
      <c r="Q35" s="70">
        <f>SQRT(SUM(Q32:Q34))/2</f>
        <v>60.900078864292524</v>
      </c>
      <c r="R35" s="61"/>
      <c r="S35" s="61"/>
    </row>
    <row r="36" spans="11:19" ht="15" thickBot="1" x14ac:dyDescent="0.4">
      <c r="L36" s="61"/>
      <c r="M36" s="61"/>
      <c r="N36" s="61"/>
      <c r="O36" s="61"/>
      <c r="P36" s="61"/>
      <c r="Q36" s="63"/>
      <c r="R36" s="61"/>
      <c r="S36" s="61"/>
    </row>
    <row r="37" spans="11:19" ht="44" thickBot="1" x14ac:dyDescent="0.4">
      <c r="K37" s="107" t="s">
        <v>32</v>
      </c>
      <c r="L37" s="151" t="s">
        <v>22</v>
      </c>
      <c r="M37" s="152" t="s">
        <v>23</v>
      </c>
      <c r="N37" s="153" t="s">
        <v>24</v>
      </c>
      <c r="O37" s="17" t="s">
        <v>30</v>
      </c>
      <c r="P37" s="53"/>
      <c r="Q37" s="54"/>
    </row>
    <row r="38" spans="11:19" x14ac:dyDescent="0.35">
      <c r="K38" s="110">
        <v>26</v>
      </c>
      <c r="L38" s="138">
        <v>791</v>
      </c>
      <c r="M38" s="139">
        <v>732</v>
      </c>
      <c r="N38" s="140">
        <f t="shared" ref="N38:N40" si="21">(L38-M38)*2.3656</f>
        <v>139.57040000000001</v>
      </c>
      <c r="O38" s="141">
        <f t="shared" ref="O38:O40" si="22">N38*10^3/$P$3</f>
        <v>1342.1815484256229</v>
      </c>
      <c r="P38" s="61"/>
      <c r="Q38" s="62">
        <f>($O$41-O38)^2</f>
        <v>23000.431663113508</v>
      </c>
      <c r="S38" s="73"/>
    </row>
    <row r="39" spans="11:19" x14ac:dyDescent="0.35">
      <c r="K39" s="94">
        <v>20</v>
      </c>
      <c r="L39" s="142">
        <v>792</v>
      </c>
      <c r="M39" s="137">
        <v>724</v>
      </c>
      <c r="N39" s="136">
        <f t="shared" si="21"/>
        <v>160.86080000000001</v>
      </c>
      <c r="O39" s="91">
        <f t="shared" si="22"/>
        <v>1546.9211066600401</v>
      </c>
      <c r="P39" s="61"/>
      <c r="Q39" s="62">
        <f>($O$41-O39)^2</f>
        <v>2817.5528787313951</v>
      </c>
      <c r="S39" s="73">
        <f t="shared" ref="S38:S40" si="23">R39*0.30397</f>
        <v>0</v>
      </c>
    </row>
    <row r="40" spans="11:19" ht="15" thickBot="1" x14ac:dyDescent="0.4">
      <c r="K40" s="111">
        <v>14</v>
      </c>
      <c r="L40" s="143">
        <v>792</v>
      </c>
      <c r="M40" s="147">
        <v>722</v>
      </c>
      <c r="N40" s="145">
        <f t="shared" si="21"/>
        <v>165.59200000000001</v>
      </c>
      <c r="O40" s="146">
        <f t="shared" si="22"/>
        <v>1592.4187862676881</v>
      </c>
      <c r="P40" s="71"/>
      <c r="Q40" s="105">
        <f>($O$41-O40)^2</f>
        <v>9717.6823776653855</v>
      </c>
      <c r="R40">
        <v>4608</v>
      </c>
      <c r="S40" s="73">
        <f t="shared" si="23"/>
        <v>1400.6937600000001</v>
      </c>
    </row>
    <row r="41" spans="11:19" ht="15" thickBot="1" x14ac:dyDescent="0.4">
      <c r="L41" s="61"/>
      <c r="M41" s="61"/>
      <c r="N41" s="61"/>
      <c r="O41" s="69">
        <f>SUM(O38:O40)/3</f>
        <v>1493.8404804511172</v>
      </c>
      <c r="P41" s="103" t="s">
        <v>16</v>
      </c>
      <c r="Q41" s="104">
        <f>SQRT(SUM(Q38:Q39))/2</f>
        <v>80.339878861380086</v>
      </c>
      <c r="R41" s="61"/>
      <c r="S41" s="61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opLeftCell="A7" zoomScale="77" zoomScaleNormal="77" workbookViewId="0">
      <selection activeCell="R23" sqref="R23"/>
    </sheetView>
  </sheetViews>
  <sheetFormatPr defaultColWidth="8.54296875" defaultRowHeight="14.5" x14ac:dyDescent="0.35"/>
  <cols>
    <col min="1" max="1" width="8.26953125" bestFit="1" customWidth="1"/>
    <col min="5" max="5" width="12.453125" customWidth="1"/>
    <col min="6" max="6" width="9.1796875" customWidth="1"/>
    <col min="7" max="7" width="12" bestFit="1" customWidth="1"/>
    <col min="10" max="10" width="15.453125" customWidth="1"/>
    <col min="11" max="11" width="7.26953125" bestFit="1" customWidth="1"/>
    <col min="12" max="13" width="8" bestFit="1" customWidth="1"/>
    <col min="14" max="14" width="7.7265625" bestFit="1" customWidth="1"/>
    <col min="15" max="15" width="8.7265625" customWidth="1"/>
    <col min="16" max="16" width="10" customWidth="1"/>
    <col min="17" max="17" width="7.6328125" bestFit="1" customWidth="1"/>
    <col min="18" max="18" width="19.7265625" bestFit="1" customWidth="1"/>
    <col min="19" max="19" width="8.54296875" bestFit="1" customWidth="1"/>
    <col min="20" max="20" width="6.7265625" bestFit="1" customWidth="1"/>
    <col min="22" max="22" width="8.453125" bestFit="1" customWidth="1"/>
    <col min="23" max="23" width="7.453125" bestFit="1" customWidth="1"/>
    <col min="24" max="24" width="8.1796875" customWidth="1"/>
    <col min="25" max="25" width="8" bestFit="1" customWidth="1"/>
    <col min="26" max="26" width="7.453125" bestFit="1" customWidth="1"/>
    <col min="27" max="27" width="7.7265625" bestFit="1" customWidth="1"/>
    <col min="28" max="29" width="15.26953125" bestFit="1" customWidth="1"/>
    <col min="30" max="31" width="19.7265625" bestFit="1" customWidth="1"/>
    <col min="32" max="32" width="8.54296875" bestFit="1" customWidth="1"/>
    <col min="33" max="33" width="5.26953125" bestFit="1" customWidth="1"/>
    <col min="34" max="35" width="7.453125" bestFit="1" customWidth="1"/>
    <col min="37" max="37" width="9.81640625" customWidth="1"/>
    <col min="38" max="39" width="7.36328125" bestFit="1" customWidth="1"/>
    <col min="40" max="40" width="7.26953125" bestFit="1" customWidth="1"/>
    <col min="41" max="42" width="14.36328125" bestFit="1" customWidth="1"/>
    <col min="43" max="43" width="20.1796875" customWidth="1"/>
    <col min="44" max="44" width="11.36328125" customWidth="1"/>
    <col min="45" max="45" width="7.81640625" bestFit="1" customWidth="1"/>
    <col min="46" max="46" width="6.1796875" bestFit="1" customWidth="1"/>
  </cols>
  <sheetData>
    <row r="1" spans="1:25" ht="15" thickBot="1" x14ac:dyDescent="0.4">
      <c r="A1" s="2" t="s">
        <v>1</v>
      </c>
      <c r="B1" s="3">
        <v>2000</v>
      </c>
      <c r="C1" s="4" t="s">
        <v>2</v>
      </c>
    </row>
    <row r="2" spans="1:25" ht="33" customHeight="1" thickBot="1" x14ac:dyDescent="0.4">
      <c r="A2" s="5" t="s">
        <v>3</v>
      </c>
      <c r="B2" s="6">
        <v>11.31</v>
      </c>
      <c r="C2" s="7" t="s">
        <v>4</v>
      </c>
      <c r="G2" s="8" t="s">
        <v>5</v>
      </c>
      <c r="L2" s="49" t="s">
        <v>25</v>
      </c>
      <c r="M2" s="50" t="s">
        <v>26</v>
      </c>
      <c r="N2" s="49" t="s">
        <v>27</v>
      </c>
      <c r="O2" s="50" t="s">
        <v>28</v>
      </c>
      <c r="P2" s="51" t="s">
        <v>29</v>
      </c>
    </row>
    <row r="3" spans="1:25" ht="44" thickBot="1" x14ac:dyDescent="0.4">
      <c r="C3" s="9" t="s">
        <v>6</v>
      </c>
      <c r="D3" s="10" t="s">
        <v>7</v>
      </c>
      <c r="E3" s="10" t="s">
        <v>8</v>
      </c>
      <c r="F3" s="10" t="s">
        <v>9</v>
      </c>
      <c r="G3" s="10" t="s">
        <v>10</v>
      </c>
      <c r="H3" s="11" t="s">
        <v>11</v>
      </c>
      <c r="L3" s="57">
        <v>45.37</v>
      </c>
      <c r="M3" s="102">
        <f t="shared" ref="M3" si="0">L3*$B$2/10</f>
        <v>51.313469999999995</v>
      </c>
      <c r="N3" s="72">
        <v>45.77</v>
      </c>
      <c r="O3" s="83">
        <f t="shared" ref="O3" si="1">N3*$B$2/10</f>
        <v>51.765870000000007</v>
      </c>
      <c r="P3" s="130">
        <f>(($F$9/COS(RADIANS(0))*M3)+(1/COS(RADIANS(40))*O3))</f>
        <v>118.02169175908247</v>
      </c>
      <c r="S3" s="17" t="s">
        <v>0</v>
      </c>
      <c r="T3" s="18"/>
      <c r="U3" s="19" t="s">
        <v>13</v>
      </c>
      <c r="V3" s="20"/>
      <c r="W3" s="19"/>
      <c r="X3" s="19" t="s">
        <v>14</v>
      </c>
      <c r="Y3" s="20"/>
    </row>
    <row r="4" spans="1:25" x14ac:dyDescent="0.35">
      <c r="C4" s="12" t="s">
        <v>12</v>
      </c>
      <c r="D4" s="13">
        <v>8</v>
      </c>
      <c r="E4" s="14">
        <v>15.999000000000001</v>
      </c>
      <c r="F4" s="15">
        <f>((SQRT(1-(1/E4)^2*SIN(RADIANS(140))^2)+1/E4*COS(RADIANS(140)))/(1+1/E4))^2</f>
        <v>0.80164984619565405</v>
      </c>
      <c r="G4" s="16">
        <f>$B$1*F4</f>
        <v>1603.2996923913081</v>
      </c>
      <c r="H4" s="74">
        <v>697</v>
      </c>
      <c r="S4" s="94">
        <v>1</v>
      </c>
      <c r="T4" s="84">
        <f>O17</f>
        <v>0</v>
      </c>
      <c r="U4" s="85" t="s">
        <v>16</v>
      </c>
      <c r="V4" s="86">
        <f>Q17</f>
        <v>0</v>
      </c>
      <c r="W4" s="28">
        <f>T4*344.092/0.30397*10^(-6)</f>
        <v>0</v>
      </c>
      <c r="X4" s="26" t="s">
        <v>16</v>
      </c>
      <c r="Y4" s="29">
        <f>V4*344.092/0.30397*10^(-6)</f>
        <v>0</v>
      </c>
    </row>
    <row r="5" spans="1:25" x14ac:dyDescent="0.35">
      <c r="C5" s="21" t="s">
        <v>15</v>
      </c>
      <c r="D5" s="22">
        <v>14</v>
      </c>
      <c r="E5" s="23">
        <v>28.085000000000001</v>
      </c>
      <c r="F5" s="127">
        <f t="shared" ref="F5:F8" si="2">((SQRT(1-(1/E5)^2*SIN(RADIANS(140))^2)+1/E5*COS(RADIANS(140)))/(1+1/E5))^2</f>
        <v>0.88177160904627028</v>
      </c>
      <c r="G5" s="24">
        <f>$B$1*F5</f>
        <v>1763.5432180925407</v>
      </c>
      <c r="H5" s="75">
        <v>765</v>
      </c>
      <c r="S5" s="94">
        <v>3</v>
      </c>
      <c r="T5" s="25">
        <f>O23</f>
        <v>0</v>
      </c>
      <c r="U5" s="26" t="s">
        <v>16</v>
      </c>
      <c r="V5" s="27">
        <f>Q23</f>
        <v>0</v>
      </c>
      <c r="W5" s="28">
        <f t="shared" ref="W5:W8" si="3">T5*344.092/0.30397*10^(-6)</f>
        <v>0</v>
      </c>
      <c r="X5" s="26" t="s">
        <v>16</v>
      </c>
      <c r="Y5" s="29">
        <f t="shared" ref="Y5:Y8" si="4">V5*344.092/0.30397*10^(-6)</f>
        <v>0</v>
      </c>
    </row>
    <row r="6" spans="1:25" x14ac:dyDescent="0.35">
      <c r="C6" s="30" t="s">
        <v>17</v>
      </c>
      <c r="D6" s="31">
        <v>23</v>
      </c>
      <c r="E6" s="32">
        <v>50.942</v>
      </c>
      <c r="F6" s="126">
        <f t="shared" si="2"/>
        <v>0.93300454820854928</v>
      </c>
      <c r="G6" s="33">
        <f>$B$1*F6</f>
        <v>1866.0090964170986</v>
      </c>
      <c r="H6" s="76">
        <v>817</v>
      </c>
      <c r="S6" s="94">
        <v>6</v>
      </c>
      <c r="T6" s="25">
        <f>O29</f>
        <v>1365.1744657998499</v>
      </c>
      <c r="U6" s="26" t="s">
        <v>16</v>
      </c>
      <c r="V6" s="27">
        <f>Q29</f>
        <v>70.249047171963554</v>
      </c>
      <c r="W6" s="28">
        <f t="shared" si="3"/>
        <v>1.5453683333421124</v>
      </c>
      <c r="X6" s="26" t="s">
        <v>16</v>
      </c>
      <c r="Y6" s="29">
        <f t="shared" si="4"/>
        <v>7.9521449944057909E-2</v>
      </c>
    </row>
    <row r="7" spans="1:25" x14ac:dyDescent="0.35">
      <c r="C7" s="34" t="s">
        <v>18</v>
      </c>
      <c r="D7" s="35">
        <v>41</v>
      </c>
      <c r="E7" s="36">
        <v>92.906000000000006</v>
      </c>
      <c r="F7" s="128">
        <f t="shared" si="2"/>
        <v>0.96269419039260573</v>
      </c>
      <c r="G7" s="37">
        <f>$B$1*F7</f>
        <v>1925.3883807852114</v>
      </c>
      <c r="H7" s="77">
        <v>842</v>
      </c>
      <c r="S7" s="94">
        <v>8</v>
      </c>
      <c r="T7" s="25">
        <f>O35</f>
        <v>768.67931632874445</v>
      </c>
      <c r="U7" s="26" t="s">
        <v>16</v>
      </c>
      <c r="V7" s="27">
        <f>Q35</f>
        <v>30.125953613389484</v>
      </c>
      <c r="W7" s="28">
        <f t="shared" si="3"/>
        <v>0.87013982733227069</v>
      </c>
      <c r="X7" s="26" t="s">
        <v>16</v>
      </c>
      <c r="Y7" s="29">
        <f t="shared" si="4"/>
        <v>3.4102377309400307E-2</v>
      </c>
    </row>
    <row r="8" spans="1:25" ht="15" thickBot="1" x14ac:dyDescent="0.4">
      <c r="C8" s="38" t="s">
        <v>19</v>
      </c>
      <c r="D8" s="39">
        <v>73</v>
      </c>
      <c r="E8" s="40">
        <v>180.95</v>
      </c>
      <c r="F8" s="129">
        <f t="shared" si="2"/>
        <v>0.98066936795692483</v>
      </c>
      <c r="G8" s="41">
        <f>$B$1*F8</f>
        <v>1961.3387359138496</v>
      </c>
      <c r="H8" s="78">
        <v>861</v>
      </c>
      <c r="I8" s="73"/>
      <c r="J8" s="42"/>
      <c r="S8" s="94">
        <v>7</v>
      </c>
      <c r="T8" s="95">
        <f>O41</f>
        <v>1340.5767276773302</v>
      </c>
      <c r="U8" s="26" t="s">
        <v>16</v>
      </c>
      <c r="V8" s="101">
        <f>Q41</f>
        <v>33.115718418126221</v>
      </c>
      <c r="W8" s="28">
        <f t="shared" si="3"/>
        <v>1.5175238588674798</v>
      </c>
      <c r="X8" s="26" t="s">
        <v>16</v>
      </c>
      <c r="Y8" s="29">
        <f t="shared" si="4"/>
        <v>3.748677100348681E-2</v>
      </c>
    </row>
    <row r="9" spans="1:25" ht="15" thickBot="1" x14ac:dyDescent="0.4">
      <c r="C9" s="43" t="s">
        <v>20</v>
      </c>
      <c r="D9" s="44">
        <v>82</v>
      </c>
      <c r="E9" s="44">
        <v>207.2</v>
      </c>
      <c r="F9" s="45">
        <f>((SQRT(1-(1/E9)^2*SIN(RADIANS(140))^2)+1/E9*COS(RADIANS(140)))/(1+1/E9))^2</f>
        <v>0.98309757111447271</v>
      </c>
      <c r="G9" s="46">
        <f t="shared" ref="G9:G12" si="5">$B$1*F9</f>
        <v>1966.1951422289453</v>
      </c>
      <c r="H9" s="47"/>
      <c r="I9" s="73"/>
      <c r="S9" s="87"/>
      <c r="T9" s="96"/>
      <c r="U9" s="97"/>
      <c r="V9" s="98"/>
      <c r="W9" s="99"/>
      <c r="X9" s="97"/>
      <c r="Y9" s="100"/>
    </row>
    <row r="10" spans="1:25" ht="44" thickBot="1" x14ac:dyDescent="0.4">
      <c r="J10" s="1"/>
      <c r="K10" s="107" t="s">
        <v>21</v>
      </c>
      <c r="L10" s="48" t="s">
        <v>22</v>
      </c>
      <c r="M10" s="49" t="s">
        <v>23</v>
      </c>
      <c r="N10" s="50" t="s">
        <v>24</v>
      </c>
      <c r="O10" s="52" t="s">
        <v>30</v>
      </c>
      <c r="P10" s="53"/>
      <c r="Q10" s="54"/>
    </row>
    <row r="11" spans="1:25" ht="15" thickBot="1" x14ac:dyDescent="0.4">
      <c r="C11" s="82" t="s">
        <v>33</v>
      </c>
      <c r="D11" s="79">
        <v>17</v>
      </c>
      <c r="E11" s="79">
        <v>35.450000000000003</v>
      </c>
      <c r="F11" s="80">
        <f>((SQRT(1-(1/E11)^2*SIN(RADIANS(140))^2)+1/E11*COS(RADIANS(140)))/(1+1/E11))^2</f>
        <v>0.90514094793261168</v>
      </c>
      <c r="G11" s="81">
        <f t="shared" si="5"/>
        <v>1810.2818958652233</v>
      </c>
      <c r="H11" s="47"/>
      <c r="K11" s="55">
        <v>26</v>
      </c>
      <c r="L11" s="56"/>
      <c r="M11" s="57"/>
      <c r="N11" s="58"/>
      <c r="O11" s="60">
        <f>N11*10^3/$P$3</f>
        <v>0</v>
      </c>
      <c r="P11" s="61"/>
      <c r="Q11" s="62">
        <f t="shared" ref="Q11:Q16" si="6">($O$17-O11)^2</f>
        <v>0</v>
      </c>
    </row>
    <row r="12" spans="1:25" ht="15" thickBot="1" x14ac:dyDescent="0.4">
      <c r="C12" s="82" t="s">
        <v>34</v>
      </c>
      <c r="D12" s="79">
        <v>29</v>
      </c>
      <c r="E12" s="79">
        <v>63.545999999999999</v>
      </c>
      <c r="F12" s="80">
        <f>((SQRT(1-(1/E12)^2*SIN(RADIANS(140))^2)+1/E12*COS(RADIANS(140)))/(1+1/E12))^2</f>
        <v>0.94592860593148631</v>
      </c>
      <c r="G12" s="81">
        <f t="shared" si="5"/>
        <v>1891.8572118629727</v>
      </c>
      <c r="H12" s="47"/>
      <c r="K12" s="108">
        <v>28</v>
      </c>
      <c r="L12" s="56"/>
      <c r="M12" s="57"/>
      <c r="N12" s="58"/>
      <c r="O12" s="60">
        <f t="shared" ref="O12:O16" si="7">N12*10^3/$P$3</f>
        <v>0</v>
      </c>
      <c r="P12" s="61"/>
      <c r="Q12" s="62">
        <f t="shared" si="6"/>
        <v>0</v>
      </c>
    </row>
    <row r="13" spans="1:25" x14ac:dyDescent="0.35">
      <c r="K13" s="108">
        <v>30</v>
      </c>
      <c r="L13" s="56"/>
      <c r="M13" s="57"/>
      <c r="N13" s="58"/>
      <c r="O13" s="60">
        <f t="shared" si="7"/>
        <v>0</v>
      </c>
      <c r="P13" s="61"/>
      <c r="Q13" s="62">
        <f t="shared" si="6"/>
        <v>0</v>
      </c>
    </row>
    <row r="14" spans="1:25" x14ac:dyDescent="0.35">
      <c r="K14" s="108">
        <v>32</v>
      </c>
      <c r="L14" s="56"/>
      <c r="M14" s="57"/>
      <c r="N14" s="58"/>
      <c r="O14" s="60">
        <f t="shared" si="7"/>
        <v>0</v>
      </c>
      <c r="P14" s="61"/>
      <c r="Q14" s="62">
        <f t="shared" si="6"/>
        <v>0</v>
      </c>
    </row>
    <row r="15" spans="1:25" x14ac:dyDescent="0.35">
      <c r="K15" s="108">
        <v>34</v>
      </c>
      <c r="L15" s="88"/>
      <c r="M15" s="89"/>
      <c r="N15" s="90"/>
      <c r="O15" s="60">
        <f t="shared" si="7"/>
        <v>0</v>
      </c>
      <c r="P15" s="61"/>
      <c r="Q15" s="62">
        <f t="shared" si="6"/>
        <v>0</v>
      </c>
    </row>
    <row r="16" spans="1:25" ht="15" thickBot="1" x14ac:dyDescent="0.4">
      <c r="K16" s="64">
        <v>36</v>
      </c>
      <c r="L16" s="92"/>
      <c r="M16" s="65"/>
      <c r="N16" s="93"/>
      <c r="O16" s="91">
        <f t="shared" si="7"/>
        <v>0</v>
      </c>
      <c r="P16" s="61"/>
      <c r="Q16" s="62">
        <f t="shared" si="6"/>
        <v>0</v>
      </c>
    </row>
    <row r="17" spans="11:21" ht="15" thickBot="1" x14ac:dyDescent="0.4">
      <c r="L17" s="61"/>
      <c r="M17" s="61"/>
      <c r="N17" s="61"/>
      <c r="O17" s="109">
        <f>SUM(O11:O16)/6</f>
        <v>0</v>
      </c>
      <c r="P17" s="66" t="s">
        <v>16</v>
      </c>
      <c r="Q17" s="67">
        <f>SQRT(SUM(Q11:Q16))/5</f>
        <v>0</v>
      </c>
      <c r="R17" s="61"/>
      <c r="S17" s="61"/>
    </row>
    <row r="18" spans="11:21" ht="15" thickBot="1" x14ac:dyDescent="0.4"/>
    <row r="19" spans="11:21" ht="44" thickBot="1" x14ac:dyDescent="0.4">
      <c r="K19" s="107" t="s">
        <v>35</v>
      </c>
      <c r="L19" s="112" t="s">
        <v>22</v>
      </c>
      <c r="M19" s="113" t="s">
        <v>23</v>
      </c>
      <c r="N19" s="114" t="s">
        <v>24</v>
      </c>
      <c r="O19" s="115" t="s">
        <v>30</v>
      </c>
      <c r="P19" s="106"/>
      <c r="Q19" s="54"/>
    </row>
    <row r="20" spans="11:21" x14ac:dyDescent="0.35">
      <c r="K20" s="110">
        <v>14</v>
      </c>
      <c r="L20" s="118"/>
      <c r="M20" s="119"/>
      <c r="N20" s="120"/>
      <c r="O20" s="121">
        <f t="shared" ref="O20:O22" si="8">N20*10^3/$P$3</f>
        <v>0</v>
      </c>
      <c r="P20" s="61"/>
      <c r="Q20" s="62">
        <f>($O$23-O20)^2</f>
        <v>0</v>
      </c>
      <c r="R20">
        <v>3381</v>
      </c>
      <c r="S20" s="73">
        <f t="shared" ref="S20:S22" si="9">R20*0.30397</f>
        <v>1027.7225700000001</v>
      </c>
    </row>
    <row r="21" spans="11:21" x14ac:dyDescent="0.35">
      <c r="K21" s="94">
        <v>20</v>
      </c>
      <c r="L21" s="122"/>
      <c r="M21" s="117"/>
      <c r="N21" s="116"/>
      <c r="O21" s="123">
        <f t="shared" si="8"/>
        <v>0</v>
      </c>
      <c r="P21" s="61"/>
      <c r="Q21" s="62">
        <f>($O$23-O21)^2</f>
        <v>0</v>
      </c>
      <c r="R21">
        <v>3672</v>
      </c>
      <c r="S21" s="73">
        <f t="shared" si="9"/>
        <v>1116.1778400000001</v>
      </c>
    </row>
    <row r="22" spans="11:21" ht="15" thickBot="1" x14ac:dyDescent="0.4">
      <c r="K22" s="111">
        <v>26</v>
      </c>
      <c r="L22" s="124"/>
      <c r="M22" s="68"/>
      <c r="N22" s="93"/>
      <c r="O22" s="125">
        <f t="shared" si="8"/>
        <v>0</v>
      </c>
      <c r="P22" s="61"/>
      <c r="Q22" s="62">
        <f>($O$23-O22)^2</f>
        <v>0</v>
      </c>
      <c r="R22">
        <v>3695</v>
      </c>
      <c r="S22" s="73">
        <f t="shared" si="9"/>
        <v>1123.1691500000002</v>
      </c>
    </row>
    <row r="23" spans="11:21" ht="15" thickBot="1" x14ac:dyDescent="0.4">
      <c r="L23" s="61"/>
      <c r="M23" s="61"/>
      <c r="N23" s="61"/>
      <c r="O23" s="69">
        <f>SUM(O20:O22)/3</f>
        <v>0</v>
      </c>
      <c r="P23" s="66" t="s">
        <v>16</v>
      </c>
      <c r="Q23" s="70">
        <f>SQRT(SUM(Q20:Q21))/2</f>
        <v>0</v>
      </c>
    </row>
    <row r="24" spans="11:21" ht="15" thickBot="1" x14ac:dyDescent="0.4">
      <c r="L24" s="61"/>
      <c r="M24" s="61"/>
      <c r="N24" s="61"/>
      <c r="O24" s="61"/>
      <c r="P24" s="61"/>
      <c r="Q24" s="61"/>
      <c r="R24" s="61"/>
      <c r="S24" s="61"/>
    </row>
    <row r="25" spans="11:21" ht="44" thickBot="1" x14ac:dyDescent="0.4">
      <c r="K25" s="107" t="s">
        <v>31</v>
      </c>
      <c r="L25" s="112" t="s">
        <v>22</v>
      </c>
      <c r="M25" s="113" t="s">
        <v>23</v>
      </c>
      <c r="N25" s="114" t="s">
        <v>24</v>
      </c>
      <c r="O25" s="115" t="s">
        <v>30</v>
      </c>
      <c r="P25" s="106"/>
      <c r="Q25" s="54"/>
      <c r="R25" s="61"/>
      <c r="S25" s="61"/>
      <c r="T25" s="61"/>
      <c r="U25" s="61"/>
    </row>
    <row r="26" spans="11:21" ht="15" thickBot="1" x14ac:dyDescent="0.4">
      <c r="K26" s="110">
        <v>52</v>
      </c>
      <c r="L26" s="118">
        <v>856</v>
      </c>
      <c r="M26" s="119">
        <v>789</v>
      </c>
      <c r="N26" s="93">
        <f t="shared" ref="N26:N28" si="10">(L26-M26)*2.1773</f>
        <v>145.87909999999999</v>
      </c>
      <c r="O26" s="121">
        <f t="shared" ref="O26:O28" si="11">N26*10^3/$P$3</f>
        <v>1236.0363406566212</v>
      </c>
      <c r="P26" s="61"/>
      <c r="Q26" s="62">
        <f>($O$29-O26)^2</f>
        <v>16676.655365508213</v>
      </c>
      <c r="R26">
        <v>4267</v>
      </c>
      <c r="S26" s="73">
        <f>R26*0.30397</f>
        <v>1297.03999</v>
      </c>
    </row>
    <row r="27" spans="11:21" ht="15" thickBot="1" x14ac:dyDescent="0.4">
      <c r="K27" s="94">
        <v>58</v>
      </c>
      <c r="L27" s="122">
        <v>858</v>
      </c>
      <c r="M27" s="117">
        <v>781</v>
      </c>
      <c r="N27" s="93">
        <f t="shared" si="10"/>
        <v>167.65209999999999</v>
      </c>
      <c r="O27" s="123">
        <f t="shared" si="11"/>
        <v>1420.5193765755196</v>
      </c>
      <c r="P27" s="61"/>
      <c r="Q27" s="62">
        <f>($O$29-O27)^2</f>
        <v>3063.0591487668325</v>
      </c>
      <c r="R27">
        <v>4700</v>
      </c>
      <c r="S27" s="73">
        <f>R27*0.30397</f>
        <v>1428.6590000000001</v>
      </c>
    </row>
    <row r="28" spans="11:21" ht="15" thickBot="1" x14ac:dyDescent="0.4">
      <c r="K28" s="111">
        <v>63</v>
      </c>
      <c r="L28" s="124">
        <v>856</v>
      </c>
      <c r="M28" s="68">
        <v>778</v>
      </c>
      <c r="N28" s="93">
        <f t="shared" si="10"/>
        <v>169.82939999999999</v>
      </c>
      <c r="O28" s="125">
        <f t="shared" si="11"/>
        <v>1438.9676801674098</v>
      </c>
      <c r="P28" s="61"/>
      <c r="Q28" s="62">
        <f>($O$29-O28)^2</f>
        <v>5445.4384866966357</v>
      </c>
      <c r="R28">
        <v>4920</v>
      </c>
      <c r="S28" s="73">
        <f>R28*0.30397</f>
        <v>1495.5324000000001</v>
      </c>
    </row>
    <row r="29" spans="11:21" ht="15" thickBot="1" x14ac:dyDescent="0.4">
      <c r="L29" s="61"/>
      <c r="M29" s="61"/>
      <c r="N29" s="61"/>
      <c r="O29" s="69">
        <f>SUM(O26:O28)/3</f>
        <v>1365.1744657998499</v>
      </c>
      <c r="P29" s="66" t="s">
        <v>16</v>
      </c>
      <c r="Q29" s="70">
        <f>SQRT(SUM(Q26:Q27))/2</f>
        <v>70.249047171963554</v>
      </c>
    </row>
    <row r="30" spans="11:21" ht="15" thickBot="1" x14ac:dyDescent="0.4">
      <c r="R30" s="61"/>
      <c r="S30" s="61"/>
    </row>
    <row r="31" spans="11:21" ht="44" thickBot="1" x14ac:dyDescent="0.4">
      <c r="K31" s="107" t="s">
        <v>36</v>
      </c>
      <c r="L31" s="112" t="s">
        <v>22</v>
      </c>
      <c r="M31" s="113" t="s">
        <v>23</v>
      </c>
      <c r="N31" s="114" t="s">
        <v>24</v>
      </c>
      <c r="O31" s="115" t="s">
        <v>30</v>
      </c>
      <c r="P31" s="106"/>
      <c r="Q31" s="54"/>
    </row>
    <row r="32" spans="11:21" ht="15" thickBot="1" x14ac:dyDescent="0.4">
      <c r="K32" s="110">
        <v>63</v>
      </c>
      <c r="L32" s="118">
        <v>856</v>
      </c>
      <c r="M32" s="119">
        <v>817</v>
      </c>
      <c r="N32" s="93">
        <f t="shared" ref="N32:N34" si="12">(L32-M32)*2.1773</f>
        <v>84.914699999999996</v>
      </c>
      <c r="O32" s="121">
        <f t="shared" ref="O32:O34" si="13">N32*10^3/$P$3</f>
        <v>719.48384008370488</v>
      </c>
      <c r="P32" s="61"/>
      <c r="Q32" s="62">
        <f>($O$35-O32)^2</f>
        <v>2420.1948829762528</v>
      </c>
      <c r="R32">
        <v>2480</v>
      </c>
      <c r="S32" s="73">
        <f t="shared" ref="S32:S34" si="14">R32*0.30397</f>
        <v>753.84559999999999</v>
      </c>
    </row>
    <row r="33" spans="11:19" ht="15" thickBot="1" x14ac:dyDescent="0.4">
      <c r="K33" s="94">
        <v>58</v>
      </c>
      <c r="L33" s="122">
        <v>856</v>
      </c>
      <c r="M33" s="117">
        <v>813</v>
      </c>
      <c r="N33" s="93">
        <f t="shared" si="12"/>
        <v>93.623899999999992</v>
      </c>
      <c r="O33" s="123">
        <f t="shared" si="13"/>
        <v>793.27705445126423</v>
      </c>
      <c r="P33" s="61"/>
      <c r="Q33" s="62">
        <f>($O$35-O33)^2</f>
        <v>605.04872074406319</v>
      </c>
      <c r="R33">
        <v>2714</v>
      </c>
      <c r="S33" s="73">
        <f t="shared" si="14"/>
        <v>824.97458000000006</v>
      </c>
    </row>
    <row r="34" spans="11:19" ht="15" thickBot="1" x14ac:dyDescent="0.4">
      <c r="K34" s="111">
        <v>52</v>
      </c>
      <c r="L34" s="124">
        <v>856</v>
      </c>
      <c r="M34" s="68">
        <v>813</v>
      </c>
      <c r="N34" s="93">
        <f t="shared" si="12"/>
        <v>93.623899999999992</v>
      </c>
      <c r="O34" s="125">
        <f t="shared" si="13"/>
        <v>793.27705445126423</v>
      </c>
      <c r="P34" s="61"/>
      <c r="Q34" s="62">
        <f>($O$35-O34)^2</f>
        <v>605.04872074406319</v>
      </c>
      <c r="R34">
        <v>2722</v>
      </c>
      <c r="S34" s="73">
        <f t="shared" si="14"/>
        <v>827.40634</v>
      </c>
    </row>
    <row r="35" spans="11:19" ht="15" thickBot="1" x14ac:dyDescent="0.4">
      <c r="L35" s="61"/>
      <c r="M35" s="61"/>
      <c r="N35" s="61"/>
      <c r="O35" s="69">
        <f>SUM(O32:O34)/3</f>
        <v>768.67931632874445</v>
      </c>
      <c r="P35" s="66" t="s">
        <v>16</v>
      </c>
      <c r="Q35" s="70">
        <f>SQRT(SUM(Q32:Q34))/2</f>
        <v>30.125953613389484</v>
      </c>
      <c r="R35" s="61"/>
      <c r="S35" s="61"/>
    </row>
    <row r="36" spans="11:19" ht="15" thickBot="1" x14ac:dyDescent="0.4">
      <c r="L36" s="61"/>
      <c r="M36" s="61"/>
      <c r="N36" s="61"/>
      <c r="O36" s="61"/>
      <c r="P36" s="61"/>
      <c r="Q36" s="63"/>
      <c r="R36" s="61"/>
      <c r="S36" s="61"/>
    </row>
    <row r="37" spans="11:19" ht="44" thickBot="1" x14ac:dyDescent="0.4">
      <c r="K37" s="107" t="s">
        <v>32</v>
      </c>
      <c r="L37" s="112" t="s">
        <v>22</v>
      </c>
      <c r="M37" s="113" t="s">
        <v>23</v>
      </c>
      <c r="N37" s="114" t="s">
        <v>24</v>
      </c>
      <c r="O37" s="115" t="s">
        <v>30</v>
      </c>
      <c r="P37" s="53"/>
      <c r="Q37" s="54"/>
    </row>
    <row r="38" spans="11:19" ht="15" thickBot="1" x14ac:dyDescent="0.4">
      <c r="K38" s="110">
        <v>26</v>
      </c>
      <c r="L38" s="118">
        <v>857</v>
      </c>
      <c r="M38" s="119">
        <v>781</v>
      </c>
      <c r="N38" s="93">
        <f>(L38-M38)*2.1773</f>
        <v>165.47479999999999</v>
      </c>
      <c r="O38" s="121">
        <f t="shared" ref="O38:O40" si="15">N38*10^3/$P$3</f>
        <v>1402.0710729836298</v>
      </c>
      <c r="P38" s="61"/>
      <c r="Q38" s="62">
        <f>($O$41-O38)^2</f>
        <v>3781.554504650423</v>
      </c>
      <c r="R38">
        <v>4110</v>
      </c>
      <c r="S38" s="73">
        <f t="shared" ref="S38:S40" si="16">R38*0.30397</f>
        <v>1249.3167000000001</v>
      </c>
    </row>
    <row r="39" spans="11:19" ht="15" thickBot="1" x14ac:dyDescent="0.4">
      <c r="K39" s="94">
        <v>20</v>
      </c>
      <c r="L39" s="122">
        <v>858</v>
      </c>
      <c r="M39" s="117">
        <v>784</v>
      </c>
      <c r="N39" s="93">
        <f t="shared" ref="N39:N40" si="17">(L39-M39)*2.1773</f>
        <v>161.12019999999998</v>
      </c>
      <c r="O39" s="123">
        <f t="shared" si="15"/>
        <v>1365.1744657998502</v>
      </c>
      <c r="P39" s="61"/>
      <c r="Q39" s="62">
        <f>($O$41-O39)^2</f>
        <v>605.04872074407444</v>
      </c>
      <c r="R39">
        <v>4457</v>
      </c>
      <c r="S39" s="73">
        <f t="shared" si="16"/>
        <v>1354.79429</v>
      </c>
    </row>
    <row r="40" spans="11:19" ht="15" thickBot="1" x14ac:dyDescent="0.4">
      <c r="K40" s="111">
        <v>14</v>
      </c>
      <c r="L40" s="124">
        <v>857</v>
      </c>
      <c r="M40" s="68">
        <v>789</v>
      </c>
      <c r="N40" s="93">
        <f t="shared" si="17"/>
        <v>148.0564</v>
      </c>
      <c r="O40" s="125">
        <f t="shared" si="15"/>
        <v>1254.4846442485109</v>
      </c>
      <c r="P40" s="71"/>
      <c r="Q40" s="105">
        <f>($O$41-O40)^2</f>
        <v>7411.8468291147747</v>
      </c>
      <c r="R40">
        <v>4610</v>
      </c>
      <c r="S40" s="73">
        <f t="shared" si="16"/>
        <v>1401.3017</v>
      </c>
    </row>
    <row r="41" spans="11:19" ht="15" thickBot="1" x14ac:dyDescent="0.4">
      <c r="L41" s="61"/>
      <c r="M41" s="61"/>
      <c r="N41" s="61"/>
      <c r="O41" s="69">
        <f>SUM(O38:O40)/3</f>
        <v>1340.5767276773302</v>
      </c>
      <c r="P41" s="103" t="s">
        <v>16</v>
      </c>
      <c r="Q41" s="104">
        <f>SQRT(SUM(Q38:Q39))/2</f>
        <v>33.115718418126221</v>
      </c>
      <c r="R41" s="61"/>
      <c r="S41" s="61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opLeftCell="B10" zoomScale="77" zoomScaleNormal="77" workbookViewId="0">
      <selection activeCell="T8" sqref="T8"/>
    </sheetView>
  </sheetViews>
  <sheetFormatPr defaultColWidth="8.54296875" defaultRowHeight="14.5" x14ac:dyDescent="0.35"/>
  <cols>
    <col min="1" max="1" width="8.26953125" bestFit="1" customWidth="1"/>
    <col min="5" max="5" width="12.453125" customWidth="1"/>
    <col min="6" max="6" width="9.1796875" customWidth="1"/>
    <col min="7" max="7" width="12" bestFit="1" customWidth="1"/>
    <col min="10" max="10" width="15.453125" customWidth="1"/>
    <col min="11" max="11" width="7.26953125" bestFit="1" customWidth="1"/>
    <col min="12" max="13" width="8" bestFit="1" customWidth="1"/>
    <col min="14" max="14" width="7.7265625" bestFit="1" customWidth="1"/>
    <col min="15" max="15" width="8.7265625" customWidth="1"/>
    <col min="16" max="16" width="10" customWidth="1"/>
    <col min="17" max="17" width="7.6328125" bestFit="1" customWidth="1"/>
    <col min="18" max="18" width="19.7265625" bestFit="1" customWidth="1"/>
    <col min="19" max="19" width="8.54296875" bestFit="1" customWidth="1"/>
    <col min="20" max="20" width="6.7265625" bestFit="1" customWidth="1"/>
    <col min="22" max="22" width="8.453125" bestFit="1" customWidth="1"/>
    <col min="23" max="23" width="7.453125" bestFit="1" customWidth="1"/>
    <col min="24" max="24" width="8.1796875" customWidth="1"/>
    <col min="25" max="25" width="8" bestFit="1" customWidth="1"/>
    <col min="26" max="26" width="7.453125" bestFit="1" customWidth="1"/>
    <col min="27" max="27" width="7.7265625" bestFit="1" customWidth="1"/>
    <col min="28" max="29" width="15.26953125" bestFit="1" customWidth="1"/>
    <col min="30" max="31" width="19.7265625" bestFit="1" customWidth="1"/>
    <col min="32" max="32" width="8.54296875" bestFit="1" customWidth="1"/>
    <col min="33" max="33" width="5.26953125" bestFit="1" customWidth="1"/>
    <col min="34" max="35" width="7.453125" bestFit="1" customWidth="1"/>
    <col min="37" max="37" width="9.81640625" customWidth="1"/>
    <col min="38" max="39" width="7.36328125" bestFit="1" customWidth="1"/>
    <col min="40" max="40" width="7.26953125" bestFit="1" customWidth="1"/>
    <col min="41" max="42" width="14.36328125" bestFit="1" customWidth="1"/>
    <col min="43" max="43" width="20.1796875" customWidth="1"/>
    <col min="44" max="44" width="11.36328125" customWidth="1"/>
    <col min="45" max="45" width="7.81640625" bestFit="1" customWidth="1"/>
    <col min="46" max="46" width="6.1796875" bestFit="1" customWidth="1"/>
  </cols>
  <sheetData>
    <row r="1" spans="1:25" ht="15" thickBot="1" x14ac:dyDescent="0.4">
      <c r="A1" s="2" t="s">
        <v>1</v>
      </c>
      <c r="B1" s="3">
        <v>2000</v>
      </c>
      <c r="C1" s="4" t="s">
        <v>2</v>
      </c>
    </row>
    <row r="2" spans="1:25" ht="33" customHeight="1" thickBot="1" x14ac:dyDescent="0.4">
      <c r="A2" s="5" t="s">
        <v>3</v>
      </c>
      <c r="B2" s="6">
        <v>11.31</v>
      </c>
      <c r="C2" s="7" t="s">
        <v>4</v>
      </c>
      <c r="G2" s="8" t="s">
        <v>5</v>
      </c>
      <c r="L2" s="49" t="s">
        <v>25</v>
      </c>
      <c r="M2" s="50" t="s">
        <v>26</v>
      </c>
      <c r="N2" s="49" t="s">
        <v>27</v>
      </c>
      <c r="O2" s="50" t="s">
        <v>28</v>
      </c>
      <c r="P2" s="51" t="s">
        <v>29</v>
      </c>
    </row>
    <row r="3" spans="1:25" ht="44" thickBot="1" x14ac:dyDescent="0.4">
      <c r="C3" s="9" t="s">
        <v>6</v>
      </c>
      <c r="D3" s="10" t="s">
        <v>7</v>
      </c>
      <c r="E3" s="10" t="s">
        <v>8</v>
      </c>
      <c r="F3" s="10" t="s">
        <v>9</v>
      </c>
      <c r="G3" s="10" t="s">
        <v>10</v>
      </c>
      <c r="H3" s="11" t="s">
        <v>11</v>
      </c>
      <c r="L3" s="57">
        <v>45.84</v>
      </c>
      <c r="M3" s="102">
        <f t="shared" ref="M3" si="0">L3*$B$2/10</f>
        <v>51.845040000000004</v>
      </c>
      <c r="N3" s="72">
        <v>48.23</v>
      </c>
      <c r="O3" s="83">
        <f t="shared" ref="O3" si="1">N3*$B$2/10</f>
        <v>54.54813</v>
      </c>
      <c r="P3" s="59">
        <f>(($F$9/COS(RADIANS(0))*M3)+(1/COS(RADIANS(40))*O3))</f>
        <v>122.17625941977744</v>
      </c>
      <c r="S3" s="17" t="s">
        <v>0</v>
      </c>
      <c r="T3" s="18"/>
      <c r="U3" s="19" t="s">
        <v>13</v>
      </c>
      <c r="V3" s="20"/>
      <c r="W3" s="19"/>
      <c r="X3" s="19" t="s">
        <v>14</v>
      </c>
      <c r="Y3" s="20"/>
    </row>
    <row r="4" spans="1:25" x14ac:dyDescent="0.35">
      <c r="C4" s="12" t="s">
        <v>12</v>
      </c>
      <c r="D4" s="13">
        <v>8</v>
      </c>
      <c r="E4" s="14">
        <v>15.999000000000001</v>
      </c>
      <c r="F4" s="15">
        <f>((SQRT(1-(1/E4)^2*SIN(RADIANS(140))^2)+1/E4*COS(RADIANS(140)))/(1+1/E4))^2</f>
        <v>0.80164984619565405</v>
      </c>
      <c r="G4" s="16">
        <f>$B$1*F4</f>
        <v>1603.2996923913081</v>
      </c>
      <c r="H4" s="74">
        <v>697</v>
      </c>
      <c r="S4" s="94">
        <v>1</v>
      </c>
      <c r="T4" s="84">
        <f>O17</f>
        <v>0</v>
      </c>
      <c r="U4" s="85" t="s">
        <v>16</v>
      </c>
      <c r="V4" s="86">
        <f>Q17</f>
        <v>0</v>
      </c>
      <c r="W4" s="28">
        <f>T4*344.092/0.30397*10^(-6)</f>
        <v>0</v>
      </c>
      <c r="X4" s="26" t="s">
        <v>16</v>
      </c>
      <c r="Y4" s="29">
        <f>V4*344.092/0.30397*10^(-6)</f>
        <v>0</v>
      </c>
    </row>
    <row r="5" spans="1:25" x14ac:dyDescent="0.35">
      <c r="C5" s="21" t="s">
        <v>15</v>
      </c>
      <c r="D5" s="22">
        <v>14</v>
      </c>
      <c r="E5" s="23">
        <v>28.085000000000001</v>
      </c>
      <c r="F5" s="127">
        <f t="shared" ref="F5:F8" si="2">((SQRT(1-(1/E5)^2*SIN(RADIANS(140))^2)+1/E5*COS(RADIANS(140)))/(1+1/E5))^2</f>
        <v>0.88177160904627028</v>
      </c>
      <c r="G5" s="24">
        <f>$B$1*F5</f>
        <v>1763.5432180925407</v>
      </c>
      <c r="H5" s="75">
        <v>765</v>
      </c>
      <c r="S5" s="94">
        <v>3</v>
      </c>
      <c r="T5" s="25">
        <f>O23</f>
        <v>0</v>
      </c>
      <c r="U5" s="26" t="s">
        <v>16</v>
      </c>
      <c r="V5" s="27">
        <f>Q23</f>
        <v>0</v>
      </c>
      <c r="W5" s="28">
        <f t="shared" ref="W5:W8" si="3">T5*344.092/0.30397*10^(-6)</f>
        <v>0</v>
      </c>
      <c r="X5" s="26" t="s">
        <v>16</v>
      </c>
      <c r="Y5" s="29">
        <f t="shared" ref="Y5:Y8" si="4">V5*344.092/0.30397*10^(-6)</f>
        <v>0</v>
      </c>
    </row>
    <row r="6" spans="1:25" x14ac:dyDescent="0.35">
      <c r="C6" s="30" t="s">
        <v>17</v>
      </c>
      <c r="D6" s="31">
        <v>23</v>
      </c>
      <c r="E6" s="32">
        <v>50.942</v>
      </c>
      <c r="F6" s="126">
        <f t="shared" si="2"/>
        <v>0.93300454820854928</v>
      </c>
      <c r="G6" s="33">
        <f>$B$1*F6</f>
        <v>1866.0090964170986</v>
      </c>
      <c r="H6" s="76">
        <v>817</v>
      </c>
      <c r="S6" s="94">
        <v>6</v>
      </c>
      <c r="T6" s="25">
        <f>O29</f>
        <v>0</v>
      </c>
      <c r="U6" s="26" t="s">
        <v>16</v>
      </c>
      <c r="V6" s="27">
        <f>Q29</f>
        <v>0</v>
      </c>
      <c r="W6" s="28">
        <f t="shared" si="3"/>
        <v>0</v>
      </c>
      <c r="X6" s="26" t="s">
        <v>16</v>
      </c>
      <c r="Y6" s="29">
        <f t="shared" si="4"/>
        <v>0</v>
      </c>
    </row>
    <row r="7" spans="1:25" x14ac:dyDescent="0.35">
      <c r="C7" s="34" t="s">
        <v>18</v>
      </c>
      <c r="D7" s="35">
        <v>41</v>
      </c>
      <c r="E7" s="36">
        <v>92.906000000000006</v>
      </c>
      <c r="F7" s="128">
        <f t="shared" si="2"/>
        <v>0.96269419039260573</v>
      </c>
      <c r="G7" s="37">
        <f>$B$1*F7</f>
        <v>1925.3883807852114</v>
      </c>
      <c r="H7" s="77">
        <v>842</v>
      </c>
      <c r="S7" s="94">
        <v>8</v>
      </c>
      <c r="T7" s="25">
        <f>O35</f>
        <v>0</v>
      </c>
      <c r="U7" s="26" t="s">
        <v>16</v>
      </c>
      <c r="V7" s="27">
        <f>Q35</f>
        <v>0</v>
      </c>
      <c r="W7" s="28">
        <f t="shared" si="3"/>
        <v>0</v>
      </c>
      <c r="X7" s="26" t="s">
        <v>16</v>
      </c>
      <c r="Y7" s="29">
        <f t="shared" si="4"/>
        <v>0</v>
      </c>
    </row>
    <row r="8" spans="1:25" ht="15" thickBot="1" x14ac:dyDescent="0.4">
      <c r="C8" s="38" t="s">
        <v>19</v>
      </c>
      <c r="D8" s="39">
        <v>73</v>
      </c>
      <c r="E8" s="40">
        <v>180.95</v>
      </c>
      <c r="F8" s="129">
        <f t="shared" si="2"/>
        <v>0.98066936795692483</v>
      </c>
      <c r="G8" s="41">
        <f>$B$1*F8</f>
        <v>1961.3387359138496</v>
      </c>
      <c r="H8" s="78">
        <v>861</v>
      </c>
      <c r="I8" s="73"/>
      <c r="J8" s="42"/>
      <c r="S8" s="94">
        <v>7</v>
      </c>
      <c r="T8" s="95">
        <f>O41</f>
        <v>1294.9908115104865</v>
      </c>
      <c r="U8" s="26" t="s">
        <v>16</v>
      </c>
      <c r="V8" s="101">
        <f>Q41</f>
        <v>31.989628182150675</v>
      </c>
      <c r="W8" s="28">
        <f t="shared" si="3"/>
        <v>1.4659209077022939</v>
      </c>
      <c r="X8" s="26" t="s">
        <v>16</v>
      </c>
      <c r="Y8" s="29">
        <f t="shared" si="4"/>
        <v>3.621204441376645E-2</v>
      </c>
    </row>
    <row r="9" spans="1:25" ht="15" thickBot="1" x14ac:dyDescent="0.4">
      <c r="C9" s="43" t="s">
        <v>20</v>
      </c>
      <c r="D9" s="44">
        <v>82</v>
      </c>
      <c r="E9" s="44">
        <v>207.2</v>
      </c>
      <c r="F9" s="45">
        <f>((SQRT(1-(1/E9)^2*SIN(RADIANS(140))^2)+1/E9*COS(RADIANS(140)))/(1+1/E9))^2</f>
        <v>0.98309757111447271</v>
      </c>
      <c r="G9" s="46">
        <f t="shared" ref="G9:G12" si="5">$B$1*F9</f>
        <v>1966.1951422289453</v>
      </c>
      <c r="H9" s="47"/>
      <c r="I9" s="73"/>
      <c r="S9" s="87"/>
      <c r="T9" s="96"/>
      <c r="U9" s="97"/>
      <c r="V9" s="98"/>
      <c r="W9" s="99"/>
      <c r="X9" s="97"/>
      <c r="Y9" s="100"/>
    </row>
    <row r="10" spans="1:25" ht="44" thickBot="1" x14ac:dyDescent="0.4">
      <c r="J10" s="1"/>
      <c r="K10" s="107" t="s">
        <v>21</v>
      </c>
      <c r="L10" s="48" t="s">
        <v>22</v>
      </c>
      <c r="M10" s="49" t="s">
        <v>23</v>
      </c>
      <c r="N10" s="50" t="s">
        <v>24</v>
      </c>
      <c r="O10" s="52" t="s">
        <v>30</v>
      </c>
      <c r="P10" s="53"/>
      <c r="Q10" s="54"/>
    </row>
    <row r="11" spans="1:25" ht="15" thickBot="1" x14ac:dyDescent="0.4">
      <c r="C11" s="82" t="s">
        <v>33</v>
      </c>
      <c r="D11" s="79">
        <v>17</v>
      </c>
      <c r="E11" s="79">
        <v>35.450000000000003</v>
      </c>
      <c r="F11" s="80">
        <f>((SQRT(1-(1/E11)^2*SIN(RADIANS(140))^2)+1/E11*COS(RADIANS(140)))/(1+1/E11))^2</f>
        <v>0.90514094793261168</v>
      </c>
      <c r="G11" s="81">
        <f t="shared" si="5"/>
        <v>1810.2818958652233</v>
      </c>
      <c r="H11" s="47"/>
      <c r="K11" s="55">
        <v>26</v>
      </c>
      <c r="L11" s="56"/>
      <c r="M11" s="57"/>
      <c r="N11" s="58"/>
      <c r="O11" s="60">
        <f>N11*10^3/$P$3</f>
        <v>0</v>
      </c>
      <c r="P11" s="61"/>
      <c r="Q11" s="62">
        <f t="shared" ref="Q11:Q16" si="6">($O$17-O11)^2</f>
        <v>0</v>
      </c>
    </row>
    <row r="12" spans="1:25" ht="15" thickBot="1" x14ac:dyDescent="0.4">
      <c r="C12" s="82" t="s">
        <v>34</v>
      </c>
      <c r="D12" s="79">
        <v>29</v>
      </c>
      <c r="E12" s="79">
        <v>63.545999999999999</v>
      </c>
      <c r="F12" s="80">
        <f>((SQRT(1-(1/E12)^2*SIN(RADIANS(140))^2)+1/E12*COS(RADIANS(140)))/(1+1/E12))^2</f>
        <v>0.94592860593148631</v>
      </c>
      <c r="G12" s="81">
        <f t="shared" si="5"/>
        <v>1891.8572118629727</v>
      </c>
      <c r="H12" s="47"/>
      <c r="K12" s="108">
        <v>28</v>
      </c>
      <c r="L12" s="56"/>
      <c r="M12" s="57"/>
      <c r="N12" s="58"/>
      <c r="O12" s="60">
        <f t="shared" ref="O12:O16" si="7">N12*10^3/$P$3</f>
        <v>0</v>
      </c>
      <c r="P12" s="61"/>
      <c r="Q12" s="62">
        <f t="shared" si="6"/>
        <v>0</v>
      </c>
    </row>
    <row r="13" spans="1:25" x14ac:dyDescent="0.35">
      <c r="K13" s="108">
        <v>30</v>
      </c>
      <c r="L13" s="56"/>
      <c r="M13" s="57"/>
      <c r="N13" s="58"/>
      <c r="O13" s="60">
        <f t="shared" si="7"/>
        <v>0</v>
      </c>
      <c r="P13" s="61"/>
      <c r="Q13" s="62">
        <f t="shared" si="6"/>
        <v>0</v>
      </c>
    </row>
    <row r="14" spans="1:25" x14ac:dyDescent="0.35">
      <c r="K14" s="108">
        <v>32</v>
      </c>
      <c r="L14" s="56"/>
      <c r="M14" s="57"/>
      <c r="N14" s="58"/>
      <c r="O14" s="60">
        <f t="shared" si="7"/>
        <v>0</v>
      </c>
      <c r="P14" s="61"/>
      <c r="Q14" s="62">
        <f t="shared" si="6"/>
        <v>0</v>
      </c>
    </row>
    <row r="15" spans="1:25" x14ac:dyDescent="0.35">
      <c r="K15" s="108">
        <v>34</v>
      </c>
      <c r="L15" s="88"/>
      <c r="M15" s="89"/>
      <c r="N15" s="90"/>
      <c r="O15" s="60">
        <f t="shared" si="7"/>
        <v>0</v>
      </c>
      <c r="P15" s="61"/>
      <c r="Q15" s="62">
        <f t="shared" si="6"/>
        <v>0</v>
      </c>
    </row>
    <row r="16" spans="1:25" ht="15" thickBot="1" x14ac:dyDescent="0.4">
      <c r="K16" s="64">
        <v>36</v>
      </c>
      <c r="L16" s="92"/>
      <c r="M16" s="65"/>
      <c r="N16" s="93"/>
      <c r="O16" s="91">
        <f t="shared" si="7"/>
        <v>0</v>
      </c>
      <c r="P16" s="61"/>
      <c r="Q16" s="62">
        <f t="shared" si="6"/>
        <v>0</v>
      </c>
    </row>
    <row r="17" spans="11:21" ht="15" thickBot="1" x14ac:dyDescent="0.4">
      <c r="L17" s="61"/>
      <c r="M17" s="61"/>
      <c r="N17" s="61"/>
      <c r="O17" s="109">
        <f>SUM(O11:O16)/6</f>
        <v>0</v>
      </c>
      <c r="P17" s="66" t="s">
        <v>16</v>
      </c>
      <c r="Q17" s="67">
        <f>SQRT(SUM(Q11:Q16))/5</f>
        <v>0</v>
      </c>
      <c r="R17" s="61"/>
      <c r="S17" s="61"/>
    </row>
    <row r="18" spans="11:21" ht="15" thickBot="1" x14ac:dyDescent="0.4"/>
    <row r="19" spans="11:21" ht="44" thickBot="1" x14ac:dyDescent="0.4">
      <c r="K19" s="107" t="s">
        <v>35</v>
      </c>
      <c r="L19" s="112" t="s">
        <v>22</v>
      </c>
      <c r="M19" s="113" t="s">
        <v>23</v>
      </c>
      <c r="N19" s="114" t="s">
        <v>24</v>
      </c>
      <c r="O19" s="115" t="s">
        <v>30</v>
      </c>
      <c r="P19" s="106"/>
      <c r="Q19" s="54"/>
    </row>
    <row r="20" spans="11:21" x14ac:dyDescent="0.35">
      <c r="K20" s="110">
        <v>14</v>
      </c>
      <c r="L20" s="118"/>
      <c r="M20" s="119"/>
      <c r="N20" s="120"/>
      <c r="O20" s="121">
        <f t="shared" ref="O20:O22" si="8">N20*10^3/$P$3</f>
        <v>0</v>
      </c>
      <c r="P20" s="61"/>
      <c r="Q20" s="62">
        <f>($O$23-O20)^2</f>
        <v>0</v>
      </c>
    </row>
    <row r="21" spans="11:21" x14ac:dyDescent="0.35">
      <c r="K21" s="94">
        <v>20</v>
      </c>
      <c r="L21" s="122"/>
      <c r="M21" s="117"/>
      <c r="N21" s="116"/>
      <c r="O21" s="123">
        <f t="shared" si="8"/>
        <v>0</v>
      </c>
      <c r="P21" s="61"/>
      <c r="Q21" s="62">
        <f>($O$23-O21)^2</f>
        <v>0</v>
      </c>
    </row>
    <row r="22" spans="11:21" ht="15" thickBot="1" x14ac:dyDescent="0.4">
      <c r="K22" s="111">
        <v>26</v>
      </c>
      <c r="L22" s="124"/>
      <c r="M22" s="68"/>
      <c r="N22" s="93"/>
      <c r="O22" s="125">
        <f t="shared" si="8"/>
        <v>0</v>
      </c>
      <c r="P22" s="61"/>
      <c r="Q22" s="62">
        <f>($O$23-O22)^2</f>
        <v>0</v>
      </c>
    </row>
    <row r="23" spans="11:21" ht="15" thickBot="1" x14ac:dyDescent="0.4">
      <c r="L23" s="61"/>
      <c r="M23" s="61"/>
      <c r="N23" s="61"/>
      <c r="O23" s="69">
        <f>SUM(O20:O22)/3</f>
        <v>0</v>
      </c>
      <c r="P23" s="66" t="s">
        <v>16</v>
      </c>
      <c r="Q23" s="70">
        <f>SQRT(SUM(Q20:Q21))/2</f>
        <v>0</v>
      </c>
    </row>
    <row r="24" spans="11:21" ht="15" thickBot="1" x14ac:dyDescent="0.4">
      <c r="L24" s="61"/>
      <c r="M24" s="61"/>
      <c r="N24" s="61"/>
      <c r="O24" s="61"/>
      <c r="P24" s="61"/>
      <c r="Q24" s="61"/>
      <c r="R24" s="61"/>
      <c r="S24" s="61"/>
    </row>
    <row r="25" spans="11:21" ht="44" thickBot="1" x14ac:dyDescent="0.4">
      <c r="K25" s="107" t="s">
        <v>31</v>
      </c>
      <c r="L25" s="112" t="s">
        <v>22</v>
      </c>
      <c r="M25" s="113" t="s">
        <v>23</v>
      </c>
      <c r="N25" s="114" t="s">
        <v>24</v>
      </c>
      <c r="O25" s="115" t="s">
        <v>30</v>
      </c>
      <c r="P25" s="106"/>
      <c r="Q25" s="54"/>
      <c r="R25" s="61"/>
      <c r="S25" s="61"/>
      <c r="T25" s="61"/>
      <c r="U25" s="61"/>
    </row>
    <row r="26" spans="11:21" x14ac:dyDescent="0.35">
      <c r="K26" s="110">
        <v>52</v>
      </c>
      <c r="L26" s="118"/>
      <c r="M26" s="119"/>
      <c r="N26" s="120"/>
      <c r="O26" s="121">
        <f t="shared" ref="O26:O28" si="9">N26*10^3/$P$3</f>
        <v>0</v>
      </c>
      <c r="P26" s="61"/>
      <c r="Q26" s="62">
        <f>($O$29-O26)^2</f>
        <v>0</v>
      </c>
    </row>
    <row r="27" spans="11:21" x14ac:dyDescent="0.35">
      <c r="K27" s="94">
        <v>58</v>
      </c>
      <c r="L27" s="122"/>
      <c r="M27" s="117"/>
      <c r="N27" s="116"/>
      <c r="O27" s="123">
        <f t="shared" si="9"/>
        <v>0</v>
      </c>
      <c r="P27" s="61"/>
      <c r="Q27" s="62">
        <f>($O$29-O27)^2</f>
        <v>0</v>
      </c>
    </row>
    <row r="28" spans="11:21" ht="15" thickBot="1" x14ac:dyDescent="0.4">
      <c r="K28" s="111">
        <v>63</v>
      </c>
      <c r="L28" s="124"/>
      <c r="M28" s="68"/>
      <c r="N28" s="93"/>
      <c r="O28" s="125">
        <f t="shared" si="9"/>
        <v>0</v>
      </c>
      <c r="P28" s="61"/>
      <c r="Q28" s="62">
        <f>($O$29-O28)^2</f>
        <v>0</v>
      </c>
    </row>
    <row r="29" spans="11:21" ht="15" thickBot="1" x14ac:dyDescent="0.4">
      <c r="L29" s="61"/>
      <c r="M29" s="61"/>
      <c r="N29" s="61"/>
      <c r="O29" s="69">
        <f>SUM(O26:O28)/3</f>
        <v>0</v>
      </c>
      <c r="P29" s="66" t="s">
        <v>16</v>
      </c>
      <c r="Q29" s="70">
        <f>SQRT(SUM(Q26:Q27))/2</f>
        <v>0</v>
      </c>
    </row>
    <row r="30" spans="11:21" ht="15" thickBot="1" x14ac:dyDescent="0.4">
      <c r="R30" s="61"/>
      <c r="S30" s="61"/>
    </row>
    <row r="31" spans="11:21" ht="44" thickBot="1" x14ac:dyDescent="0.4">
      <c r="K31" s="107" t="s">
        <v>36</v>
      </c>
      <c r="L31" s="112" t="s">
        <v>22</v>
      </c>
      <c r="M31" s="113" t="s">
        <v>23</v>
      </c>
      <c r="N31" s="114" t="s">
        <v>24</v>
      </c>
      <c r="O31" s="115" t="s">
        <v>30</v>
      </c>
      <c r="P31" s="106"/>
      <c r="Q31" s="54"/>
    </row>
    <row r="32" spans="11:21" x14ac:dyDescent="0.35">
      <c r="K32" s="110">
        <v>63</v>
      </c>
      <c r="L32" s="118"/>
      <c r="M32" s="119"/>
      <c r="N32" s="120"/>
      <c r="O32" s="121">
        <f t="shared" ref="O32:O34" si="10">N32*10^3/$P$3</f>
        <v>0</v>
      </c>
      <c r="P32" s="61"/>
      <c r="Q32" s="62">
        <f>($O$35-O32)^2</f>
        <v>0</v>
      </c>
    </row>
    <row r="33" spans="11:19" x14ac:dyDescent="0.35">
      <c r="K33" s="94">
        <v>58</v>
      </c>
      <c r="L33" s="122"/>
      <c r="M33" s="117"/>
      <c r="N33" s="116"/>
      <c r="O33" s="123">
        <f t="shared" si="10"/>
        <v>0</v>
      </c>
      <c r="P33" s="61"/>
      <c r="Q33" s="62">
        <f>($O$35-O33)^2</f>
        <v>0</v>
      </c>
    </row>
    <row r="34" spans="11:19" ht="15" thickBot="1" x14ac:dyDescent="0.4">
      <c r="K34" s="111">
        <v>52</v>
      </c>
      <c r="L34" s="124"/>
      <c r="M34" s="68"/>
      <c r="N34" s="93"/>
      <c r="O34" s="125">
        <f t="shared" si="10"/>
        <v>0</v>
      </c>
      <c r="P34" s="61"/>
      <c r="Q34" s="62">
        <f>($O$35-O34)^2</f>
        <v>0</v>
      </c>
    </row>
    <row r="35" spans="11:19" ht="15" thickBot="1" x14ac:dyDescent="0.4">
      <c r="L35" s="61"/>
      <c r="M35" s="61"/>
      <c r="N35" s="61"/>
      <c r="O35" s="69">
        <f>SUM(O32:O34)/3</f>
        <v>0</v>
      </c>
      <c r="P35" s="66" t="s">
        <v>16</v>
      </c>
      <c r="Q35" s="70">
        <f>SQRT(SUM(Q32:Q34))/2</f>
        <v>0</v>
      </c>
      <c r="R35" s="61"/>
      <c r="S35" s="61"/>
    </row>
    <row r="36" spans="11:19" ht="15" thickBot="1" x14ac:dyDescent="0.4">
      <c r="L36" s="61"/>
      <c r="M36" s="61"/>
      <c r="N36" s="61"/>
      <c r="O36" s="61"/>
      <c r="P36" s="61"/>
      <c r="Q36" s="63"/>
      <c r="R36" s="61"/>
      <c r="S36" s="61"/>
    </row>
    <row r="37" spans="11:19" ht="44" thickBot="1" x14ac:dyDescent="0.4">
      <c r="K37" s="107" t="s">
        <v>32</v>
      </c>
      <c r="L37" s="112" t="s">
        <v>22</v>
      </c>
      <c r="M37" s="113" t="s">
        <v>23</v>
      </c>
      <c r="N37" s="114" t="s">
        <v>24</v>
      </c>
      <c r="O37" s="115" t="s">
        <v>30</v>
      </c>
      <c r="P37" s="53"/>
      <c r="Q37" s="54"/>
    </row>
    <row r="38" spans="11:19" ht="15" thickBot="1" x14ac:dyDescent="0.4">
      <c r="K38" s="110">
        <v>26</v>
      </c>
      <c r="L38" s="118">
        <v>857</v>
      </c>
      <c r="M38" s="119">
        <v>781</v>
      </c>
      <c r="N38" s="93">
        <f>(L38-M38)*2.1773</f>
        <v>165.47479999999999</v>
      </c>
      <c r="O38" s="121">
        <f t="shared" ref="O38:O40" si="11">N38*10^3/$P$3</f>
        <v>1354.3940597449127</v>
      </c>
      <c r="P38" s="61"/>
      <c r="Q38" s="62">
        <f>($O$41-O38)^2</f>
        <v>3528.7459008008595</v>
      </c>
    </row>
    <row r="39" spans="11:19" ht="15" thickBot="1" x14ac:dyDescent="0.4">
      <c r="K39" s="94">
        <v>20</v>
      </c>
      <c r="L39" s="122">
        <v>858</v>
      </c>
      <c r="M39" s="117">
        <v>784</v>
      </c>
      <c r="N39" s="93">
        <f t="shared" ref="N39:N40" si="12">(L39-M39)*2.1773</f>
        <v>161.12019999999998</v>
      </c>
      <c r="O39" s="123">
        <f t="shared" si="11"/>
        <v>1318.752110804257</v>
      </c>
      <c r="P39" s="61"/>
      <c r="Q39" s="62">
        <f>($O$41-O39)^2</f>
        <v>564.59934412813539</v>
      </c>
    </row>
    <row r="40" spans="11:19" ht="15" thickBot="1" x14ac:dyDescent="0.4">
      <c r="K40" s="111">
        <v>14</v>
      </c>
      <c r="L40" s="124">
        <v>857</v>
      </c>
      <c r="M40" s="68">
        <v>789</v>
      </c>
      <c r="N40" s="93">
        <f t="shared" si="12"/>
        <v>148.0564</v>
      </c>
      <c r="O40" s="125">
        <f t="shared" si="11"/>
        <v>1211.8262639822904</v>
      </c>
      <c r="P40" s="71"/>
      <c r="Q40" s="105">
        <f>($O$41-O40)^2</f>
        <v>6916.3419655696016</v>
      </c>
    </row>
    <row r="41" spans="11:19" ht="15" thickBot="1" x14ac:dyDescent="0.4">
      <c r="L41" s="61"/>
      <c r="M41" s="61"/>
      <c r="N41" s="61"/>
      <c r="O41" s="69">
        <f>SUM(O38:O40)/3</f>
        <v>1294.9908115104865</v>
      </c>
      <c r="P41" s="103" t="s">
        <v>16</v>
      </c>
      <c r="Q41" s="104">
        <f>SQRT(SUM(Q38:Q39))/2</f>
        <v>31.989628182150675</v>
      </c>
      <c r="R41" s="61"/>
      <c r="S41" s="61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opLeftCell="B4" zoomScale="77" zoomScaleNormal="77" workbookViewId="0">
      <selection activeCell="R41" sqref="R41"/>
    </sheetView>
  </sheetViews>
  <sheetFormatPr defaultColWidth="8.54296875" defaultRowHeight="14.5" x14ac:dyDescent="0.35"/>
  <cols>
    <col min="1" max="1" width="8.26953125" bestFit="1" customWidth="1"/>
    <col min="5" max="5" width="12.453125" customWidth="1"/>
    <col min="6" max="6" width="9.1796875" customWidth="1"/>
    <col min="7" max="7" width="12" bestFit="1" customWidth="1"/>
    <col min="10" max="10" width="15.453125" customWidth="1"/>
    <col min="11" max="11" width="7.26953125" bestFit="1" customWidth="1"/>
    <col min="12" max="13" width="8" bestFit="1" customWidth="1"/>
    <col min="14" max="14" width="8.26953125" bestFit="1" customWidth="1"/>
    <col min="15" max="15" width="8.7265625" customWidth="1"/>
    <col min="16" max="16" width="10" customWidth="1"/>
    <col min="17" max="17" width="7.6328125" bestFit="1" customWidth="1"/>
    <col min="18" max="18" width="19.7265625" bestFit="1" customWidth="1"/>
    <col min="19" max="19" width="8.54296875" bestFit="1" customWidth="1"/>
    <col min="20" max="20" width="6.7265625" bestFit="1" customWidth="1"/>
    <col min="22" max="22" width="8.453125" bestFit="1" customWidth="1"/>
    <col min="23" max="23" width="7.453125" bestFit="1" customWidth="1"/>
    <col min="24" max="24" width="8.1796875" customWidth="1"/>
    <col min="25" max="25" width="8" bestFit="1" customWidth="1"/>
    <col min="26" max="26" width="7.453125" bestFit="1" customWidth="1"/>
    <col min="27" max="27" width="7.7265625" bestFit="1" customWidth="1"/>
    <col min="28" max="29" width="15.26953125" bestFit="1" customWidth="1"/>
    <col min="30" max="31" width="19.7265625" bestFit="1" customWidth="1"/>
    <col min="32" max="32" width="8.54296875" bestFit="1" customWidth="1"/>
    <col min="33" max="33" width="5.26953125" bestFit="1" customWidth="1"/>
    <col min="34" max="35" width="7.453125" bestFit="1" customWidth="1"/>
    <col min="37" max="37" width="9.81640625" customWidth="1"/>
    <col min="38" max="39" width="7.36328125" bestFit="1" customWidth="1"/>
    <col min="40" max="40" width="7.26953125" bestFit="1" customWidth="1"/>
    <col min="41" max="42" width="14.36328125" bestFit="1" customWidth="1"/>
    <col min="43" max="43" width="20.1796875" customWidth="1"/>
    <col min="44" max="44" width="11.36328125" customWidth="1"/>
    <col min="45" max="45" width="7.81640625" bestFit="1" customWidth="1"/>
    <col min="46" max="46" width="6.1796875" bestFit="1" customWidth="1"/>
  </cols>
  <sheetData>
    <row r="1" spans="1:25" ht="15" thickBot="1" x14ac:dyDescent="0.4">
      <c r="A1" s="2" t="s">
        <v>1</v>
      </c>
      <c r="B1" s="3">
        <v>2000</v>
      </c>
      <c r="C1" s="4" t="s">
        <v>2</v>
      </c>
    </row>
    <row r="2" spans="1:25" ht="33" customHeight="1" thickBot="1" x14ac:dyDescent="0.4">
      <c r="A2" s="5" t="s">
        <v>3</v>
      </c>
      <c r="B2" s="6">
        <v>11.31</v>
      </c>
      <c r="C2" s="7" t="s">
        <v>4</v>
      </c>
      <c r="G2" s="8" t="s">
        <v>5</v>
      </c>
      <c r="L2" s="49" t="s">
        <v>25</v>
      </c>
      <c r="M2" s="50" t="s">
        <v>26</v>
      </c>
      <c r="N2" s="49" t="s">
        <v>27</v>
      </c>
      <c r="O2" s="50" t="s">
        <v>28</v>
      </c>
      <c r="P2" s="51" t="s">
        <v>29</v>
      </c>
    </row>
    <row r="3" spans="1:25" ht="44" thickBot="1" x14ac:dyDescent="0.4">
      <c r="C3" s="9" t="s">
        <v>6</v>
      </c>
      <c r="D3" s="10" t="s">
        <v>7</v>
      </c>
      <c r="E3" s="10" t="s">
        <v>8</v>
      </c>
      <c r="F3" s="10" t="s">
        <v>9</v>
      </c>
      <c r="G3" s="10" t="s">
        <v>10</v>
      </c>
      <c r="H3" s="11" t="s">
        <v>11</v>
      </c>
      <c r="L3" s="57">
        <v>45.37</v>
      </c>
      <c r="M3" s="102">
        <f t="shared" ref="M3" si="0">L3*$B$2/10</f>
        <v>51.313469999999995</v>
      </c>
      <c r="N3" s="72">
        <v>45.81</v>
      </c>
      <c r="O3" s="131">
        <f t="shared" ref="O3" si="1">N3*$B$2/10</f>
        <v>51.811110000000006</v>
      </c>
      <c r="P3" s="130">
        <f>(($F$9/COS(RADIANS(0))*M3)+(1/COS(RADIANS(15))*O3))</f>
        <v>103.98772071014974</v>
      </c>
      <c r="S3" s="17" t="s">
        <v>0</v>
      </c>
      <c r="T3" s="18"/>
      <c r="U3" s="19" t="s">
        <v>13</v>
      </c>
      <c r="V3" s="20"/>
      <c r="W3" s="19"/>
      <c r="X3" s="19" t="s">
        <v>14</v>
      </c>
      <c r="Y3" s="20"/>
    </row>
    <row r="4" spans="1:25" x14ac:dyDescent="0.35">
      <c r="C4" s="12" t="s">
        <v>12</v>
      </c>
      <c r="D4" s="13">
        <v>8</v>
      </c>
      <c r="E4" s="14">
        <v>15.999000000000001</v>
      </c>
      <c r="F4" s="15">
        <f>((SQRT(1-(1/E4)^2*SIN(RADIANS(165))^2)+1/E4*COS(RADIANS(165)))/(1+1/E4))^2</f>
        <v>0.78185798881983415</v>
      </c>
      <c r="G4" s="16">
        <f>$B$1*F4</f>
        <v>1563.7159776396684</v>
      </c>
      <c r="H4" s="74">
        <v>668</v>
      </c>
      <c r="S4" s="94">
        <v>1</v>
      </c>
      <c r="T4" s="84">
        <f>O17</f>
        <v>0</v>
      </c>
      <c r="U4" s="85" t="s">
        <v>16</v>
      </c>
      <c r="V4" s="86">
        <f>Q17</f>
        <v>0</v>
      </c>
      <c r="W4" s="28">
        <f>T4*344.092/0.30397*10^(-6)</f>
        <v>0</v>
      </c>
      <c r="X4" s="26" t="s">
        <v>16</v>
      </c>
      <c r="Y4" s="29">
        <f>V4*344.092/0.30397*10^(-6)</f>
        <v>0</v>
      </c>
    </row>
    <row r="5" spans="1:25" x14ac:dyDescent="0.35">
      <c r="C5" s="21" t="s">
        <v>15</v>
      </c>
      <c r="D5" s="22">
        <v>14</v>
      </c>
      <c r="E5" s="23">
        <v>28.085000000000001</v>
      </c>
      <c r="F5" s="127">
        <f t="shared" ref="F5:F12" si="2">((SQRT(1-(1/E5)^2*SIN(RADIANS(165))^2)+1/E5*COS(RADIANS(165)))/(1+1/E5))^2</f>
        <v>0.86930741306534087</v>
      </c>
      <c r="G5" s="24">
        <f>$B$1*F5</f>
        <v>1738.6148261306816</v>
      </c>
      <c r="H5" s="75">
        <v>738</v>
      </c>
      <c r="S5" s="94">
        <v>3</v>
      </c>
      <c r="T5" s="25">
        <f>O23</f>
        <v>0</v>
      </c>
      <c r="U5" s="26" t="s">
        <v>16</v>
      </c>
      <c r="V5" s="27">
        <f>Q23</f>
        <v>0</v>
      </c>
      <c r="W5" s="28">
        <f t="shared" ref="W5:W8" si="3">T5*344.092/0.30397*10^(-6)</f>
        <v>0</v>
      </c>
      <c r="X5" s="26" t="s">
        <v>16</v>
      </c>
      <c r="Y5" s="29">
        <f t="shared" ref="Y5:Y8" si="4">V5*344.092/0.30397*10^(-6)</f>
        <v>0</v>
      </c>
    </row>
    <row r="6" spans="1:25" x14ac:dyDescent="0.35">
      <c r="C6" s="30" t="s">
        <v>17</v>
      </c>
      <c r="D6" s="31">
        <v>23</v>
      </c>
      <c r="E6" s="32">
        <v>50.942</v>
      </c>
      <c r="F6" s="126">
        <f t="shared" si="2"/>
        <v>0.9257111865667883</v>
      </c>
      <c r="G6" s="33">
        <f>$B$1*F6</f>
        <v>1851.4223731335767</v>
      </c>
      <c r="H6" s="76"/>
      <c r="S6" s="94">
        <v>6</v>
      </c>
      <c r="T6" s="25">
        <f>O29</f>
        <v>1611.0889393723821</v>
      </c>
      <c r="U6" s="26" t="s">
        <v>16</v>
      </c>
      <c r="V6" s="27">
        <f>Q29</f>
        <v>71.619293470013915</v>
      </c>
      <c r="W6" s="28">
        <f t="shared" si="3"/>
        <v>1.8237418670478061</v>
      </c>
      <c r="X6" s="26" t="s">
        <v>16</v>
      </c>
      <c r="Y6" s="29">
        <f t="shared" si="4"/>
        <v>8.1072559557469573E-2</v>
      </c>
    </row>
    <row r="7" spans="1:25" x14ac:dyDescent="0.35">
      <c r="C7" s="34" t="s">
        <v>18</v>
      </c>
      <c r="D7" s="35">
        <v>41</v>
      </c>
      <c r="E7" s="36">
        <v>92.906000000000006</v>
      </c>
      <c r="F7" s="128">
        <f t="shared" si="2"/>
        <v>0.95856067934676659</v>
      </c>
      <c r="G7" s="37">
        <f>$B$1*F7</f>
        <v>1917.1213586935332</v>
      </c>
      <c r="H7" s="77"/>
      <c r="S7" s="94">
        <v>7</v>
      </c>
      <c r="T7" s="25">
        <f>O35</f>
        <v>895.88590553884808</v>
      </c>
      <c r="U7" s="26" t="s">
        <v>16</v>
      </c>
      <c r="V7" s="27">
        <f>Q35</f>
        <v>51.337204871880367</v>
      </c>
      <c r="W7" s="28">
        <f t="shared" si="3"/>
        <v>1.0141368326106961</v>
      </c>
      <c r="X7" s="26" t="s">
        <v>16</v>
      </c>
      <c r="Y7" s="29">
        <f t="shared" si="4"/>
        <v>5.811337138130427E-2</v>
      </c>
    </row>
    <row r="8" spans="1:25" ht="15" thickBot="1" x14ac:dyDescent="0.4">
      <c r="C8" s="38" t="s">
        <v>19</v>
      </c>
      <c r="D8" s="39">
        <v>73</v>
      </c>
      <c r="E8" s="40">
        <v>180.95</v>
      </c>
      <c r="F8" s="129">
        <f t="shared" si="2"/>
        <v>0.97850521298958393</v>
      </c>
      <c r="G8" s="41">
        <f>$B$1*F8</f>
        <v>1957.0104259791678</v>
      </c>
      <c r="H8" s="78">
        <v>835</v>
      </c>
      <c r="I8" s="73"/>
      <c r="J8" s="42"/>
      <c r="S8" s="94">
        <v>8</v>
      </c>
      <c r="T8" s="95">
        <f>O41</f>
        <v>1558.3897684583324</v>
      </c>
      <c r="U8" s="26" t="s">
        <v>16</v>
      </c>
      <c r="V8" s="101">
        <f>Q41</f>
        <v>0</v>
      </c>
      <c r="W8" s="28">
        <f t="shared" si="3"/>
        <v>1.7640867592471772</v>
      </c>
      <c r="X8" s="26" t="s">
        <v>16</v>
      </c>
      <c r="Y8" s="29">
        <f t="shared" si="4"/>
        <v>0</v>
      </c>
    </row>
    <row r="9" spans="1:25" ht="15" thickBot="1" x14ac:dyDescent="0.4">
      <c r="C9" s="43" t="s">
        <v>20</v>
      </c>
      <c r="D9" s="44">
        <v>82</v>
      </c>
      <c r="E9" s="44">
        <v>207.2</v>
      </c>
      <c r="F9" s="45">
        <f t="shared" si="2"/>
        <v>0.9812026480871997</v>
      </c>
      <c r="G9" s="46">
        <f t="shared" ref="G9:G12" si="5">$B$1*F9</f>
        <v>1962.4052961743994</v>
      </c>
      <c r="H9" s="47">
        <v>836</v>
      </c>
      <c r="I9" s="73"/>
      <c r="S9" s="87"/>
      <c r="T9" s="96"/>
      <c r="U9" s="97"/>
      <c r="V9" s="98"/>
      <c r="W9" s="99"/>
      <c r="X9" s="97"/>
      <c r="Y9" s="100"/>
    </row>
    <row r="10" spans="1:25" ht="44" thickBot="1" x14ac:dyDescent="0.4">
      <c r="J10" s="1"/>
      <c r="K10" s="107" t="s">
        <v>21</v>
      </c>
      <c r="L10" s="48" t="s">
        <v>22</v>
      </c>
      <c r="M10" s="49" t="s">
        <v>23</v>
      </c>
      <c r="N10" s="50" t="s">
        <v>24</v>
      </c>
      <c r="O10" s="52" t="s">
        <v>30</v>
      </c>
      <c r="P10" s="53"/>
      <c r="Q10" s="54"/>
    </row>
    <row r="11" spans="1:25" ht="15" thickBot="1" x14ac:dyDescent="0.4">
      <c r="C11" s="82" t="s">
        <v>33</v>
      </c>
      <c r="D11" s="79">
        <v>17</v>
      </c>
      <c r="E11" s="79">
        <v>35.450000000000003</v>
      </c>
      <c r="F11" s="80">
        <f t="shared" si="2"/>
        <v>0.89499019427127813</v>
      </c>
      <c r="G11" s="81">
        <f t="shared" si="5"/>
        <v>1789.9803885425563</v>
      </c>
      <c r="H11" s="47"/>
      <c r="K11" s="55">
        <v>26</v>
      </c>
      <c r="L11" s="56"/>
      <c r="M11" s="57"/>
      <c r="N11" s="58"/>
      <c r="O11" s="60">
        <f>N11*10^3/$P$3</f>
        <v>0</v>
      </c>
      <c r="P11" s="61"/>
      <c r="Q11" s="62">
        <f t="shared" ref="Q11:Q16" si="6">($O$17-O11)^2</f>
        <v>0</v>
      </c>
    </row>
    <row r="12" spans="1:25" ht="15" thickBot="1" x14ac:dyDescent="0.4">
      <c r="C12" s="82" t="s">
        <v>34</v>
      </c>
      <c r="D12" s="79">
        <v>29</v>
      </c>
      <c r="E12" s="79">
        <v>63.545999999999999</v>
      </c>
      <c r="F12" s="80">
        <f t="shared" si="2"/>
        <v>0.93999634329545045</v>
      </c>
      <c r="G12" s="81">
        <f t="shared" si="5"/>
        <v>1879.9926865909008</v>
      </c>
      <c r="H12" s="47"/>
      <c r="K12" s="108">
        <v>28</v>
      </c>
      <c r="L12" s="56"/>
      <c r="M12" s="57"/>
      <c r="N12" s="58"/>
      <c r="O12" s="60">
        <f t="shared" ref="O12:O16" si="7">N12*10^3/$P$3</f>
        <v>0</v>
      </c>
      <c r="P12" s="61"/>
      <c r="Q12" s="62">
        <f t="shared" si="6"/>
        <v>0</v>
      </c>
    </row>
    <row r="13" spans="1:25" x14ac:dyDescent="0.35">
      <c r="K13" s="108">
        <v>30</v>
      </c>
      <c r="L13" s="56"/>
      <c r="M13" s="57"/>
      <c r="N13" s="58"/>
      <c r="O13" s="60">
        <f t="shared" si="7"/>
        <v>0</v>
      </c>
      <c r="P13" s="61"/>
      <c r="Q13" s="62">
        <f t="shared" si="6"/>
        <v>0</v>
      </c>
    </row>
    <row r="14" spans="1:25" x14ac:dyDescent="0.35">
      <c r="K14" s="108">
        <v>32</v>
      </c>
      <c r="L14" s="56"/>
      <c r="M14" s="57"/>
      <c r="N14" s="58"/>
      <c r="O14" s="60">
        <f t="shared" si="7"/>
        <v>0</v>
      </c>
      <c r="P14" s="61"/>
      <c r="Q14" s="62">
        <f t="shared" si="6"/>
        <v>0</v>
      </c>
    </row>
    <row r="15" spans="1:25" x14ac:dyDescent="0.35">
      <c r="K15" s="108">
        <v>34</v>
      </c>
      <c r="L15" s="88"/>
      <c r="M15" s="89"/>
      <c r="N15" s="90"/>
      <c r="O15" s="60">
        <f t="shared" si="7"/>
        <v>0</v>
      </c>
      <c r="P15" s="61"/>
      <c r="Q15" s="62">
        <f t="shared" si="6"/>
        <v>0</v>
      </c>
    </row>
    <row r="16" spans="1:25" ht="15" thickBot="1" x14ac:dyDescent="0.4">
      <c r="K16" s="64">
        <v>36</v>
      </c>
      <c r="L16" s="92"/>
      <c r="M16" s="65"/>
      <c r="N16" s="93"/>
      <c r="O16" s="91">
        <f t="shared" si="7"/>
        <v>0</v>
      </c>
      <c r="P16" s="61"/>
      <c r="Q16" s="62">
        <f t="shared" si="6"/>
        <v>0</v>
      </c>
    </row>
    <row r="17" spans="11:21" ht="15" thickBot="1" x14ac:dyDescent="0.4">
      <c r="L17" s="61"/>
      <c r="M17" s="61"/>
      <c r="N17" s="61"/>
      <c r="O17" s="109">
        <f>SUM(O11:O16)/6</f>
        <v>0</v>
      </c>
      <c r="P17" s="66" t="s">
        <v>16</v>
      </c>
      <c r="Q17" s="67">
        <f>SQRT(SUM(Q11:Q16))/5</f>
        <v>0</v>
      </c>
      <c r="R17" s="61"/>
      <c r="S17" s="61"/>
    </row>
    <row r="18" spans="11:21" ht="15" thickBot="1" x14ac:dyDescent="0.4"/>
    <row r="19" spans="11:21" ht="44" thickBot="1" x14ac:dyDescent="0.4">
      <c r="K19" s="107" t="s">
        <v>35</v>
      </c>
      <c r="L19" s="112" t="s">
        <v>22</v>
      </c>
      <c r="M19" s="113" t="s">
        <v>23</v>
      </c>
      <c r="N19" s="114" t="s">
        <v>24</v>
      </c>
      <c r="O19" s="115" t="s">
        <v>30</v>
      </c>
      <c r="P19" s="106"/>
      <c r="Q19" s="54"/>
    </row>
    <row r="20" spans="11:21" x14ac:dyDescent="0.35">
      <c r="K20" s="110">
        <v>14</v>
      </c>
      <c r="L20" s="118"/>
      <c r="M20" s="119"/>
      <c r="N20" s="120"/>
      <c r="O20" s="121">
        <f t="shared" ref="O20:O22" si="8">N20*10^3/$P$3</f>
        <v>0</v>
      </c>
      <c r="P20" s="61"/>
      <c r="Q20" s="62">
        <f>($O$23-O20)^2</f>
        <v>0</v>
      </c>
      <c r="R20">
        <v>3412</v>
      </c>
      <c r="S20" s="73">
        <f>R20*0.30397</f>
        <v>1037.14564</v>
      </c>
    </row>
    <row r="21" spans="11:21" x14ac:dyDescent="0.35">
      <c r="K21" s="94">
        <v>20</v>
      </c>
      <c r="L21" s="122"/>
      <c r="M21" s="117"/>
      <c r="N21" s="116"/>
      <c r="O21" s="123">
        <f t="shared" si="8"/>
        <v>0</v>
      </c>
      <c r="P21" s="61"/>
      <c r="Q21" s="62">
        <f>($O$23-O21)^2</f>
        <v>0</v>
      </c>
      <c r="R21">
        <v>3548</v>
      </c>
      <c r="S21" s="73">
        <f t="shared" ref="S21:S22" si="9">R21*0.30397</f>
        <v>1078.4855600000001</v>
      </c>
    </row>
    <row r="22" spans="11:21" ht="15" thickBot="1" x14ac:dyDescent="0.4">
      <c r="K22" s="111">
        <v>26</v>
      </c>
      <c r="L22" s="124"/>
      <c r="M22" s="68"/>
      <c r="N22" s="93"/>
      <c r="O22" s="125">
        <f t="shared" si="8"/>
        <v>0</v>
      </c>
      <c r="P22" s="61"/>
      <c r="Q22" s="62">
        <f>($O$23-O22)^2</f>
        <v>0</v>
      </c>
      <c r="R22">
        <v>3581</v>
      </c>
      <c r="S22" s="73">
        <f t="shared" si="9"/>
        <v>1088.51657</v>
      </c>
    </row>
    <row r="23" spans="11:21" ht="15" thickBot="1" x14ac:dyDescent="0.4">
      <c r="L23" s="61"/>
      <c r="M23" s="61"/>
      <c r="N23" s="61"/>
      <c r="O23" s="69">
        <f>SUM(O20:O22)/3</f>
        <v>0</v>
      </c>
      <c r="P23" s="66" t="s">
        <v>16</v>
      </c>
      <c r="Q23" s="70">
        <f>SQRT(SUM(Q20:Q21))/2</f>
        <v>0</v>
      </c>
    </row>
    <row r="24" spans="11:21" ht="15" thickBot="1" x14ac:dyDescent="0.4">
      <c r="L24" s="61"/>
      <c r="M24" s="61"/>
      <c r="N24" s="61"/>
      <c r="O24" s="61"/>
      <c r="P24" s="61"/>
      <c r="Q24" s="61"/>
      <c r="R24" s="61"/>
      <c r="S24" s="61"/>
    </row>
    <row r="25" spans="11:21" ht="44" thickBot="1" x14ac:dyDescent="0.4">
      <c r="K25" s="107" t="s">
        <v>31</v>
      </c>
      <c r="L25" s="112" t="s">
        <v>22</v>
      </c>
      <c r="M25" s="113" t="s">
        <v>23</v>
      </c>
      <c r="N25" s="114" t="s">
        <v>24</v>
      </c>
      <c r="O25" s="115" t="s">
        <v>30</v>
      </c>
      <c r="P25" s="106"/>
      <c r="Q25" s="54"/>
      <c r="R25" s="61"/>
      <c r="S25" s="61"/>
      <c r="T25" s="61"/>
      <c r="U25" s="61"/>
    </row>
    <row r="26" spans="11:21" x14ac:dyDescent="0.35">
      <c r="K26" s="110">
        <v>52</v>
      </c>
      <c r="L26" s="138">
        <v>840</v>
      </c>
      <c r="M26" s="139">
        <v>775</v>
      </c>
      <c r="N26" s="140">
        <f t="shared" ref="N26:N28" si="10">(L26-M26)*2.3486</f>
        <v>152.65899999999999</v>
      </c>
      <c r="O26" s="141">
        <f t="shared" ref="O26:O28" si="11">N26*10^3/$P$3</f>
        <v>1468.0483326056756</v>
      </c>
      <c r="P26" s="61"/>
      <c r="Q26" s="62">
        <f>($O$29-O26)^2</f>
        <v>20460.61518418758</v>
      </c>
      <c r="R26">
        <v>4277</v>
      </c>
      <c r="S26" s="73">
        <f t="shared" ref="S26:S28" si="12">R26*0.30397</f>
        <v>1300.07969</v>
      </c>
    </row>
    <row r="27" spans="11:21" x14ac:dyDescent="0.35">
      <c r="K27" s="94">
        <v>58</v>
      </c>
      <c r="L27" s="142">
        <v>840</v>
      </c>
      <c r="M27" s="137">
        <v>769</v>
      </c>
      <c r="N27" s="136">
        <f t="shared" si="10"/>
        <v>166.75059999999999</v>
      </c>
      <c r="O27" s="91">
        <f t="shared" si="11"/>
        <v>1603.5604863846609</v>
      </c>
      <c r="P27" s="61"/>
      <c r="Q27" s="62">
        <f>($O$29-O27)^2</f>
        <v>56.677604388329257</v>
      </c>
      <c r="R27">
        <v>4527</v>
      </c>
      <c r="S27" s="73">
        <f t="shared" si="12"/>
        <v>1376.0721900000001</v>
      </c>
    </row>
    <row r="28" spans="11:21" ht="15" thickBot="1" x14ac:dyDescent="0.4">
      <c r="K28" s="111">
        <v>63</v>
      </c>
      <c r="L28" s="143">
        <v>840</v>
      </c>
      <c r="M28" s="147">
        <v>762</v>
      </c>
      <c r="N28" s="145">
        <f t="shared" si="10"/>
        <v>183.1908</v>
      </c>
      <c r="O28" s="146">
        <f t="shared" si="11"/>
        <v>1761.6579991268104</v>
      </c>
      <c r="P28" s="61"/>
      <c r="Q28" s="62">
        <f>($O$29-O28)^2</f>
        <v>22671.041755332593</v>
      </c>
      <c r="R28">
        <v>4893</v>
      </c>
      <c r="S28" s="73">
        <f t="shared" si="12"/>
        <v>1487.3252100000002</v>
      </c>
    </row>
    <row r="29" spans="11:21" ht="15" thickBot="1" x14ac:dyDescent="0.4">
      <c r="L29" s="61"/>
      <c r="M29" s="61"/>
      <c r="N29" s="61"/>
      <c r="O29" s="69">
        <f>SUM(O26:O28)/3</f>
        <v>1611.0889393723821</v>
      </c>
      <c r="P29" s="66" t="s">
        <v>16</v>
      </c>
      <c r="Q29" s="70">
        <f>SQRT(SUM(Q26:Q27))/2</f>
        <v>71.619293470013915</v>
      </c>
    </row>
    <row r="30" spans="11:21" ht="15" thickBot="1" x14ac:dyDescent="0.4">
      <c r="R30" s="61"/>
      <c r="S30" s="61"/>
    </row>
    <row r="31" spans="11:21" ht="44" thickBot="1" x14ac:dyDescent="0.4">
      <c r="K31" s="107" t="s">
        <v>36</v>
      </c>
      <c r="L31" s="112" t="s">
        <v>22</v>
      </c>
      <c r="M31" s="113" t="s">
        <v>23</v>
      </c>
      <c r="N31" s="114" t="s">
        <v>24</v>
      </c>
      <c r="O31" s="115" t="s">
        <v>30</v>
      </c>
      <c r="P31" s="106"/>
      <c r="Q31" s="54"/>
    </row>
    <row r="32" spans="11:21" x14ac:dyDescent="0.35">
      <c r="K32" s="110">
        <v>63</v>
      </c>
      <c r="L32" s="138">
        <v>832</v>
      </c>
      <c r="M32" s="139">
        <v>796</v>
      </c>
      <c r="N32" s="140">
        <f t="shared" ref="N32:N34" si="13">(L32-M32)*2.3486</f>
        <v>84.549599999999998</v>
      </c>
      <c r="O32" s="141">
        <f t="shared" ref="O32:O34" si="14">N32*10^3/$P$3</f>
        <v>813.07292267391244</v>
      </c>
      <c r="P32" s="61"/>
      <c r="Q32" s="62">
        <f>($O$35-O32)^2</f>
        <v>6857.9901309881234</v>
      </c>
      <c r="R32">
        <v>2393</v>
      </c>
      <c r="S32" s="73">
        <f t="shared" ref="S32:S34" si="15">R32*0.30397</f>
        <v>727.40021000000002</v>
      </c>
    </row>
    <row r="33" spans="11:19" x14ac:dyDescent="0.35">
      <c r="K33" s="94">
        <v>58</v>
      </c>
      <c r="L33" s="142">
        <v>833</v>
      </c>
      <c r="M33" s="137">
        <v>792</v>
      </c>
      <c r="N33" s="136">
        <f t="shared" si="13"/>
        <v>96.292599999999993</v>
      </c>
      <c r="O33" s="91">
        <f t="shared" si="14"/>
        <v>925.99971748973371</v>
      </c>
      <c r="P33" s="61"/>
      <c r="Q33" s="62">
        <f>($O$35-O33)^2</f>
        <v>906.84167021330245</v>
      </c>
      <c r="R33">
        <v>2637</v>
      </c>
      <c r="S33" s="73">
        <f t="shared" si="15"/>
        <v>801.56889000000001</v>
      </c>
    </row>
    <row r="34" spans="11:19" ht="15" thickBot="1" x14ac:dyDescent="0.4">
      <c r="K34" s="111">
        <v>52</v>
      </c>
      <c r="L34" s="143">
        <v>833</v>
      </c>
      <c r="M34" s="147">
        <v>791</v>
      </c>
      <c r="N34" s="145">
        <f t="shared" si="13"/>
        <v>98.641199999999998</v>
      </c>
      <c r="O34" s="146">
        <f t="shared" si="14"/>
        <v>948.58507645289797</v>
      </c>
      <c r="P34" s="61"/>
      <c r="Q34" s="62">
        <f>($O$35-O34)^2</f>
        <v>2777.2026150282418</v>
      </c>
      <c r="R34">
        <v>2779</v>
      </c>
      <c r="S34" s="73">
        <f t="shared" si="15"/>
        <v>844.73263000000009</v>
      </c>
    </row>
    <row r="35" spans="11:19" ht="15" thickBot="1" x14ac:dyDescent="0.4">
      <c r="L35" s="61"/>
      <c r="M35" s="61"/>
      <c r="N35" s="61"/>
      <c r="O35" s="69">
        <f>SUM(O32:O34)/3</f>
        <v>895.88590553884808</v>
      </c>
      <c r="P35" s="66" t="s">
        <v>16</v>
      </c>
      <c r="Q35" s="70">
        <f>SQRT(SUM(Q32:Q34))/2</f>
        <v>51.337204871880367</v>
      </c>
      <c r="R35" s="61"/>
      <c r="S35" s="61"/>
    </row>
    <row r="36" spans="11:19" ht="15" thickBot="1" x14ac:dyDescent="0.4">
      <c r="L36" s="61"/>
      <c r="M36" s="61"/>
      <c r="N36" s="61"/>
      <c r="O36" s="61"/>
      <c r="P36" s="61"/>
      <c r="Q36" s="63"/>
      <c r="R36" s="61"/>
      <c r="S36" s="61"/>
    </row>
    <row r="37" spans="11:19" ht="44" thickBot="1" x14ac:dyDescent="0.4">
      <c r="K37" s="107" t="s">
        <v>32</v>
      </c>
      <c r="L37" s="112" t="s">
        <v>22</v>
      </c>
      <c r="M37" s="113" t="s">
        <v>23</v>
      </c>
      <c r="N37" s="114" t="s">
        <v>24</v>
      </c>
      <c r="O37" s="115" t="s">
        <v>30</v>
      </c>
      <c r="P37" s="53"/>
      <c r="Q37" s="54"/>
    </row>
    <row r="38" spans="11:19" x14ac:dyDescent="0.35">
      <c r="K38" s="110">
        <v>26</v>
      </c>
      <c r="L38" s="138">
        <v>836</v>
      </c>
      <c r="M38" s="139">
        <v>767</v>
      </c>
      <c r="N38" s="140">
        <f>(L38-M38)*2.3486</f>
        <v>162.05339999999998</v>
      </c>
      <c r="O38" s="141">
        <f t="shared" ref="O38:O40" si="16">N38*10^3/$P$3</f>
        <v>1558.3897684583324</v>
      </c>
      <c r="P38" s="61"/>
      <c r="Q38" s="62">
        <f>($O$41-O38)^2</f>
        <v>0</v>
      </c>
      <c r="R38">
        <v>3910</v>
      </c>
      <c r="S38" s="73">
        <f t="shared" ref="S38:S40" si="17">R38*0.30397</f>
        <v>1188.5227</v>
      </c>
    </row>
    <row r="39" spans="11:19" x14ac:dyDescent="0.35">
      <c r="K39" s="94">
        <v>20</v>
      </c>
      <c r="L39" s="142">
        <v>836</v>
      </c>
      <c r="M39" s="135">
        <v>767</v>
      </c>
      <c r="N39" s="136">
        <f t="shared" ref="N39:N40" si="18">(L39-M39)*2.3486</f>
        <v>162.05339999999998</v>
      </c>
      <c r="O39" s="91">
        <f t="shared" si="16"/>
        <v>1558.3897684583324</v>
      </c>
      <c r="P39" s="61"/>
      <c r="Q39" s="62">
        <f>($O$41-O39)^2</f>
        <v>0</v>
      </c>
      <c r="R39">
        <v>4277</v>
      </c>
      <c r="S39" s="73">
        <f t="shared" si="17"/>
        <v>1300.07969</v>
      </c>
    </row>
    <row r="40" spans="11:19" ht="15" thickBot="1" x14ac:dyDescent="0.4">
      <c r="K40" s="111">
        <v>14</v>
      </c>
      <c r="L40" s="143">
        <v>836</v>
      </c>
      <c r="M40" s="144">
        <v>767</v>
      </c>
      <c r="N40" s="145">
        <f t="shared" si="18"/>
        <v>162.05339999999998</v>
      </c>
      <c r="O40" s="146">
        <f t="shared" si="16"/>
        <v>1558.3897684583324</v>
      </c>
      <c r="P40" s="71"/>
      <c r="Q40" s="105">
        <f>($O$41-O40)^2</f>
        <v>0</v>
      </c>
      <c r="R40">
        <v>4451</v>
      </c>
      <c r="S40" s="73">
        <f t="shared" si="17"/>
        <v>1352.97047</v>
      </c>
    </row>
    <row r="41" spans="11:19" ht="15" thickBot="1" x14ac:dyDescent="0.4">
      <c r="L41" s="61"/>
      <c r="M41" s="61"/>
      <c r="N41" s="61"/>
      <c r="O41" s="69">
        <f>SUM(O38:O40)/3</f>
        <v>1558.3897684583324</v>
      </c>
      <c r="P41" s="103" t="s">
        <v>16</v>
      </c>
      <c r="Q41" s="104">
        <f>SQRT(SUM(Q38:Q39))/2</f>
        <v>0</v>
      </c>
      <c r="R41" s="61"/>
      <c r="S41" s="61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zoomScale="77" zoomScaleNormal="77" workbookViewId="0">
      <selection activeCell="T8" sqref="T8"/>
    </sheetView>
  </sheetViews>
  <sheetFormatPr defaultColWidth="8.54296875" defaultRowHeight="14.5" x14ac:dyDescent="0.35"/>
  <cols>
    <col min="1" max="1" width="8.26953125" bestFit="1" customWidth="1"/>
    <col min="5" max="5" width="12.453125" customWidth="1"/>
    <col min="6" max="6" width="9.1796875" customWidth="1"/>
    <col min="7" max="7" width="12" bestFit="1" customWidth="1"/>
    <col min="10" max="10" width="15.453125" customWidth="1"/>
    <col min="11" max="11" width="7.26953125" bestFit="1" customWidth="1"/>
    <col min="12" max="13" width="8" bestFit="1" customWidth="1"/>
    <col min="14" max="14" width="8.26953125" bestFit="1" customWidth="1"/>
    <col min="15" max="15" width="8.7265625" customWidth="1"/>
    <col min="16" max="16" width="10" customWidth="1"/>
    <col min="17" max="17" width="7.6328125" bestFit="1" customWidth="1"/>
    <col min="18" max="18" width="19.7265625" bestFit="1" customWidth="1"/>
    <col min="19" max="19" width="8.54296875" bestFit="1" customWidth="1"/>
    <col min="20" max="20" width="6.7265625" bestFit="1" customWidth="1"/>
    <col min="22" max="22" width="8.453125" bestFit="1" customWidth="1"/>
    <col min="23" max="23" width="7.453125" bestFit="1" customWidth="1"/>
    <col min="24" max="24" width="8.1796875" customWidth="1"/>
    <col min="25" max="25" width="8" bestFit="1" customWidth="1"/>
    <col min="26" max="26" width="7.453125" bestFit="1" customWidth="1"/>
    <col min="27" max="27" width="7.7265625" bestFit="1" customWidth="1"/>
    <col min="28" max="29" width="15.26953125" bestFit="1" customWidth="1"/>
    <col min="30" max="31" width="19.7265625" bestFit="1" customWidth="1"/>
    <col min="32" max="32" width="8.54296875" bestFit="1" customWidth="1"/>
    <col min="33" max="33" width="5.26953125" bestFit="1" customWidth="1"/>
    <col min="34" max="35" width="7.453125" bestFit="1" customWidth="1"/>
    <col min="37" max="37" width="9.81640625" customWidth="1"/>
    <col min="38" max="39" width="7.36328125" bestFit="1" customWidth="1"/>
    <col min="40" max="40" width="7.26953125" bestFit="1" customWidth="1"/>
    <col min="41" max="42" width="14.36328125" bestFit="1" customWidth="1"/>
    <col min="43" max="43" width="20.1796875" customWidth="1"/>
    <col min="44" max="44" width="11.36328125" customWidth="1"/>
    <col min="45" max="45" width="7.81640625" bestFit="1" customWidth="1"/>
    <col min="46" max="46" width="6.1796875" bestFit="1" customWidth="1"/>
  </cols>
  <sheetData>
    <row r="1" spans="1:25" ht="15" thickBot="1" x14ac:dyDescent="0.4">
      <c r="A1" s="2" t="s">
        <v>1</v>
      </c>
      <c r="B1" s="3">
        <v>1750</v>
      </c>
      <c r="C1" s="4" t="s">
        <v>2</v>
      </c>
    </row>
    <row r="2" spans="1:25" ht="33" customHeight="1" thickBot="1" x14ac:dyDescent="0.4">
      <c r="A2" s="5" t="s">
        <v>3</v>
      </c>
      <c r="B2" s="6">
        <v>11.31</v>
      </c>
      <c r="C2" s="7" t="s">
        <v>4</v>
      </c>
      <c r="G2" s="8" t="s">
        <v>5</v>
      </c>
      <c r="L2" s="49" t="s">
        <v>25</v>
      </c>
      <c r="M2" s="50" t="s">
        <v>26</v>
      </c>
      <c r="N2" s="49" t="s">
        <v>27</v>
      </c>
      <c r="O2" s="50" t="s">
        <v>28</v>
      </c>
      <c r="P2" s="51" t="s">
        <v>29</v>
      </c>
    </row>
    <row r="3" spans="1:25" ht="44" thickBot="1" x14ac:dyDescent="0.4">
      <c r="C3" s="9" t="s">
        <v>6</v>
      </c>
      <c r="D3" s="10" t="s">
        <v>7</v>
      </c>
      <c r="E3" s="10" t="s">
        <v>8</v>
      </c>
      <c r="F3" s="10" t="s">
        <v>9</v>
      </c>
      <c r="G3" s="10" t="s">
        <v>10</v>
      </c>
      <c r="H3" s="11" t="s">
        <v>11</v>
      </c>
      <c r="L3" s="57">
        <v>48.5</v>
      </c>
      <c r="M3" s="102">
        <f t="shared" ref="M3" si="0">L3*$B$2/10</f>
        <v>54.853499999999997</v>
      </c>
      <c r="N3" s="72">
        <v>48.9</v>
      </c>
      <c r="O3" s="131">
        <f t="shared" ref="O3" si="1">N3*$B$2/10</f>
        <v>55.305899999999994</v>
      </c>
      <c r="P3" s="130">
        <f>(($F$10/COS(RADIANS(0))*M3)+(1/COS(RADIANS(40))*O3))</f>
        <v>126.12306762020978</v>
      </c>
      <c r="S3" s="17" t="s">
        <v>0</v>
      </c>
      <c r="T3" s="18"/>
      <c r="U3" s="19" t="s">
        <v>13</v>
      </c>
      <c r="V3" s="20"/>
      <c r="W3" s="19"/>
      <c r="X3" s="19" t="s">
        <v>14</v>
      </c>
      <c r="Y3" s="20"/>
    </row>
    <row r="4" spans="1:25" x14ac:dyDescent="0.35">
      <c r="C4" s="132" t="s">
        <v>37</v>
      </c>
      <c r="D4" s="132">
        <v>6</v>
      </c>
      <c r="E4" s="132">
        <v>12.010999999999999</v>
      </c>
      <c r="F4" s="133">
        <f>((SQRT(1-(1/E4)^2*SIN(RADIANS(140))^2)+1/E4*COS(RADIANS(140)))/(1+1/E4))^2</f>
        <v>0.7446695540402003</v>
      </c>
      <c r="G4" s="134">
        <f t="shared" ref="G4:G10" si="2">$B$1*F4</f>
        <v>1303.1717195703504</v>
      </c>
      <c r="H4" s="132"/>
      <c r="S4" s="94">
        <v>1</v>
      </c>
      <c r="T4" s="84">
        <f>O17</f>
        <v>0</v>
      </c>
      <c r="U4" s="85" t="s">
        <v>16</v>
      </c>
      <c r="V4" s="86">
        <f>Q17</f>
        <v>0</v>
      </c>
      <c r="W4" s="28">
        <f>T4*344.092/0.30397*10^(-6)</f>
        <v>0</v>
      </c>
      <c r="X4" s="26" t="s">
        <v>16</v>
      </c>
      <c r="Y4" s="29">
        <f>V4*344.092/0.30397*10^(-6)</f>
        <v>0</v>
      </c>
    </row>
    <row r="5" spans="1:25" x14ac:dyDescent="0.35">
      <c r="C5" s="12" t="s">
        <v>12</v>
      </c>
      <c r="D5" s="13">
        <v>8</v>
      </c>
      <c r="E5" s="14">
        <v>15.999000000000001</v>
      </c>
      <c r="F5" s="15">
        <f>((SQRT(1-(1/E5)^2*SIN(RADIANS(140))^2)+1/E5*COS(RADIANS(140)))/(1+1/E5))^2</f>
        <v>0.80164984619565405</v>
      </c>
      <c r="G5" s="16">
        <f t="shared" si="2"/>
        <v>1402.8872308423945</v>
      </c>
      <c r="H5" s="74"/>
      <c r="S5" s="94">
        <v>3</v>
      </c>
      <c r="T5" s="25">
        <f>O23</f>
        <v>0</v>
      </c>
      <c r="U5" s="26" t="s">
        <v>16</v>
      </c>
      <c r="V5" s="27">
        <f>Q23</f>
        <v>0</v>
      </c>
      <c r="W5" s="28">
        <f t="shared" ref="W5:W8" si="3">T5*344.092/0.30397*10^(-6)</f>
        <v>0</v>
      </c>
      <c r="X5" s="26" t="s">
        <v>16</v>
      </c>
      <c r="Y5" s="29">
        <f t="shared" ref="Y5:Y8" si="4">V5*344.092/0.30397*10^(-6)</f>
        <v>0</v>
      </c>
    </row>
    <row r="6" spans="1:25" x14ac:dyDescent="0.35">
      <c r="C6" s="21" t="s">
        <v>15</v>
      </c>
      <c r="D6" s="22">
        <v>14</v>
      </c>
      <c r="E6" s="23">
        <v>28.085000000000001</v>
      </c>
      <c r="F6" s="127">
        <f t="shared" ref="F6:F10" si="5">((SQRT(1-(1/E6)^2*SIN(RADIANS(140))^2)+1/E6*COS(RADIANS(140)))/(1+1/E6))^2</f>
        <v>0.88177160904627028</v>
      </c>
      <c r="G6" s="24">
        <f t="shared" si="2"/>
        <v>1543.1003158309729</v>
      </c>
      <c r="H6" s="75"/>
      <c r="S6" s="94">
        <v>6</v>
      </c>
      <c r="T6" s="25">
        <f>O29</f>
        <v>0</v>
      </c>
      <c r="U6" s="26" t="s">
        <v>16</v>
      </c>
      <c r="V6" s="27">
        <f>Q29</f>
        <v>0</v>
      </c>
      <c r="W6" s="28">
        <f t="shared" si="3"/>
        <v>0</v>
      </c>
      <c r="X6" s="26" t="s">
        <v>16</v>
      </c>
      <c r="Y6" s="29">
        <f t="shared" si="4"/>
        <v>0</v>
      </c>
    </row>
    <row r="7" spans="1:25" x14ac:dyDescent="0.35">
      <c r="C7" s="30" t="s">
        <v>17</v>
      </c>
      <c r="D7" s="31">
        <v>23</v>
      </c>
      <c r="E7" s="32">
        <v>50.942</v>
      </c>
      <c r="F7" s="126">
        <f t="shared" si="5"/>
        <v>0.93300454820854928</v>
      </c>
      <c r="G7" s="33">
        <f t="shared" si="2"/>
        <v>1632.7579593649612</v>
      </c>
      <c r="H7" s="76"/>
      <c r="S7" s="94">
        <v>7</v>
      </c>
      <c r="T7" s="25">
        <f>O35</f>
        <v>0</v>
      </c>
      <c r="U7" s="26" t="s">
        <v>16</v>
      </c>
      <c r="V7" s="27">
        <f>Q35</f>
        <v>0</v>
      </c>
      <c r="W7" s="28">
        <f t="shared" si="3"/>
        <v>0</v>
      </c>
      <c r="X7" s="26" t="s">
        <v>16</v>
      </c>
      <c r="Y7" s="29">
        <f t="shared" si="4"/>
        <v>0</v>
      </c>
    </row>
    <row r="8" spans="1:25" ht="15" thickBot="1" x14ac:dyDescent="0.4">
      <c r="C8" s="34" t="s">
        <v>18</v>
      </c>
      <c r="D8" s="35">
        <v>41</v>
      </c>
      <c r="E8" s="36">
        <v>92.906000000000006</v>
      </c>
      <c r="F8" s="128">
        <f t="shared" si="5"/>
        <v>0.96269419039260573</v>
      </c>
      <c r="G8" s="37">
        <f t="shared" si="2"/>
        <v>1684.7148331870601</v>
      </c>
      <c r="H8" s="77"/>
      <c r="I8" s="73"/>
      <c r="J8" s="42"/>
      <c r="S8" s="94">
        <v>8</v>
      </c>
      <c r="T8" s="95">
        <f>O41</f>
        <v>264.29212325939369</v>
      </c>
      <c r="U8" s="26" t="s">
        <v>16</v>
      </c>
      <c r="V8" s="101">
        <f>Q41</f>
        <v>295.4875767628788</v>
      </c>
      <c r="W8" s="28">
        <f t="shared" si="3"/>
        <v>0.29917690981534784</v>
      </c>
      <c r="X8" s="26" t="s">
        <v>16</v>
      </c>
      <c r="Y8" s="29">
        <f t="shared" si="4"/>
        <v>0.3344899538227209</v>
      </c>
    </row>
    <row r="9" spans="1:25" ht="15" thickBot="1" x14ac:dyDescent="0.4">
      <c r="C9" s="38" t="s">
        <v>19</v>
      </c>
      <c r="D9" s="39">
        <v>73</v>
      </c>
      <c r="E9" s="40">
        <v>180.95</v>
      </c>
      <c r="F9" s="129">
        <f t="shared" si="5"/>
        <v>0.98066936795692483</v>
      </c>
      <c r="G9" s="41">
        <f t="shared" si="2"/>
        <v>1716.1713939246185</v>
      </c>
      <c r="H9" s="78"/>
      <c r="I9" s="73"/>
      <c r="S9" s="87"/>
      <c r="T9" s="96"/>
      <c r="U9" s="97"/>
      <c r="V9" s="98"/>
      <c r="W9" s="99"/>
      <c r="X9" s="97"/>
      <c r="Y9" s="100"/>
    </row>
    <row r="10" spans="1:25" ht="44" thickBot="1" x14ac:dyDescent="0.4">
      <c r="C10" s="43" t="s">
        <v>20</v>
      </c>
      <c r="D10" s="44">
        <v>82</v>
      </c>
      <c r="E10" s="44">
        <v>207.2</v>
      </c>
      <c r="F10" s="45">
        <f t="shared" si="5"/>
        <v>0.98309757111447271</v>
      </c>
      <c r="G10" s="46">
        <f t="shared" si="2"/>
        <v>1720.4207494503273</v>
      </c>
      <c r="H10" s="47"/>
      <c r="J10" s="1"/>
      <c r="K10" s="107" t="s">
        <v>21</v>
      </c>
      <c r="L10" s="48" t="s">
        <v>22</v>
      </c>
      <c r="M10" s="49" t="s">
        <v>23</v>
      </c>
      <c r="N10" s="50" t="s">
        <v>24</v>
      </c>
      <c r="O10" s="52" t="s">
        <v>30</v>
      </c>
      <c r="P10" s="53"/>
      <c r="Q10" s="54"/>
    </row>
    <row r="11" spans="1:25" ht="15" thickBot="1" x14ac:dyDescent="0.4">
      <c r="C11" s="82" t="s">
        <v>33</v>
      </c>
      <c r="D11" s="79">
        <v>17</v>
      </c>
      <c r="E11" s="79">
        <v>35.450000000000003</v>
      </c>
      <c r="F11" s="80">
        <f t="shared" ref="F11:F12" si="6">((SQRT(1-(1/E11)^2*SIN(RADIANS(165))^2)+1/E11*COS(RADIANS(165)))/(1+1/E11))^2</f>
        <v>0.89499019427127813</v>
      </c>
      <c r="G11" s="81">
        <f t="shared" ref="G11:G12" si="7">$B$1*F11</f>
        <v>1566.2328399747366</v>
      </c>
      <c r="H11" s="47"/>
      <c r="K11" s="55">
        <v>26</v>
      </c>
      <c r="L11" s="56"/>
      <c r="M11" s="57"/>
      <c r="N11" s="58"/>
      <c r="O11" s="60">
        <f>N11*10^3/$P$3</f>
        <v>0</v>
      </c>
      <c r="P11" s="61"/>
      <c r="Q11" s="62">
        <f t="shared" ref="Q11:Q16" si="8">($O$17-O11)^2</f>
        <v>0</v>
      </c>
    </row>
    <row r="12" spans="1:25" ht="15" thickBot="1" x14ac:dyDescent="0.4">
      <c r="C12" s="82" t="s">
        <v>34</v>
      </c>
      <c r="D12" s="79">
        <v>29</v>
      </c>
      <c r="E12" s="79">
        <v>63.545999999999999</v>
      </c>
      <c r="F12" s="80">
        <f t="shared" si="6"/>
        <v>0.93999634329545045</v>
      </c>
      <c r="G12" s="81">
        <f t="shared" si="7"/>
        <v>1644.9936007670383</v>
      </c>
      <c r="H12" s="47"/>
      <c r="K12" s="108">
        <v>28</v>
      </c>
      <c r="L12" s="56"/>
      <c r="M12" s="57"/>
      <c r="N12" s="58"/>
      <c r="O12" s="60">
        <f t="shared" ref="O12:O16" si="9">N12*10^3/$P$3</f>
        <v>0</v>
      </c>
      <c r="P12" s="61"/>
      <c r="Q12" s="62">
        <f t="shared" si="8"/>
        <v>0</v>
      </c>
    </row>
    <row r="13" spans="1:25" x14ac:dyDescent="0.35">
      <c r="K13" s="108">
        <v>30</v>
      </c>
      <c r="L13" s="56"/>
      <c r="M13" s="57"/>
      <c r="N13" s="58"/>
      <c r="O13" s="60">
        <f t="shared" si="9"/>
        <v>0</v>
      </c>
      <c r="P13" s="61"/>
      <c r="Q13" s="62">
        <f t="shared" si="8"/>
        <v>0</v>
      </c>
    </row>
    <row r="14" spans="1:25" x14ac:dyDescent="0.35">
      <c r="K14" s="108">
        <v>32</v>
      </c>
      <c r="L14" s="56"/>
      <c r="M14" s="57"/>
      <c r="N14" s="58"/>
      <c r="O14" s="60">
        <f t="shared" si="9"/>
        <v>0</v>
      </c>
      <c r="P14" s="61"/>
      <c r="Q14" s="62">
        <f t="shared" si="8"/>
        <v>0</v>
      </c>
    </row>
    <row r="15" spans="1:25" x14ac:dyDescent="0.35">
      <c r="K15" s="108">
        <v>34</v>
      </c>
      <c r="L15" s="88"/>
      <c r="M15" s="89"/>
      <c r="N15" s="90"/>
      <c r="O15" s="60">
        <f t="shared" si="9"/>
        <v>0</v>
      </c>
      <c r="P15" s="61"/>
      <c r="Q15" s="62">
        <f t="shared" si="8"/>
        <v>0</v>
      </c>
    </row>
    <row r="16" spans="1:25" ht="15" thickBot="1" x14ac:dyDescent="0.4">
      <c r="K16" s="64">
        <v>36</v>
      </c>
      <c r="L16" s="92"/>
      <c r="M16" s="65"/>
      <c r="N16" s="93"/>
      <c r="O16" s="91">
        <f t="shared" si="9"/>
        <v>0</v>
      </c>
      <c r="P16" s="61"/>
      <c r="Q16" s="62">
        <f t="shared" si="8"/>
        <v>0</v>
      </c>
    </row>
    <row r="17" spans="11:21" ht="15" thickBot="1" x14ac:dyDescent="0.4">
      <c r="L17" s="61"/>
      <c r="M17" s="61"/>
      <c r="N17" s="61"/>
      <c r="O17" s="109">
        <f>SUM(O11:O16)/6</f>
        <v>0</v>
      </c>
      <c r="P17" s="66" t="s">
        <v>16</v>
      </c>
      <c r="Q17" s="67">
        <f>SQRT(SUM(Q11:Q16))/5</f>
        <v>0</v>
      </c>
      <c r="R17" s="61"/>
      <c r="S17" s="61"/>
    </row>
    <row r="18" spans="11:21" ht="15" thickBot="1" x14ac:dyDescent="0.4"/>
    <row r="19" spans="11:21" ht="44" thickBot="1" x14ac:dyDescent="0.4">
      <c r="K19" s="107" t="s">
        <v>35</v>
      </c>
      <c r="L19" s="112" t="s">
        <v>22</v>
      </c>
      <c r="M19" s="113" t="s">
        <v>23</v>
      </c>
      <c r="N19" s="114" t="s">
        <v>24</v>
      </c>
      <c r="O19" s="115" t="s">
        <v>30</v>
      </c>
      <c r="P19" s="106"/>
      <c r="Q19" s="54"/>
    </row>
    <row r="20" spans="11:21" x14ac:dyDescent="0.35">
      <c r="K20" s="110">
        <v>14</v>
      </c>
      <c r="L20" s="118"/>
      <c r="M20" s="119"/>
      <c r="N20" s="120"/>
      <c r="O20" s="121">
        <f t="shared" ref="O20:O22" si="10">N20*10^3/$P$3</f>
        <v>0</v>
      </c>
      <c r="P20" s="61"/>
      <c r="Q20" s="62">
        <f>($O$23-O20)^2</f>
        <v>0</v>
      </c>
    </row>
    <row r="21" spans="11:21" x14ac:dyDescent="0.35">
      <c r="K21" s="94">
        <v>20</v>
      </c>
      <c r="L21" s="122"/>
      <c r="M21" s="117"/>
      <c r="N21" s="116"/>
      <c r="O21" s="123">
        <f t="shared" si="10"/>
        <v>0</v>
      </c>
      <c r="P21" s="61"/>
      <c r="Q21" s="62">
        <f>($O$23-O21)^2</f>
        <v>0</v>
      </c>
    </row>
    <row r="22" spans="11:21" ht="15" thickBot="1" x14ac:dyDescent="0.4">
      <c r="K22" s="111">
        <v>26</v>
      </c>
      <c r="L22" s="124"/>
      <c r="M22" s="68"/>
      <c r="N22" s="93"/>
      <c r="O22" s="125">
        <f t="shared" si="10"/>
        <v>0</v>
      </c>
      <c r="P22" s="61"/>
      <c r="Q22" s="62">
        <f>($O$23-O22)^2</f>
        <v>0</v>
      </c>
    </row>
    <row r="23" spans="11:21" ht="15" thickBot="1" x14ac:dyDescent="0.4">
      <c r="L23" s="61"/>
      <c r="M23" s="61"/>
      <c r="N23" s="61"/>
      <c r="O23" s="69">
        <f>SUM(O20:O22)/3</f>
        <v>0</v>
      </c>
      <c r="P23" s="66" t="s">
        <v>16</v>
      </c>
      <c r="Q23" s="70">
        <f>SQRT(SUM(Q20:Q21))/2</f>
        <v>0</v>
      </c>
    </row>
    <row r="24" spans="11:21" ht="15" thickBot="1" x14ac:dyDescent="0.4">
      <c r="L24" s="61"/>
      <c r="M24" s="61"/>
      <c r="N24" s="61"/>
      <c r="O24" s="61"/>
      <c r="P24" s="61"/>
      <c r="Q24" s="61"/>
      <c r="R24" s="61"/>
      <c r="S24" s="61"/>
    </row>
    <row r="25" spans="11:21" ht="44" thickBot="1" x14ac:dyDescent="0.4">
      <c r="K25" s="107" t="s">
        <v>31</v>
      </c>
      <c r="L25" s="112" t="s">
        <v>22</v>
      </c>
      <c r="M25" s="113" t="s">
        <v>23</v>
      </c>
      <c r="N25" s="114" t="s">
        <v>24</v>
      </c>
      <c r="O25" s="115" t="s">
        <v>30</v>
      </c>
      <c r="P25" s="106"/>
      <c r="Q25" s="54"/>
      <c r="R25" s="61"/>
      <c r="S25" s="61"/>
      <c r="T25" s="61"/>
      <c r="U25" s="61"/>
    </row>
    <row r="26" spans="11:21" x14ac:dyDescent="0.35">
      <c r="K26" s="110">
        <v>52</v>
      </c>
      <c r="L26" s="118"/>
      <c r="M26" s="119"/>
      <c r="N26" s="120"/>
      <c r="O26" s="121">
        <f t="shared" ref="O26:O28" si="11">N26*10^3/$P$3</f>
        <v>0</v>
      </c>
      <c r="P26" s="61"/>
      <c r="Q26" s="62">
        <f>($O$29-O26)^2</f>
        <v>0</v>
      </c>
    </row>
    <row r="27" spans="11:21" x14ac:dyDescent="0.35">
      <c r="K27" s="94">
        <v>58</v>
      </c>
      <c r="L27" s="122"/>
      <c r="M27" s="117"/>
      <c r="N27" s="116"/>
      <c r="O27" s="123">
        <f t="shared" si="11"/>
        <v>0</v>
      </c>
      <c r="P27" s="61"/>
      <c r="Q27" s="62">
        <f>($O$29-O27)^2</f>
        <v>0</v>
      </c>
    </row>
    <row r="28" spans="11:21" ht="15" thickBot="1" x14ac:dyDescent="0.4">
      <c r="K28" s="111">
        <v>63</v>
      </c>
      <c r="L28" s="124"/>
      <c r="M28" s="68"/>
      <c r="N28" s="93"/>
      <c r="O28" s="125">
        <f t="shared" si="11"/>
        <v>0</v>
      </c>
      <c r="P28" s="61"/>
      <c r="Q28" s="62">
        <f>($O$29-O28)^2</f>
        <v>0</v>
      </c>
    </row>
    <row r="29" spans="11:21" ht="15" thickBot="1" x14ac:dyDescent="0.4">
      <c r="L29" s="61"/>
      <c r="M29" s="61"/>
      <c r="N29" s="61"/>
      <c r="O29" s="69">
        <f>SUM(O26:O28)/3</f>
        <v>0</v>
      </c>
      <c r="P29" s="66" t="s">
        <v>16</v>
      </c>
      <c r="Q29" s="70">
        <f>SQRT(SUM(Q26:Q27))/2</f>
        <v>0</v>
      </c>
    </row>
    <row r="30" spans="11:21" ht="15" thickBot="1" x14ac:dyDescent="0.4">
      <c r="R30" s="61"/>
      <c r="S30" s="61"/>
    </row>
    <row r="31" spans="11:21" ht="44" thickBot="1" x14ac:dyDescent="0.4">
      <c r="K31" s="107" t="s">
        <v>36</v>
      </c>
      <c r="L31" s="112" t="s">
        <v>22</v>
      </c>
      <c r="M31" s="113" t="s">
        <v>23</v>
      </c>
      <c r="N31" s="114" t="s">
        <v>24</v>
      </c>
      <c r="O31" s="115" t="s">
        <v>30</v>
      </c>
      <c r="P31" s="106"/>
      <c r="Q31" s="54"/>
    </row>
    <row r="32" spans="11:21" x14ac:dyDescent="0.35">
      <c r="K32" s="110">
        <v>63</v>
      </c>
      <c r="L32" s="118"/>
      <c r="M32" s="119"/>
      <c r="N32" s="120"/>
      <c r="O32" s="121">
        <f t="shared" ref="O32:O34" si="12">N32*10^3/$P$3</f>
        <v>0</v>
      </c>
      <c r="P32" s="61"/>
      <c r="Q32" s="62">
        <f>($O$35-O32)^2</f>
        <v>0</v>
      </c>
    </row>
    <row r="33" spans="11:19" x14ac:dyDescent="0.35">
      <c r="K33" s="94">
        <v>58</v>
      </c>
      <c r="L33" s="122"/>
      <c r="M33" s="117"/>
      <c r="N33" s="116"/>
      <c r="O33" s="123">
        <f t="shared" si="12"/>
        <v>0</v>
      </c>
      <c r="P33" s="61"/>
      <c r="Q33" s="62">
        <f>($O$35-O33)^2</f>
        <v>0</v>
      </c>
    </row>
    <row r="34" spans="11:19" ht="15" thickBot="1" x14ac:dyDescent="0.4">
      <c r="K34" s="111">
        <v>52</v>
      </c>
      <c r="L34" s="124"/>
      <c r="M34" s="68"/>
      <c r="N34" s="93"/>
      <c r="O34" s="125">
        <f t="shared" si="12"/>
        <v>0</v>
      </c>
      <c r="P34" s="61"/>
      <c r="Q34" s="62">
        <f>($O$35-O34)^2</f>
        <v>0</v>
      </c>
    </row>
    <row r="35" spans="11:19" ht="15" thickBot="1" x14ac:dyDescent="0.4">
      <c r="L35" s="61"/>
      <c r="M35" s="61"/>
      <c r="N35" s="61"/>
      <c r="O35" s="69">
        <f>SUM(O32:O34)/3</f>
        <v>0</v>
      </c>
      <c r="P35" s="66" t="s">
        <v>16</v>
      </c>
      <c r="Q35" s="70">
        <f>SQRT(SUM(Q32:Q34))/2</f>
        <v>0</v>
      </c>
      <c r="R35" s="61"/>
      <c r="S35" s="61"/>
    </row>
    <row r="36" spans="11:19" ht="15" thickBot="1" x14ac:dyDescent="0.4">
      <c r="L36" s="61"/>
      <c r="M36" s="61"/>
      <c r="N36" s="61"/>
      <c r="O36" s="61"/>
      <c r="P36" s="61"/>
      <c r="Q36" s="63"/>
      <c r="R36" s="61"/>
      <c r="S36" s="61"/>
    </row>
    <row r="37" spans="11:19" ht="44" thickBot="1" x14ac:dyDescent="0.4">
      <c r="K37" s="107" t="s">
        <v>32</v>
      </c>
      <c r="L37" s="112" t="s">
        <v>22</v>
      </c>
      <c r="M37" s="113" t="s">
        <v>23</v>
      </c>
      <c r="N37" s="114" t="s">
        <v>24</v>
      </c>
      <c r="O37" s="115" t="s">
        <v>30</v>
      </c>
      <c r="P37" s="53"/>
      <c r="Q37" s="54"/>
    </row>
    <row r="38" spans="11:19" ht="15" thickBot="1" x14ac:dyDescent="0.4">
      <c r="K38" s="110">
        <v>26</v>
      </c>
      <c r="L38" s="118"/>
      <c r="M38" s="119"/>
      <c r="N38" s="93">
        <v>100</v>
      </c>
      <c r="O38" s="121">
        <f t="shared" ref="O38:O40" si="13">N38*10^3/$P$3</f>
        <v>792.87636977818113</v>
      </c>
      <c r="P38" s="61"/>
      <c r="Q38" s="62">
        <f>($O$41-O38)^2</f>
        <v>279401.3056678343</v>
      </c>
    </row>
    <row r="39" spans="11:19" ht="15" thickBot="1" x14ac:dyDescent="0.4">
      <c r="K39" s="94">
        <v>20</v>
      </c>
      <c r="L39" s="122"/>
      <c r="M39" s="119"/>
      <c r="N39" s="93"/>
      <c r="O39" s="123">
        <f t="shared" si="13"/>
        <v>0</v>
      </c>
      <c r="P39" s="61"/>
      <c r="Q39" s="62">
        <f>($O$41-O39)^2</f>
        <v>69850.326416958545</v>
      </c>
    </row>
    <row r="40" spans="11:19" ht="15" thickBot="1" x14ac:dyDescent="0.4">
      <c r="K40" s="111">
        <v>14</v>
      </c>
      <c r="L40" s="124"/>
      <c r="M40" s="119"/>
      <c r="N40" s="93"/>
      <c r="O40" s="125">
        <f t="shared" si="13"/>
        <v>0</v>
      </c>
      <c r="P40" s="71"/>
      <c r="Q40" s="105">
        <f>($O$41-O40)^2</f>
        <v>69850.326416958545</v>
      </c>
    </row>
    <row r="41" spans="11:19" ht="15" thickBot="1" x14ac:dyDescent="0.4">
      <c r="L41" s="61"/>
      <c r="M41" s="61"/>
      <c r="N41" s="61"/>
      <c r="O41" s="69">
        <f>SUM(O38:O40)/3</f>
        <v>264.29212325939369</v>
      </c>
      <c r="P41" s="103" t="s">
        <v>16</v>
      </c>
      <c r="Q41" s="104">
        <f>SQRT(SUM(Q38:Q39))/2</f>
        <v>295.4875767628788</v>
      </c>
      <c r="R41" s="61"/>
      <c r="S41" s="61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Ta-Nb-V Calib - RBS1 - Protoes</vt:lpstr>
      <vt:lpstr>Ta-Nb-V Calib - RBS2</vt:lpstr>
      <vt:lpstr>RBS2- MeanEnergyApprox</vt:lpstr>
      <vt:lpstr>Ta-Nb-V Calib - ERD</vt:lpstr>
      <vt:lpstr>uProbe_140º_protons_1.75MeV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Pires</dc:creator>
  <dc:description/>
  <cp:lastModifiedBy>Ricardo Pires</cp:lastModifiedBy>
  <cp:revision>27</cp:revision>
  <dcterms:created xsi:type="dcterms:W3CDTF">2022-08-29T11:45:38Z</dcterms:created>
  <dcterms:modified xsi:type="dcterms:W3CDTF">2024-04-10T16:16:27Z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