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208Pb\Nat-Pb_Tests\032_RBS_21Janeiro\"/>
    </mc:Choice>
  </mc:AlternateContent>
  <bookViews>
    <workbookView xWindow="0" yWindow="0" windowWidth="16380" windowHeight="8190" tabRatio="500" activeTab="1"/>
  </bookViews>
  <sheets>
    <sheet name="Runs" sheetId="1" r:id="rId1"/>
    <sheet name="Ta-Nb-V Calib - RBS1 - Protoes" sheetId="2" r:id="rId2"/>
  </sheets>
  <externalReferences>
    <externalReference r:id="rId3"/>
  </externalReferenc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45" i="2" l="1"/>
  <c r="N44" i="2"/>
  <c r="N43" i="2"/>
  <c r="S12" i="2" l="1"/>
  <c r="S11" i="2"/>
  <c r="S45" i="2"/>
  <c r="H12" i="2" l="1"/>
  <c r="G12" i="2"/>
  <c r="F12" i="2"/>
  <c r="H9" i="2" l="1"/>
  <c r="AR50" i="2" l="1"/>
  <c r="AP50" i="2"/>
  <c r="AS50" i="2" s="1"/>
  <c r="AN50" i="2"/>
  <c r="AE50" i="2"/>
  <c r="AC50" i="2"/>
  <c r="AF50" i="2" s="1"/>
  <c r="AA50" i="2"/>
  <c r="AG50" i="2" s="1"/>
  <c r="AS49" i="2"/>
  <c r="AR49" i="2"/>
  <c r="AP49" i="2"/>
  <c r="AN49" i="2"/>
  <c r="AT49" i="2" s="1"/>
  <c r="AE49" i="2"/>
  <c r="AC49" i="2"/>
  <c r="AF49" i="2" s="1"/>
  <c r="AA49" i="2"/>
  <c r="AG49" i="2" s="1"/>
  <c r="AR44" i="2"/>
  <c r="AP44" i="2"/>
  <c r="AS44" i="2" s="1"/>
  <c r="AN44" i="2"/>
  <c r="AE44" i="2"/>
  <c r="AF44" i="2" s="1"/>
  <c r="AC44" i="2"/>
  <c r="AA44" i="2"/>
  <c r="AS43" i="2"/>
  <c r="AR43" i="2"/>
  <c r="AP43" i="2"/>
  <c r="AN43" i="2"/>
  <c r="AT43" i="2" s="1"/>
  <c r="AE43" i="2"/>
  <c r="AC43" i="2"/>
  <c r="AF43" i="2" s="1"/>
  <c r="AA43" i="2"/>
  <c r="V8" i="2"/>
  <c r="Y8" i="2" s="1"/>
  <c r="T8" i="2"/>
  <c r="W8" i="2" s="1"/>
  <c r="R45" i="2"/>
  <c r="P45" i="2"/>
  <c r="T45" i="2"/>
  <c r="R44" i="2"/>
  <c r="P44" i="2"/>
  <c r="S44" i="2" s="1"/>
  <c r="R43" i="2"/>
  <c r="P43" i="2"/>
  <c r="S43" i="2" s="1"/>
  <c r="R38" i="2"/>
  <c r="P38" i="2"/>
  <c r="S38" i="2" s="1"/>
  <c r="N38" i="2"/>
  <c r="R37" i="2"/>
  <c r="P37" i="2"/>
  <c r="S37" i="2" s="1"/>
  <c r="N37" i="2"/>
  <c r="R33" i="2"/>
  <c r="P33" i="2"/>
  <c r="S33" i="2" s="1"/>
  <c r="N33" i="2"/>
  <c r="R32" i="2"/>
  <c r="P32" i="2"/>
  <c r="S32" i="2" s="1"/>
  <c r="N32" i="2"/>
  <c r="T32" i="2" s="1"/>
  <c r="F11" i="2"/>
  <c r="G11" i="2" s="1"/>
  <c r="H11" i="2" s="1"/>
  <c r="AE27" i="2"/>
  <c r="AC27" i="2"/>
  <c r="AA27" i="2"/>
  <c r="AR27" i="2"/>
  <c r="AP27" i="2"/>
  <c r="AN27" i="2"/>
  <c r="R27" i="2"/>
  <c r="P27" i="2"/>
  <c r="S27" i="2" s="1"/>
  <c r="N27" i="2"/>
  <c r="AE26" i="2"/>
  <c r="AC26" i="2"/>
  <c r="AA26" i="2"/>
  <c r="AR26" i="2"/>
  <c r="AP26" i="2"/>
  <c r="AN26" i="2"/>
  <c r="R26" i="2"/>
  <c r="P26" i="2"/>
  <c r="S26" i="2" s="1"/>
  <c r="N26" i="2"/>
  <c r="I8" i="2"/>
  <c r="I7" i="2"/>
  <c r="I6" i="2"/>
  <c r="I5" i="2"/>
  <c r="I4" i="2"/>
  <c r="T33" i="2" l="1"/>
  <c r="T34" i="2" s="1"/>
  <c r="AT50" i="2"/>
  <c r="AT44" i="2"/>
  <c r="AG44" i="2"/>
  <c r="AG43" i="2"/>
  <c r="T44" i="2"/>
  <c r="T43" i="2"/>
  <c r="T38" i="2"/>
  <c r="T37" i="2"/>
  <c r="T46" i="2" l="1"/>
  <c r="V45" i="2" s="1"/>
  <c r="V32" i="2"/>
  <c r="V33" i="2"/>
  <c r="T39" i="2"/>
  <c r="V44" i="2" l="1"/>
  <c r="V46" i="2" s="1"/>
  <c r="V43" i="2"/>
  <c r="V34" i="2"/>
  <c r="AE22" i="2"/>
  <c r="AC22" i="2"/>
  <c r="AA22" i="2"/>
  <c r="AE21" i="2"/>
  <c r="AC21" i="2"/>
  <c r="AA21" i="2"/>
  <c r="AE17" i="2"/>
  <c r="AC17" i="2"/>
  <c r="AA17" i="2"/>
  <c r="AE16" i="2"/>
  <c r="AC16" i="2"/>
  <c r="AA16" i="2"/>
  <c r="AE12" i="2"/>
  <c r="AC12" i="2"/>
  <c r="AA12" i="2"/>
  <c r="AE11" i="2"/>
  <c r="AC11" i="2"/>
  <c r="AA11" i="2"/>
  <c r="AR22" i="2"/>
  <c r="AP22" i="2"/>
  <c r="AN22" i="2"/>
  <c r="R22" i="2"/>
  <c r="P22" i="2"/>
  <c r="S22" i="2" s="1"/>
  <c r="N22" i="2"/>
  <c r="AR21" i="2"/>
  <c r="AP21" i="2"/>
  <c r="AN21" i="2"/>
  <c r="R21" i="2"/>
  <c r="P21" i="2"/>
  <c r="S21" i="2" s="1"/>
  <c r="N21" i="2"/>
  <c r="AR17" i="2"/>
  <c r="AP17" i="2"/>
  <c r="AN17" i="2"/>
  <c r="R17" i="2"/>
  <c r="P17" i="2"/>
  <c r="S17" i="2" s="1"/>
  <c r="N17" i="2"/>
  <c r="AR16" i="2"/>
  <c r="AP16" i="2"/>
  <c r="AN16" i="2"/>
  <c r="R16" i="2"/>
  <c r="P16" i="2"/>
  <c r="S16" i="2" s="1"/>
  <c r="N16" i="2"/>
  <c r="AR12" i="2"/>
  <c r="AP12" i="2"/>
  <c r="AN12" i="2"/>
  <c r="R12" i="2"/>
  <c r="P12" i="2"/>
  <c r="N12" i="2"/>
  <c r="AR11" i="2"/>
  <c r="AP11" i="2"/>
  <c r="AN11" i="2"/>
  <c r="R11" i="2"/>
  <c r="P11" i="2"/>
  <c r="N11" i="2"/>
  <c r="F9" i="2"/>
  <c r="F8" i="2"/>
  <c r="G8" i="2" s="1"/>
  <c r="F7" i="2"/>
  <c r="G7" i="2" s="1"/>
  <c r="F6" i="2"/>
  <c r="G6" i="2" s="1"/>
  <c r="F5" i="2"/>
  <c r="G5" i="2" s="1"/>
  <c r="F4" i="2"/>
  <c r="G4" i="2" s="1"/>
  <c r="AF22" i="2" l="1"/>
  <c r="AS26" i="2"/>
  <c r="AT26" i="2" s="1"/>
  <c r="T26" i="2"/>
  <c r="T27" i="2"/>
  <c r="AF27" i="2"/>
  <c r="AG27" i="2" s="1"/>
  <c r="AS27" i="2"/>
  <c r="AT27" i="2" s="1"/>
  <c r="AF26" i="2"/>
  <c r="AG26" i="2" s="1"/>
  <c r="AG22" i="2"/>
  <c r="AS11" i="2"/>
  <c r="AT11" i="2" s="1"/>
  <c r="T16" i="2"/>
  <c r="T21" i="2"/>
  <c r="AF11" i="2"/>
  <c r="AG11" i="2" s="1"/>
  <c r="AF16" i="2"/>
  <c r="AG16" i="2" s="1"/>
  <c r="G9" i="2"/>
  <c r="I9" i="2" s="1"/>
  <c r="T12" i="2"/>
  <c r="AS17" i="2"/>
  <c r="AT17" i="2" s="1"/>
  <c r="AS22" i="2"/>
  <c r="AT22" i="2" s="1"/>
  <c r="AF12" i="2"/>
  <c r="AG12" i="2" s="1"/>
  <c r="AF17" i="2"/>
  <c r="AG17" i="2" s="1"/>
  <c r="T11" i="2"/>
  <c r="AS16" i="2"/>
  <c r="AT16" i="2" s="1"/>
  <c r="AS21" i="2"/>
  <c r="AT21" i="2" s="1"/>
  <c r="AF21" i="2"/>
  <c r="AG21" i="2" s="1"/>
  <c r="AS12" i="2"/>
  <c r="AT12" i="2" s="1"/>
  <c r="T17" i="2"/>
  <c r="T22" i="2"/>
  <c r="T28" i="2" l="1"/>
  <c r="T23" i="2"/>
  <c r="T13" i="2"/>
  <c r="T5" i="2" s="1"/>
  <c r="W5" i="2" s="1"/>
  <c r="T18" i="2"/>
  <c r="V38" i="2" l="1"/>
  <c r="V37" i="2"/>
  <c r="V39" i="2" s="1"/>
  <c r="V27" i="2"/>
  <c r="V26" i="2"/>
  <c r="V28" i="2" s="1"/>
  <c r="T7" i="2"/>
  <c r="W7" i="2" s="1"/>
  <c r="V22" i="2"/>
  <c r="V21" i="2"/>
  <c r="V12" i="2"/>
  <c r="V11" i="2"/>
  <c r="T6" i="2"/>
  <c r="W6" i="2" s="1"/>
  <c r="V16" i="2"/>
  <c r="V17" i="2"/>
  <c r="V23" i="2" l="1"/>
  <c r="V7" i="2" s="1"/>
  <c r="Y7" i="2" s="1"/>
  <c r="V13" i="2"/>
  <c r="V5" i="2" s="1"/>
  <c r="Y5" i="2" s="1"/>
  <c r="V18" i="2"/>
  <c r="V6" i="2" s="1"/>
  <c r="Y6" i="2" s="1"/>
</calcChain>
</file>

<file path=xl/sharedStrings.xml><?xml version="1.0" encoding="utf-8"?>
<sst xmlns="http://schemas.openxmlformats.org/spreadsheetml/2006/main" count="307" uniqueCount="91">
  <si>
    <t>2000 keV</t>
  </si>
  <si>
    <t>Run</t>
  </si>
  <si>
    <t>Target</t>
  </si>
  <si>
    <t>Angle</t>
  </si>
  <si>
    <t>Position (mm)</t>
  </si>
  <si>
    <t>Charge</t>
  </si>
  <si>
    <t>Current (nA)</t>
  </si>
  <si>
    <t>Comments</t>
  </si>
  <si>
    <t>calib. V, Nb, Ta</t>
  </si>
  <si>
    <t>Formvar</t>
  </si>
  <si>
    <t>H</t>
  </si>
  <si>
    <t>RBS 21 January</t>
  </si>
  <si>
    <t>~ 5</t>
  </si>
  <si>
    <t>4 - no cleaning</t>
  </si>
  <si>
    <t>5 - one dip</t>
  </si>
  <si>
    <t>6 - two dips</t>
  </si>
  <si>
    <t>7 - three dips</t>
  </si>
  <si>
    <t>''</t>
  </si>
  <si>
    <t>current measured in the target ladder; unstable curent in the end of the run peaking 15 nA; ~ 5 % dead time</t>
  </si>
  <si>
    <t>unstable current at the begining; beam went down</t>
  </si>
  <si>
    <t>measuring the current in the FC</t>
  </si>
  <si>
    <t>-</t>
  </si>
  <si>
    <t>12 % DT</t>
  </si>
  <si>
    <t>6% DT</t>
  </si>
  <si>
    <t>18 % DT</t>
  </si>
  <si>
    <t>16 % DT</t>
  </si>
  <si>
    <t>~ 10</t>
  </si>
  <si>
    <t>10 % DT</t>
  </si>
  <si>
    <t>8 % DT</t>
  </si>
  <si>
    <t>E2</t>
  </si>
  <si>
    <t>3 % DT</t>
  </si>
  <si>
    <t>4 % DT</t>
  </si>
  <si>
    <t>6 % DT</t>
  </si>
  <si>
    <t xml:space="preserve">E0 = </t>
  </si>
  <si>
    <t>keV</t>
  </si>
  <si>
    <t xml:space="preserve">Pb density = </t>
  </si>
  <si>
    <t>g/cm^3</t>
  </si>
  <si>
    <t>K * E_0</t>
  </si>
  <si>
    <t>Element</t>
  </si>
  <si>
    <t>Z</t>
  </si>
  <si>
    <t>A</t>
  </si>
  <si>
    <t>Kinematic factor [K]</t>
  </si>
  <si>
    <t>Back Energy (keV) [K * E0]</t>
  </si>
  <si>
    <t>Surface channel</t>
  </si>
  <si>
    <t>O</t>
  </si>
  <si>
    <t>nm</t>
  </si>
  <si>
    <t>mg/cm2</t>
  </si>
  <si>
    <t>Si</t>
  </si>
  <si>
    <t>+-</t>
  </si>
  <si>
    <t>V</t>
  </si>
  <si>
    <t>Nb</t>
  </si>
  <si>
    <t>Ta</t>
  </si>
  <si>
    <t>Pb</t>
  </si>
  <si>
    <t>Target 1</t>
  </si>
  <si>
    <t>Pb channel in</t>
  </si>
  <si>
    <t>Pb channel out</t>
  </si>
  <si>
    <t>Delta_E (keV)</t>
  </si>
  <si>
    <t>(dE/dx)_in [E_0] (MeV cm^2 / g)</t>
  </si>
  <si>
    <t>(dE/dx)_in [E_0] (eV/nm)</t>
  </si>
  <si>
    <t>(dE/dx)_out [K * E_0] (MeV cm^2 / g)</t>
  </si>
  <si>
    <t>(dE/dx)_out [K * E_0] (eV/nm)</t>
  </si>
  <si>
    <t>[S] (eV/nm)</t>
  </si>
  <si>
    <t>x (nm)</t>
  </si>
  <si>
    <t>C channel in</t>
  </si>
  <si>
    <t>C channel out</t>
  </si>
  <si>
    <t>O channel in</t>
  </si>
  <si>
    <t>O channel out</t>
  </si>
  <si>
    <t>Target 2</t>
  </si>
  <si>
    <t>Target 4</t>
  </si>
  <si>
    <t>20 mm</t>
  </si>
  <si>
    <t>22 mm</t>
  </si>
  <si>
    <t>Target 5</t>
  </si>
  <si>
    <t>33 mm</t>
  </si>
  <si>
    <t>500?</t>
  </si>
  <si>
    <t>480?</t>
  </si>
  <si>
    <t>Target 6</t>
  </si>
  <si>
    <t>44 mm</t>
  </si>
  <si>
    <t>520?</t>
  </si>
  <si>
    <t>46 mm</t>
  </si>
  <si>
    <t>Target 7</t>
  </si>
  <si>
    <t>56 mm</t>
  </si>
  <si>
    <r>
      <t>C</t>
    </r>
    <r>
      <rPr>
        <i/>
        <sz val="11"/>
        <color rgb="FF000000"/>
        <rFont val="Caladea"/>
        <family val="1"/>
      </rPr>
      <t>l</t>
    </r>
  </si>
  <si>
    <t>15 mm</t>
  </si>
  <si>
    <t>55 mm</t>
  </si>
  <si>
    <t>Target E2</t>
  </si>
  <si>
    <t>180º</t>
  </si>
  <si>
    <t>58 mm</t>
  </si>
  <si>
    <t>60 mm</t>
  </si>
  <si>
    <t>Form  var</t>
  </si>
  <si>
    <t>35 mm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</si>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</sst>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4" x14ac:knownFonts="1"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C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i/>
      <sz val="11"/>
      <color rgb="FF000000"/>
      <name val="Caladea"/>
      <family val="1"/>
    </font>
  </fonts>
  <fills count="38">
    <fill>
      <patternFill patternType="none"/>
    </fill>
    <fill>
      <patternFill patternType="gray125"/>
    </fill>
    <fill>
      <patternFill patternType="solid">
        <fgColor rgb="FFFFFF00"/>
        <bgColor rgb="FFFFC000"/>
      </patternFill>
    </fill>
    <fill>
      <patternFill patternType="solid">
        <fgColor rgb="FFFFC000"/>
        <bgColor rgb="FFFF99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E0B4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FF97BC"/>
        <bgColor indexed="64"/>
      </patternFill>
    </fill>
    <fill>
      <patternFill patternType="solid">
        <fgColor rgb="FFB4C7E7"/>
        <bgColor rgb="FFBDD7EE"/>
      </patternFill>
    </fill>
    <fill>
      <patternFill patternType="solid">
        <fgColor rgb="FFDAE3F3"/>
        <bgColor rgb="FFDEEBF7"/>
      </patternFill>
    </fill>
    <fill>
      <patternFill patternType="solid">
        <fgColor rgb="FFFFBDDE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AE3F3"/>
      </patternFill>
    </fill>
    <fill>
      <patternFill patternType="solid">
        <fgColor rgb="FFFFBDDE"/>
        <bgColor rgb="FFDAE3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A072"/>
        <bgColor indexed="64"/>
      </patternFill>
    </fill>
    <fill>
      <patternFill patternType="solid">
        <fgColor rgb="FFC0A072"/>
        <bgColor rgb="FFDAE3F3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rgb="FFDEEBF7"/>
      </patternFill>
    </fill>
    <fill>
      <patternFill patternType="solid">
        <fgColor rgb="FFFFC000"/>
        <bgColor rgb="FFFBE5D6"/>
      </patternFill>
    </fill>
    <fill>
      <patternFill patternType="solid">
        <fgColor rgb="FFFFC000"/>
        <bgColor rgb="FFFFF2CC"/>
      </patternFill>
    </fill>
    <fill>
      <patternFill patternType="solid">
        <fgColor rgb="FFFFC000"/>
        <bgColor rgb="FFDAE3F3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quotePrefix="1" applyFont="1"/>
    <xf numFmtId="0" fontId="0" fillId="9" borderId="0" xfId="0" quotePrefix="1" applyFont="1" applyFill="1" applyBorder="1" applyAlignment="1">
      <alignment horizontal="center" vertical="center"/>
    </xf>
    <xf numFmtId="0" fontId="0" fillId="8" borderId="0" xfId="0" quotePrefix="1" applyFont="1" applyFill="1" applyBorder="1" applyAlignment="1">
      <alignment horizontal="center" vertical="center"/>
    </xf>
    <xf numFmtId="0" fontId="0" fillId="4" borderId="0" xfId="0" quotePrefix="1" applyFont="1" applyFill="1" applyBorder="1" applyAlignment="1">
      <alignment horizontal="center" vertical="center"/>
    </xf>
    <xf numFmtId="0" fontId="0" fillId="10" borderId="0" xfId="0" quotePrefix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0" xfId="0" quotePrefix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quotePrefix="1" applyFont="1" applyFill="1" applyBorder="1" applyAlignment="1">
      <alignment horizontal="center" vertical="center"/>
    </xf>
    <xf numFmtId="0" fontId="0" fillId="11" borderId="0" xfId="0" quotePrefix="1" applyFill="1" applyBorder="1" applyAlignment="1">
      <alignment horizontal="center" vertical="center"/>
    </xf>
    <xf numFmtId="0" fontId="0" fillId="5" borderId="0" xfId="0" quotePrefix="1" applyFont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7" borderId="10" xfId="0" quotePrefix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9" borderId="10" xfId="0" quotePrefix="1" applyFont="1" applyFill="1" applyBorder="1" applyAlignment="1">
      <alignment horizontal="center" vertical="center"/>
    </xf>
    <xf numFmtId="0" fontId="0" fillId="8" borderId="10" xfId="0" quotePrefix="1" applyFont="1" applyFill="1" applyBorder="1" applyAlignment="1">
      <alignment horizontal="center" vertical="center"/>
    </xf>
    <xf numFmtId="0" fontId="0" fillId="4" borderId="10" xfId="0" quotePrefix="1" applyFont="1" applyFill="1" applyBorder="1" applyAlignment="1">
      <alignment horizontal="center" vertical="center"/>
    </xf>
    <xf numFmtId="0" fontId="0" fillId="11" borderId="10" xfId="0" quotePrefix="1" applyFill="1" applyBorder="1" applyAlignment="1">
      <alignment horizontal="center" vertical="center"/>
    </xf>
    <xf numFmtId="0" fontId="0" fillId="5" borderId="9" xfId="0" quotePrefix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 wrapText="1"/>
    </xf>
    <xf numFmtId="0" fontId="0" fillId="9" borderId="10" xfId="0" quotePrefix="1" applyFill="1" applyBorder="1" applyAlignment="1">
      <alignment horizontal="center" vertical="center"/>
    </xf>
    <xf numFmtId="0" fontId="0" fillId="5" borderId="10" xfId="0" quotePrefix="1" applyFill="1" applyBorder="1" applyAlignment="1">
      <alignment horizontal="center" vertical="center"/>
    </xf>
    <xf numFmtId="0" fontId="0" fillId="7" borderId="10" xfId="0" applyFill="1" applyBorder="1" applyAlignment="1">
      <alignment horizontal="left" vertical="center"/>
    </xf>
    <xf numFmtId="0" fontId="0" fillId="7" borderId="8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left" vertical="center"/>
    </xf>
    <xf numFmtId="0" fontId="0" fillId="10" borderId="9" xfId="0" applyFill="1" applyBorder="1" applyAlignment="1">
      <alignment horizontal="center" vertical="center"/>
    </xf>
    <xf numFmtId="0" fontId="0" fillId="10" borderId="9" xfId="0" quotePrefix="1" applyFont="1" applyFill="1" applyBorder="1" applyAlignment="1">
      <alignment horizontal="center" vertical="center"/>
    </xf>
    <xf numFmtId="0" fontId="0" fillId="10" borderId="3" xfId="0" quotePrefix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5" xfId="0" quotePrefix="1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9" fontId="0" fillId="11" borderId="8" xfId="0" applyNumberForma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0" xfId="0" quotePrefix="1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9" xfId="0" quotePrefix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9" xfId="0" quotePrefix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3" fillId="15" borderId="13" xfId="0" applyFont="1" applyFill="1" applyBorder="1" applyAlignment="1">
      <alignment horizontal="center" vertical="center" wrapText="1"/>
    </xf>
    <xf numFmtId="0" fontId="3" fillId="15" borderId="7" xfId="0" applyFont="1" applyFill="1" applyBorder="1" applyAlignment="1">
      <alignment horizontal="center" vertical="center" wrapText="1"/>
    </xf>
    <xf numFmtId="0" fontId="3" fillId="15" borderId="14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0" fillId="16" borderId="0" xfId="0" applyFill="1" applyBorder="1" applyAlignment="1">
      <alignment horizontal="center" vertical="center" wrapText="1"/>
    </xf>
    <xf numFmtId="164" fontId="0" fillId="16" borderId="0" xfId="0" applyNumberFormat="1" applyFill="1" applyBorder="1" applyAlignment="1">
      <alignment horizontal="center" vertical="center" wrapText="1"/>
    </xf>
    <xf numFmtId="165" fontId="0" fillId="16" borderId="0" xfId="0" applyNumberFormat="1" applyFill="1" applyBorder="1" applyAlignment="1">
      <alignment horizontal="center" vertical="center" wrapText="1"/>
    </xf>
    <xf numFmtId="2" fontId="0" fillId="16" borderId="0" xfId="0" applyNumberForma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7" borderId="13" xfId="0" applyFont="1" applyFill="1" applyBorder="1" applyAlignment="1">
      <alignment vertical="center" wrapText="1"/>
    </xf>
    <xf numFmtId="0" fontId="3" fillId="17" borderId="7" xfId="0" applyFont="1" applyFill="1" applyBorder="1" applyAlignment="1">
      <alignment vertical="center" wrapText="1"/>
    </xf>
    <xf numFmtId="0" fontId="3" fillId="17" borderId="14" xfId="0" applyFont="1" applyFill="1" applyBorder="1" applyAlignment="1">
      <alignment vertical="center" wrapText="1"/>
    </xf>
    <xf numFmtId="0" fontId="4" fillId="18" borderId="15" xfId="0" applyFont="1" applyFill="1" applyBorder="1" applyAlignment="1">
      <alignment horizontal="center" vertical="center" wrapText="1"/>
    </xf>
    <xf numFmtId="0" fontId="5" fillId="19" borderId="0" xfId="0" applyFont="1" applyFill="1" applyBorder="1" applyAlignment="1">
      <alignment horizontal="center" vertical="center" wrapText="1"/>
    </xf>
    <xf numFmtId="164" fontId="5" fillId="19" borderId="0" xfId="0" applyNumberFormat="1" applyFont="1" applyFill="1" applyBorder="1" applyAlignment="1">
      <alignment horizontal="center" vertical="center" wrapText="1"/>
    </xf>
    <xf numFmtId="2" fontId="0" fillId="19" borderId="0" xfId="0" applyNumberFormat="1" applyFill="1" applyBorder="1" applyAlignment="1">
      <alignment horizontal="center" vertical="center" wrapText="1"/>
    </xf>
    <xf numFmtId="0" fontId="0" fillId="20" borderId="10" xfId="0" applyFill="1" applyBorder="1" applyAlignment="1">
      <alignment horizontal="center" vertical="center" wrapText="1"/>
    </xf>
    <xf numFmtId="1" fontId="5" fillId="21" borderId="15" xfId="0" applyNumberFormat="1" applyFont="1" applyFill="1" applyBorder="1" applyAlignment="1">
      <alignment vertical="center" wrapText="1"/>
    </xf>
    <xf numFmtId="0" fontId="5" fillId="21" borderId="0" xfId="0" quotePrefix="1" applyFont="1" applyFill="1" applyBorder="1" applyAlignment="1">
      <alignment horizontal="center" vertical="center" wrapText="1"/>
    </xf>
    <xf numFmtId="1" fontId="5" fillId="21" borderId="2" xfId="0" applyNumberFormat="1" applyFont="1" applyFill="1" applyBorder="1" applyAlignment="1">
      <alignment horizontal="left" vertical="center" wrapText="1"/>
    </xf>
    <xf numFmtId="2" fontId="5" fillId="21" borderId="0" xfId="0" applyNumberFormat="1" applyFont="1" applyFill="1" applyBorder="1" applyAlignment="1">
      <alignment vertical="center" wrapText="1"/>
    </xf>
    <xf numFmtId="2" fontId="5" fillId="21" borderId="2" xfId="0" applyNumberFormat="1" applyFont="1" applyFill="1" applyBorder="1" applyAlignment="1">
      <alignment horizontal="left" vertical="center" wrapText="1"/>
    </xf>
    <xf numFmtId="0" fontId="3" fillId="22" borderId="15" xfId="0" applyFont="1" applyFill="1" applyBorder="1" applyAlignment="1">
      <alignment horizontal="center" vertical="center" wrapText="1"/>
    </xf>
    <xf numFmtId="0" fontId="0" fillId="23" borderId="0" xfId="0" applyFill="1" applyBorder="1" applyAlignment="1">
      <alignment horizontal="center" vertical="center" wrapText="1"/>
    </xf>
    <xf numFmtId="164" fontId="0" fillId="23" borderId="0" xfId="0" applyNumberFormat="1" applyFill="1" applyBorder="1" applyAlignment="1">
      <alignment horizontal="center" vertical="center" wrapText="1"/>
    </xf>
    <xf numFmtId="2" fontId="0" fillId="23" borderId="0" xfId="0" applyNumberFormat="1" applyFill="1" applyBorder="1" applyAlignment="1">
      <alignment horizontal="center" vertical="center" wrapText="1"/>
    </xf>
    <xf numFmtId="0" fontId="3" fillId="24" borderId="15" xfId="0" applyFont="1" applyFill="1" applyBorder="1" applyAlignment="1">
      <alignment horizontal="center" vertical="center" wrapText="1"/>
    </xf>
    <xf numFmtId="0" fontId="0" fillId="25" borderId="0" xfId="0" applyFill="1" applyBorder="1" applyAlignment="1">
      <alignment horizontal="center" vertical="center" wrapText="1"/>
    </xf>
    <xf numFmtId="164" fontId="0" fillId="25" borderId="0" xfId="0" applyNumberFormat="1" applyFill="1" applyBorder="1" applyAlignment="1">
      <alignment horizontal="center" vertical="center" wrapText="1"/>
    </xf>
    <xf numFmtId="2" fontId="0" fillId="25" borderId="0" xfId="0" applyNumberFormat="1" applyFill="1" applyBorder="1" applyAlignment="1">
      <alignment horizontal="center" vertical="center" wrapText="1"/>
    </xf>
    <xf numFmtId="0" fontId="0" fillId="20" borderId="9" xfId="0" applyFill="1" applyBorder="1" applyAlignment="1">
      <alignment horizontal="center" vertical="center" wrapText="1"/>
    </xf>
    <xf numFmtId="1" fontId="5" fillId="21" borderId="12" xfId="0" applyNumberFormat="1" applyFont="1" applyFill="1" applyBorder="1" applyAlignment="1">
      <alignment vertical="center" wrapText="1"/>
    </xf>
    <xf numFmtId="0" fontId="5" fillId="21" borderId="3" xfId="0" quotePrefix="1" applyFont="1" applyFill="1" applyBorder="1" applyAlignment="1">
      <alignment horizontal="center" vertical="center" wrapText="1"/>
    </xf>
    <xf numFmtId="1" fontId="5" fillId="21" borderId="4" xfId="0" applyNumberFormat="1" applyFont="1" applyFill="1" applyBorder="1" applyAlignment="1">
      <alignment horizontal="left" vertical="center" wrapText="1"/>
    </xf>
    <xf numFmtId="2" fontId="5" fillId="21" borderId="3" xfId="0" applyNumberFormat="1" applyFont="1" applyFill="1" applyBorder="1" applyAlignment="1">
      <alignment vertical="center" wrapText="1"/>
    </xf>
    <xf numFmtId="2" fontId="5" fillId="21" borderId="4" xfId="0" applyNumberFormat="1" applyFont="1" applyFill="1" applyBorder="1" applyAlignment="1">
      <alignment horizontal="left" vertical="center" wrapText="1"/>
    </xf>
    <xf numFmtId="0" fontId="3" fillId="26" borderId="12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164" fontId="0" fillId="27" borderId="3" xfId="0" applyNumberFormat="1" applyFill="1" applyBorder="1" applyAlignment="1">
      <alignment horizontal="center" vertical="center" wrapText="1"/>
    </xf>
    <xf numFmtId="165" fontId="0" fillId="16" borderId="3" xfId="0" applyNumberFormat="1" applyFill="1" applyBorder="1" applyAlignment="1">
      <alignment horizontal="center" vertical="center" wrapText="1"/>
    </xf>
    <xf numFmtId="2" fontId="0" fillId="27" borderId="3" xfId="0" applyNumberFormat="1" applyFill="1" applyBorder="1" applyAlignment="1">
      <alignment horizontal="center" vertical="center" wrapText="1"/>
    </xf>
    <xf numFmtId="0" fontId="6" fillId="0" borderId="0" xfId="0" applyFont="1"/>
    <xf numFmtId="0" fontId="3" fillId="20" borderId="13" xfId="0" applyFont="1" applyFill="1" applyBorder="1" applyAlignment="1">
      <alignment horizontal="center" vertical="center" wrapText="1"/>
    </xf>
    <xf numFmtId="0" fontId="0" fillId="20" borderId="7" xfId="0" applyFill="1" applyBorder="1" applyAlignment="1">
      <alignment horizontal="center" vertical="center" wrapText="1"/>
    </xf>
    <xf numFmtId="165" fontId="0" fillId="28" borderId="7" xfId="0" applyNumberFormat="1" applyFill="1" applyBorder="1" applyAlignment="1">
      <alignment horizontal="center" vertical="center" wrapText="1"/>
    </xf>
    <xf numFmtId="2" fontId="0" fillId="28" borderId="7" xfId="0" applyNumberForma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7" fillId="17" borderId="13" xfId="0" applyFont="1" applyFill="1" applyBorder="1" applyAlignment="1">
      <alignment horizontal="center" vertical="center" wrapText="1"/>
    </xf>
    <xf numFmtId="0" fontId="8" fillId="17" borderId="16" xfId="0" applyFont="1" applyFill="1" applyBorder="1" applyAlignment="1">
      <alignment horizontal="center" vertical="center" wrapText="1"/>
    </xf>
    <xf numFmtId="0" fontId="8" fillId="17" borderId="17" xfId="0" applyFont="1" applyFill="1" applyBorder="1" applyAlignment="1">
      <alignment horizontal="center" vertical="center" wrapText="1"/>
    </xf>
    <xf numFmtId="0" fontId="3" fillId="17" borderId="17" xfId="0" applyFont="1" applyFill="1" applyBorder="1" applyAlignment="1">
      <alignment horizontal="center" vertical="center" wrapText="1"/>
    </xf>
    <xf numFmtId="0" fontId="3" fillId="17" borderId="18" xfId="0" applyFont="1" applyFill="1" applyBorder="1" applyAlignment="1">
      <alignment horizontal="center" vertical="center" wrapText="1"/>
    </xf>
    <xf numFmtId="0" fontId="3" fillId="17" borderId="1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7" fillId="8" borderId="13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3" fillId="20" borderId="8" xfId="0" applyFont="1" applyFill="1" applyBorder="1" applyAlignment="1">
      <alignment horizontal="center" vertical="center" wrapText="1"/>
    </xf>
    <xf numFmtId="0" fontId="0" fillId="29" borderId="19" xfId="0" applyFill="1" applyBorder="1" applyAlignment="1">
      <alignment horizontal="center" vertical="center" wrapText="1"/>
    </xf>
    <xf numFmtId="0" fontId="0" fillId="29" borderId="20" xfId="0" applyFill="1" applyBorder="1" applyAlignment="1">
      <alignment horizontal="center" vertical="center" wrapText="1"/>
    </xf>
    <xf numFmtId="2" fontId="0" fillId="29" borderId="20" xfId="0" applyNumberFormat="1" applyFill="1" applyBorder="1" applyAlignment="1">
      <alignment horizontal="center" vertical="center" wrapText="1"/>
    </xf>
    <xf numFmtId="166" fontId="0" fillId="29" borderId="20" xfId="0" applyNumberFormat="1" applyFill="1" applyBorder="1" applyAlignment="1">
      <alignment horizontal="center" vertical="center" wrapText="1"/>
    </xf>
    <xf numFmtId="1" fontId="0" fillId="29" borderId="20" xfId="0" applyNumberFormat="1" applyFill="1" applyBorder="1" applyAlignment="1">
      <alignment horizontal="center" vertical="center" wrapText="1"/>
    </xf>
    <xf numFmtId="164" fontId="0" fillId="29" borderId="21" xfId="0" applyNumberFormat="1" applyFill="1" applyBorder="1" applyAlignment="1">
      <alignment horizontal="center" vertical="center" wrapText="1"/>
    </xf>
    <xf numFmtId="1" fontId="2" fillId="29" borderId="22" xfId="0" applyNumberFormat="1" applyFont="1" applyFill="1" applyBorder="1" applyAlignment="1">
      <alignment horizontal="center" vertical="center" wrapText="1"/>
    </xf>
    <xf numFmtId="0" fontId="0" fillId="0" borderId="0" xfId="0" applyBorder="1"/>
    <xf numFmtId="1" fontId="0" fillId="0" borderId="2" xfId="0" applyNumberFormat="1" applyBorder="1"/>
    <xf numFmtId="0" fontId="3" fillId="7" borderId="8" xfId="0" applyFont="1" applyFill="1" applyBorder="1" applyAlignment="1">
      <alignment horizontal="center" vertical="center" wrapText="1"/>
    </xf>
    <xf numFmtId="0" fontId="0" fillId="0" borderId="2" xfId="0" applyBorder="1"/>
    <xf numFmtId="0" fontId="0" fillId="29" borderId="23" xfId="0" applyFill="1" applyBorder="1" applyAlignment="1">
      <alignment horizontal="center" vertical="center" wrapText="1"/>
    </xf>
    <xf numFmtId="0" fontId="0" fillId="29" borderId="24" xfId="0" applyFill="1" applyBorder="1" applyAlignment="1">
      <alignment horizontal="center" vertical="center" wrapText="1"/>
    </xf>
    <xf numFmtId="166" fontId="0" fillId="29" borderId="24" xfId="0" applyNumberFormat="1" applyFill="1" applyBorder="1" applyAlignment="1">
      <alignment horizontal="center" vertical="center" wrapText="1"/>
    </xf>
    <xf numFmtId="1" fontId="0" fillId="29" borderId="24" xfId="0" applyNumberForma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20" borderId="9" xfId="0" applyFont="1" applyFill="1" applyBorder="1" applyAlignment="1">
      <alignment horizontal="center" vertical="center" wrapText="1"/>
    </xf>
    <xf numFmtId="0" fontId="0" fillId="29" borderId="26" xfId="0" applyFill="1" applyBorder="1" applyAlignment="1">
      <alignment horizontal="center" vertical="center" wrapText="1"/>
    </xf>
    <xf numFmtId="0" fontId="0" fillId="29" borderId="27" xfId="0" applyFill="1" applyBorder="1" applyAlignment="1">
      <alignment horizontal="center" vertical="center" wrapText="1"/>
    </xf>
    <xf numFmtId="2" fontId="0" fillId="29" borderId="28" xfId="0" applyNumberFormat="1" applyFill="1" applyBorder="1" applyAlignment="1">
      <alignment horizontal="center" vertical="center" wrapText="1"/>
    </xf>
    <xf numFmtId="0" fontId="0" fillId="29" borderId="28" xfId="0" applyFill="1" applyBorder="1" applyAlignment="1">
      <alignment horizontal="center" vertical="center" wrapText="1"/>
    </xf>
    <xf numFmtId="166" fontId="0" fillId="29" borderId="27" xfId="0" applyNumberFormat="1" applyFill="1" applyBorder="1" applyAlignment="1">
      <alignment horizontal="center" vertical="center" wrapText="1"/>
    </xf>
    <xf numFmtId="1" fontId="0" fillId="29" borderId="27" xfId="0" applyNumberFormat="1" applyFill="1" applyBorder="1" applyAlignment="1">
      <alignment horizontal="center" vertical="center" wrapText="1"/>
    </xf>
    <xf numFmtId="164" fontId="0" fillId="29" borderId="29" xfId="0" applyNumberFormat="1" applyFill="1" applyBorder="1" applyAlignment="1">
      <alignment horizontal="center" vertical="center" wrapText="1"/>
    </xf>
    <xf numFmtId="1" fontId="2" fillId="29" borderId="30" xfId="0" applyNumberFormat="1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0" fillId="0" borderId="15" xfId="0" applyBorder="1"/>
    <xf numFmtId="1" fontId="9" fillId="30" borderId="12" xfId="0" applyNumberFormat="1" applyFont="1" applyFill="1" applyBorder="1" applyAlignment="1">
      <alignment horizontal="center" vertical="center" wrapText="1"/>
    </xf>
    <xf numFmtId="0" fontId="2" fillId="30" borderId="7" xfId="0" quotePrefix="1" applyFont="1" applyFill="1" applyBorder="1" applyAlignment="1">
      <alignment horizontal="center" vertical="center" wrapText="1"/>
    </xf>
    <xf numFmtId="1" fontId="9" fillId="30" borderId="14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5" fillId="29" borderId="26" xfId="0" applyFont="1" applyFill="1" applyBorder="1" applyAlignment="1">
      <alignment horizontal="center" vertical="center" wrapText="1"/>
    </xf>
    <xf numFmtId="0" fontId="5" fillId="29" borderId="27" xfId="0" applyFont="1" applyFill="1" applyBorder="1" applyAlignment="1">
      <alignment horizontal="center" vertical="center" wrapText="1"/>
    </xf>
    <xf numFmtId="1" fontId="9" fillId="30" borderId="12" xfId="0" applyNumberFormat="1" applyFont="1" applyFill="1" applyBorder="1"/>
    <xf numFmtId="1" fontId="11" fillId="30" borderId="14" xfId="0" applyNumberFormat="1" applyFont="1" applyFill="1" applyBorder="1" applyAlignment="1">
      <alignment horizontal="center" vertical="center" wrapText="1"/>
    </xf>
    <xf numFmtId="0" fontId="0" fillId="29" borderId="0" xfId="0" applyFill="1" applyBorder="1" applyAlignment="1">
      <alignment horizontal="center" vertical="center"/>
    </xf>
    <xf numFmtId="0" fontId="0" fillId="29" borderId="0" xfId="0" applyFill="1" applyBorder="1" applyAlignment="1">
      <alignment horizontal="center" vertical="center" wrapText="1"/>
    </xf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7" fillId="6" borderId="13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5" fillId="29" borderId="0" xfId="0" applyFont="1" applyFill="1" applyBorder="1" applyAlignment="1">
      <alignment horizontal="center" vertical="center" wrapText="1"/>
    </xf>
    <xf numFmtId="0" fontId="5" fillId="29" borderId="20" xfId="0" applyFont="1" applyFill="1" applyBorder="1" applyAlignment="1">
      <alignment horizontal="center" vertical="center" wrapText="1"/>
    </xf>
    <xf numFmtId="0" fontId="10" fillId="29" borderId="27" xfId="0" applyFont="1" applyFill="1" applyBorder="1" applyAlignment="1">
      <alignment horizontal="center" vertical="center" wrapText="1"/>
    </xf>
    <xf numFmtId="1" fontId="5" fillId="29" borderId="22" xfId="0" applyNumberFormat="1" applyFont="1" applyFill="1" applyBorder="1" applyAlignment="1">
      <alignment horizontal="center" vertical="center" wrapText="1"/>
    </xf>
    <xf numFmtId="1" fontId="5" fillId="29" borderId="25" xfId="0" applyNumberFormat="1" applyFont="1" applyFill="1" applyBorder="1" applyAlignment="1">
      <alignment horizontal="center" vertical="center" wrapText="1"/>
    </xf>
    <xf numFmtId="1" fontId="5" fillId="29" borderId="30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 wrapText="1"/>
    </xf>
    <xf numFmtId="1" fontId="0" fillId="0" borderId="0" xfId="0" applyNumberFormat="1"/>
    <xf numFmtId="1" fontId="5" fillId="29" borderId="31" xfId="0" applyNumberFormat="1" applyFont="1" applyFill="1" applyBorder="1" applyAlignment="1">
      <alignment horizontal="center" vertical="center" wrapText="1"/>
    </xf>
    <xf numFmtId="165" fontId="0" fillId="32" borderId="7" xfId="0" applyNumberFormat="1" applyFill="1" applyBorder="1" applyAlignment="1">
      <alignment horizontal="center" vertical="center" wrapText="1"/>
    </xf>
    <xf numFmtId="2" fontId="0" fillId="32" borderId="7" xfId="0" applyNumberFormat="1" applyFill="1" applyBorder="1" applyAlignment="1">
      <alignment horizontal="center" vertical="center" wrapText="1"/>
    </xf>
    <xf numFmtId="0" fontId="0" fillId="31" borderId="13" xfId="0" applyFill="1" applyBorder="1"/>
    <xf numFmtId="0" fontId="0" fillId="31" borderId="7" xfId="0" applyFill="1" applyBorder="1"/>
    <xf numFmtId="1" fontId="5" fillId="31" borderId="1" xfId="0" applyNumberFormat="1" applyFont="1" applyFill="1" applyBorder="1" applyAlignment="1">
      <alignment horizontal="center" vertical="center"/>
    </xf>
    <xf numFmtId="0" fontId="0" fillId="29" borderId="19" xfId="0" applyFill="1" applyBorder="1"/>
    <xf numFmtId="0" fontId="0" fillId="29" borderId="20" xfId="0" applyFill="1" applyBorder="1"/>
    <xf numFmtId="0" fontId="0" fillId="29" borderId="19" xfId="0" applyFill="1" applyBorder="1" applyAlignment="1">
      <alignment horizontal="center" vertical="center"/>
    </xf>
    <xf numFmtId="0" fontId="0" fillId="33" borderId="0" xfId="0" applyFill="1"/>
    <xf numFmtId="0" fontId="0" fillId="34" borderId="2" xfId="0" applyFill="1" applyBorder="1" applyAlignment="1">
      <alignment horizontal="center" vertical="center" wrapText="1"/>
    </xf>
    <xf numFmtId="0" fontId="5" fillId="34" borderId="2" xfId="0" applyFont="1" applyFill="1" applyBorder="1" applyAlignment="1">
      <alignment horizontal="center" vertical="center" wrapText="1"/>
    </xf>
    <xf numFmtId="0" fontId="0" fillId="35" borderId="2" xfId="0" applyFill="1" applyBorder="1" applyAlignment="1">
      <alignment horizontal="center" vertical="center" wrapText="1"/>
    </xf>
    <xf numFmtId="0" fontId="0" fillId="36" borderId="2" xfId="0" applyFill="1" applyBorder="1" applyAlignment="1">
      <alignment horizontal="center" vertical="center" wrapText="1"/>
    </xf>
    <xf numFmtId="0" fontId="0" fillId="37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9D9D9"/>
      <rgbColor rgb="FFD0CECE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A072"/>
      <color rgb="FFFFEBFF"/>
      <color rgb="FFFFCCFF"/>
      <color rgb="FFFFBDDE"/>
      <color rgb="FFFF97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3.6290191663451543E-2"/>
                  <c:y val="-0.2222059970116639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2,3671x + 46,376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 w="12700">
                  <a:solidFill>
                    <a:sysClr val="windowText" lastClr="000000"/>
                  </a:solidFill>
                </a:ln>
              </c:spPr>
            </c:trendlineLbl>
          </c:trendline>
          <c:xVal>
            <c:numRef>
              <c:f>'Ta-Nb-V Calib - RBS1 - Protoes'!$H$4:$H$8</c:f>
              <c:numCache>
                <c:formatCode>General</c:formatCode>
                <c:ptCount val="5"/>
                <c:pt idx="0">
                  <c:v>643</c:v>
                </c:pt>
                <c:pt idx="1">
                  <c:v>712</c:v>
                </c:pt>
                <c:pt idx="2">
                  <c:v>761</c:v>
                </c:pt>
                <c:pt idx="3">
                  <c:v>792</c:v>
                </c:pt>
                <c:pt idx="4">
                  <c:v>808</c:v>
                </c:pt>
              </c:numCache>
            </c:numRef>
          </c:xVal>
          <c:yVal>
            <c:numRef>
              <c:f>'Ta-Nb-V Calib - RBS1 - Protoes'!$G$4:$G$8</c:f>
              <c:numCache>
                <c:formatCode>0.00</c:formatCode>
                <c:ptCount val="5"/>
                <c:pt idx="0">
                  <c:v>1563.7159776396684</c:v>
                </c:pt>
                <c:pt idx="1">
                  <c:v>1738.6148261306816</c:v>
                </c:pt>
                <c:pt idx="2">
                  <c:v>1851.4223731335767</c:v>
                </c:pt>
                <c:pt idx="3">
                  <c:v>1917.1213586935332</c:v>
                </c:pt>
                <c:pt idx="4">
                  <c:v>1957.0104259791678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79264"/>
        <c:axId val="-208575456"/>
      </c:scatterChart>
      <c:valAx>
        <c:axId val="-2085792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208575456"/>
        <c:crosses val="autoZero"/>
        <c:crossBetween val="midCat"/>
      </c:valAx>
      <c:valAx>
        <c:axId val="-2085754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2085792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5823905209988828"/>
          <c:y val="0.21608161861433289"/>
          <c:w val="0.81546627698102392"/>
          <c:h val="0.62706207383286316"/>
        </c:manualLayout>
      </c:layout>
      <c:scatterChart>
        <c:scatterStyle val="lineMarker"/>
        <c:varyColors val="0"/>
        <c:ser>
          <c:idx val="0"/>
          <c:order val="0"/>
          <c:tx>
            <c:v>Pb signal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('Ta-Nb-V Calib - RBS1 - Protoes'!$V$13,'Ta-Nb-V Calib - RBS1 - Protoes'!$V$18,'Ta-Nb-V Calib - RBS1 - Protoes'!$V$23)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16.190577449985792</c:v>
                  </c:pt>
                  <c:pt idx="2">
                    <c:v>48.571732349957387</c:v>
                  </c:pt>
                </c:numCache>
              </c:numRef>
            </c:plus>
            <c:minus>
              <c:numRef>
                <c:f>('Ta-Nb-V Calib - RBS1 - Protoes'!$V$13,'Ta-Nb-V Calib - RBS1 - Protoes'!$V$18,'Ta-Nb-V Calib - RBS1 - Protoes'!$V$23)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16.190577449985792</c:v>
                  </c:pt>
                  <c:pt idx="2">
                    <c:v>48.571732349957387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('[1]Ta-Nb-V Calib - RBS1 - Alfa'!$I$11,'[1]Ta-Nb-V Calib - RBS1 - Alfa'!$I$18,'[1]Ta-Nb-V Calib - RBS1 - Alfa'!$I$23)</c:f>
              <c:strCache>
                <c:ptCount val="3"/>
                <c:pt idx="0">
                  <c:v>Target 1</c:v>
                </c:pt>
                <c:pt idx="1">
                  <c:v>Traget 3</c:v>
                </c:pt>
                <c:pt idx="2">
                  <c:v>Target 4</c:v>
                </c:pt>
              </c:strCache>
            </c:strRef>
          </c:xVal>
          <c:yVal>
            <c:numRef>
              <c:f>('[1]Ta-Nb-V Calib - RBS1 - Alfa'!$R$16,'[1]Ta-Nb-V Calib - RBS1 - Alfa'!$R$21,'[1]Ta-Nb-V Calib - RBS1 - Alfa'!$R$26)</c:f>
              <c:numCache>
                <c:formatCode>General</c:formatCode>
                <c:ptCount val="3"/>
                <c:pt idx="0">
                  <c:v>954.79088945786589</c:v>
                </c:pt>
                <c:pt idx="1">
                  <c:v>1013.1057170843676</c:v>
                </c:pt>
                <c:pt idx="2">
                  <c:v>842.10379668477685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81984"/>
        <c:axId val="-208584704"/>
      </c:scatterChart>
      <c:valAx>
        <c:axId val="-2085819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Target 1   </a:t>
                </a:r>
                <a:r>
                  <a:rPr lang="pt-PT" sz="1200" b="1" baseline="0"/>
                  <a:t>           </a:t>
                </a:r>
                <a:r>
                  <a:rPr lang="pt-PT" sz="1200" b="1"/>
                  <a:t>  Target 3                              Target 4</a:t>
                </a:r>
              </a:p>
            </c:rich>
          </c:tx>
          <c:layout>
            <c:manualLayout>
              <c:xMode val="edge"/>
              <c:yMode val="edge"/>
              <c:x val="0.27238079615048116"/>
              <c:y val="0.89268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crossAx val="-208584704"/>
        <c:crosses val="autoZero"/>
        <c:crossBetween val="midCat"/>
      </c:valAx>
      <c:valAx>
        <c:axId val="-2085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Thickness</a:t>
                </a:r>
                <a:r>
                  <a:rPr lang="pt-PT" sz="1400" b="1" baseline="0"/>
                  <a:t> (nm)</a:t>
                </a:r>
                <a:endParaRPr lang="pt-PT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858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152022</xdr:colOff>
      <xdr:row>12</xdr:row>
      <xdr:rowOff>161391</xdr:rowOff>
    </xdr:from>
    <xdr:to>
      <xdr:col>8</xdr:col>
      <xdr:colOff>158132</xdr:colOff>
      <xdr:row>27</xdr:row>
      <xdr:rowOff>50971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206169</xdr:colOff>
      <xdr:row>1</xdr:row>
      <xdr:rowOff>338117</xdr:rowOff>
    </xdr:from>
    <xdr:to>
      <xdr:col>30</xdr:col>
      <xdr:colOff>995136</xdr:colOff>
      <xdr:row>14</xdr:row>
      <xdr:rowOff>201757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OneDrive%20-%20Universidade%20de%20Lisboa/NUCRIA/06_TargetCharacterization/208Pb/RBS_23Novembro/Logbook-RBS_23Novemb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s"/>
      <sheetName val="Ta-Nb-V Calib - RBS1 - Alfa"/>
      <sheetName val="Ta-Nb-V Calib - RBS1 - Protoes"/>
    </sheetNames>
    <sheetDataSet>
      <sheetData sheetId="0"/>
      <sheetData sheetId="1">
        <row r="2">
          <cell r="I2">
            <v>269</v>
          </cell>
        </row>
        <row r="3">
          <cell r="I3">
            <v>437</v>
          </cell>
        </row>
        <row r="4">
          <cell r="I4">
            <v>582</v>
          </cell>
        </row>
        <row r="5">
          <cell r="I5">
            <v>673</v>
          </cell>
        </row>
        <row r="6">
          <cell r="I6">
            <v>732.5</v>
          </cell>
        </row>
        <row r="7">
          <cell r="I7">
            <v>742.94929634147081</v>
          </cell>
        </row>
        <row r="11">
          <cell r="I11" t="str">
            <v>Target 1</v>
          </cell>
        </row>
        <row r="16">
          <cell r="R16">
            <v>954.79088945786589</v>
          </cell>
        </row>
        <row r="18">
          <cell r="I18" t="str">
            <v>Traget 3</v>
          </cell>
        </row>
        <row r="21">
          <cell r="R21">
            <v>1013.1057170843676</v>
          </cell>
        </row>
        <row r="23">
          <cell r="I23" t="str">
            <v>Target 4</v>
          </cell>
        </row>
        <row r="26">
          <cell r="R26">
            <v>842.10379668477685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topLeftCell="A10" zoomScaleNormal="100" workbookViewId="0">
      <selection activeCell="B19" sqref="B19"/>
    </sheetView>
  </sheetViews>
  <sheetFormatPr defaultColWidth="8.54296875" defaultRowHeight="14.5" x14ac:dyDescent="0.35"/>
  <cols>
    <col min="1" max="1" width="8.26953125" customWidth="1"/>
    <col min="2" max="2" width="4.1796875" customWidth="1"/>
    <col min="3" max="3" width="15.54296875" customWidth="1"/>
    <col min="4" max="4" width="5.453125" customWidth="1"/>
    <col min="5" max="5" width="8.7265625" customWidth="1"/>
    <col min="6" max="6" width="6.54296875" customWidth="1"/>
    <col min="7" max="7" width="20.81640625" customWidth="1"/>
    <col min="8" max="8" width="42.81640625" customWidth="1"/>
    <col min="9" max="9" width="14.453125" customWidth="1"/>
    <col min="10" max="10" width="18" customWidth="1"/>
    <col min="11" max="11" width="7.1796875" customWidth="1"/>
  </cols>
  <sheetData>
    <row r="1" spans="1:12" x14ac:dyDescent="0.35">
      <c r="A1" t="s">
        <v>0</v>
      </c>
      <c r="B1" t="s">
        <v>10</v>
      </c>
      <c r="H1" s="1" t="s">
        <v>11</v>
      </c>
    </row>
    <row r="2" spans="1:12" ht="15" thickBot="1" x14ac:dyDescent="0.4"/>
    <row r="3" spans="1:12" ht="29.5" thickBot="1" x14ac:dyDescent="0.4">
      <c r="B3" s="23" t="s">
        <v>1</v>
      </c>
      <c r="C3" s="23" t="s">
        <v>2</v>
      </c>
      <c r="D3" s="40" t="s">
        <v>3</v>
      </c>
      <c r="E3" s="23" t="s">
        <v>4</v>
      </c>
      <c r="F3" s="40" t="s">
        <v>5</v>
      </c>
      <c r="G3" s="23" t="s">
        <v>6</v>
      </c>
      <c r="H3" s="23" t="s">
        <v>7</v>
      </c>
    </row>
    <row r="4" spans="1:12" x14ac:dyDescent="0.35">
      <c r="A4" t="s">
        <v>21</v>
      </c>
      <c r="B4" s="44">
        <v>1</v>
      </c>
      <c r="C4" s="44" t="s">
        <v>8</v>
      </c>
      <c r="D4" s="45">
        <v>0</v>
      </c>
      <c r="E4" s="44">
        <v>8</v>
      </c>
      <c r="F4" s="45">
        <v>20000</v>
      </c>
      <c r="G4" s="44" t="s">
        <v>12</v>
      </c>
      <c r="H4" s="46" t="s">
        <v>18</v>
      </c>
    </row>
    <row r="5" spans="1:12" x14ac:dyDescent="0.35">
      <c r="A5" t="s">
        <v>21</v>
      </c>
      <c r="B5" s="24">
        <v>2</v>
      </c>
      <c r="C5" s="33" t="s">
        <v>17</v>
      </c>
      <c r="D5" s="12"/>
      <c r="E5" s="24">
        <v>9</v>
      </c>
      <c r="F5" s="12">
        <v>20000</v>
      </c>
      <c r="G5" s="24" t="s">
        <v>12</v>
      </c>
      <c r="H5" s="43" t="s">
        <v>19</v>
      </c>
    </row>
    <row r="6" spans="1:12" x14ac:dyDescent="0.35">
      <c r="A6" t="s">
        <v>21</v>
      </c>
      <c r="B6" s="25">
        <v>3</v>
      </c>
      <c r="C6" s="34" t="s">
        <v>13</v>
      </c>
      <c r="D6" s="8" t="s">
        <v>17</v>
      </c>
      <c r="E6" s="25">
        <v>20</v>
      </c>
      <c r="F6" s="14" t="s">
        <v>17</v>
      </c>
      <c r="G6" s="41" t="s">
        <v>17</v>
      </c>
      <c r="H6" s="25" t="s">
        <v>20</v>
      </c>
    </row>
    <row r="7" spans="1:12" x14ac:dyDescent="0.35">
      <c r="A7" s="207">
        <v>1</v>
      </c>
      <c r="B7" s="25">
        <v>4</v>
      </c>
      <c r="C7" s="35" t="s">
        <v>17</v>
      </c>
      <c r="D7" s="8" t="s">
        <v>17</v>
      </c>
      <c r="E7" s="25">
        <v>22</v>
      </c>
      <c r="F7" s="13"/>
      <c r="G7" s="25"/>
      <c r="H7" s="25" t="s">
        <v>22</v>
      </c>
    </row>
    <row r="8" spans="1:12" x14ac:dyDescent="0.35">
      <c r="B8" s="26">
        <v>5</v>
      </c>
      <c r="C8" s="26" t="s">
        <v>14</v>
      </c>
      <c r="D8" s="9" t="s">
        <v>17</v>
      </c>
      <c r="E8" s="26">
        <v>33</v>
      </c>
      <c r="F8" s="15"/>
      <c r="G8" s="26"/>
      <c r="H8" s="26" t="s">
        <v>23</v>
      </c>
    </row>
    <row r="9" spans="1:12" x14ac:dyDescent="0.35">
      <c r="A9" s="207">
        <v>1</v>
      </c>
      <c r="B9" s="26">
        <v>6</v>
      </c>
      <c r="C9" s="36" t="s">
        <v>17</v>
      </c>
      <c r="D9" s="9" t="s">
        <v>17</v>
      </c>
      <c r="E9" s="26">
        <v>35</v>
      </c>
      <c r="F9" s="15"/>
      <c r="G9" s="26"/>
      <c r="H9" s="26"/>
    </row>
    <row r="10" spans="1:12" x14ac:dyDescent="0.35">
      <c r="B10" s="27">
        <v>7</v>
      </c>
      <c r="C10" s="27" t="s">
        <v>15</v>
      </c>
      <c r="D10" s="10" t="s">
        <v>17</v>
      </c>
      <c r="E10" s="27">
        <v>44</v>
      </c>
      <c r="F10" s="16"/>
      <c r="G10" s="27"/>
      <c r="H10" s="27"/>
    </row>
    <row r="11" spans="1:12" x14ac:dyDescent="0.35">
      <c r="A11" s="207">
        <v>1</v>
      </c>
      <c r="B11" s="27">
        <v>8</v>
      </c>
      <c r="C11" s="37" t="s">
        <v>17</v>
      </c>
      <c r="D11" s="10" t="s">
        <v>17</v>
      </c>
      <c r="E11" s="27">
        <v>46</v>
      </c>
      <c r="F11" s="16"/>
      <c r="G11" s="27"/>
      <c r="H11" s="27"/>
      <c r="I11" s="3"/>
      <c r="J11" s="3"/>
      <c r="K11" s="3"/>
      <c r="L11" s="3"/>
    </row>
    <row r="12" spans="1:12" x14ac:dyDescent="0.35">
      <c r="B12" s="28">
        <v>9</v>
      </c>
      <c r="C12" s="28" t="s">
        <v>16</v>
      </c>
      <c r="D12" s="11" t="s">
        <v>17</v>
      </c>
      <c r="E12" s="28">
        <v>56</v>
      </c>
      <c r="F12" s="17"/>
      <c r="G12" s="28"/>
      <c r="H12" s="28"/>
      <c r="I12" s="3"/>
      <c r="J12" s="4"/>
      <c r="K12" s="3"/>
      <c r="L12" s="3"/>
    </row>
    <row r="13" spans="1:12" ht="15" thickBot="1" x14ac:dyDescent="0.4">
      <c r="A13" s="207">
        <v>1</v>
      </c>
      <c r="B13" s="47">
        <v>10</v>
      </c>
      <c r="C13" s="48" t="s">
        <v>17</v>
      </c>
      <c r="D13" s="49" t="s">
        <v>17</v>
      </c>
      <c r="E13" s="47">
        <v>58</v>
      </c>
      <c r="F13" s="50"/>
      <c r="G13" s="47"/>
      <c r="H13" s="47"/>
      <c r="I13" s="5"/>
      <c r="J13" s="4"/>
      <c r="K13" s="5"/>
      <c r="L13" s="5"/>
    </row>
    <row r="14" spans="1:12" ht="15" thickBot="1" x14ac:dyDescent="0.4">
      <c r="B14" s="29"/>
      <c r="C14" s="29"/>
      <c r="D14" s="5"/>
      <c r="E14" s="29"/>
      <c r="F14" s="5"/>
      <c r="G14" s="29"/>
      <c r="H14" s="29"/>
      <c r="I14" s="5"/>
      <c r="J14" s="4"/>
      <c r="K14" s="4"/>
      <c r="L14" s="3"/>
    </row>
    <row r="15" spans="1:12" x14ac:dyDescent="0.35">
      <c r="B15" s="51">
        <v>11</v>
      </c>
      <c r="C15" s="51">
        <v>1</v>
      </c>
      <c r="D15" s="52" t="s">
        <v>17</v>
      </c>
      <c r="E15" s="51">
        <v>15</v>
      </c>
      <c r="F15" s="53">
        <v>20000</v>
      </c>
      <c r="G15" s="51" t="s">
        <v>26</v>
      </c>
      <c r="H15" s="54" t="s">
        <v>25</v>
      </c>
      <c r="I15" s="3"/>
      <c r="J15" s="4"/>
      <c r="K15" s="4"/>
      <c r="L15" s="3"/>
    </row>
    <row r="16" spans="1:12" x14ac:dyDescent="0.35">
      <c r="B16" s="30">
        <v>12</v>
      </c>
      <c r="C16" s="38" t="s">
        <v>17</v>
      </c>
      <c r="D16" s="18" t="s">
        <v>17</v>
      </c>
      <c r="E16" s="30">
        <v>20</v>
      </c>
      <c r="F16" s="19" t="s">
        <v>17</v>
      </c>
      <c r="G16" s="38" t="s">
        <v>17</v>
      </c>
      <c r="H16" s="30" t="s">
        <v>24</v>
      </c>
    </row>
    <row r="17" spans="1:12" x14ac:dyDescent="0.35">
      <c r="A17" s="207"/>
      <c r="B17" s="30">
        <v>13</v>
      </c>
      <c r="C17" s="38" t="s">
        <v>17</v>
      </c>
      <c r="D17" s="18" t="s">
        <v>17</v>
      </c>
      <c r="E17" s="38" t="s">
        <v>17</v>
      </c>
      <c r="F17" s="19" t="s">
        <v>17</v>
      </c>
      <c r="G17" s="38" t="s">
        <v>12</v>
      </c>
      <c r="H17" s="30" t="s">
        <v>27</v>
      </c>
      <c r="I17" s="6"/>
      <c r="L17" s="3"/>
    </row>
    <row r="18" spans="1:12" x14ac:dyDescent="0.35">
      <c r="B18" s="31">
        <v>14</v>
      </c>
      <c r="C18" s="31">
        <v>2</v>
      </c>
      <c r="D18" s="20" t="s">
        <v>17</v>
      </c>
      <c r="E18" s="31">
        <v>55</v>
      </c>
      <c r="F18" s="21" t="s">
        <v>17</v>
      </c>
      <c r="G18" s="42" t="s">
        <v>17</v>
      </c>
      <c r="H18" s="31" t="s">
        <v>28</v>
      </c>
    </row>
    <row r="19" spans="1:12" ht="15" thickBot="1" x14ac:dyDescent="0.4">
      <c r="A19" s="207"/>
      <c r="B19" s="32">
        <v>15</v>
      </c>
      <c r="C19" s="39" t="s">
        <v>17</v>
      </c>
      <c r="D19" s="22"/>
      <c r="E19" s="32">
        <v>60</v>
      </c>
      <c r="F19" s="22"/>
      <c r="G19" s="32"/>
      <c r="H19" s="32"/>
    </row>
    <row r="20" spans="1:12" x14ac:dyDescent="0.35">
      <c r="B20" s="55">
        <v>16</v>
      </c>
      <c r="C20" s="55" t="s">
        <v>29</v>
      </c>
      <c r="D20" s="55"/>
      <c r="E20" s="55">
        <v>15</v>
      </c>
      <c r="F20" s="56"/>
      <c r="G20" s="56"/>
      <c r="H20" s="57" t="s">
        <v>31</v>
      </c>
    </row>
    <row r="21" spans="1:12" x14ac:dyDescent="0.35">
      <c r="A21" s="207"/>
      <c r="B21" s="58">
        <v>17</v>
      </c>
      <c r="C21" s="59" t="s">
        <v>17</v>
      </c>
      <c r="D21" s="58"/>
      <c r="E21" s="58">
        <v>20</v>
      </c>
      <c r="F21" s="60"/>
      <c r="G21" s="60"/>
      <c r="H21" s="61" t="s">
        <v>31</v>
      </c>
    </row>
    <row r="22" spans="1:12" ht="15" thickBot="1" x14ac:dyDescent="0.4">
      <c r="A22" s="207"/>
      <c r="B22" s="62">
        <v>18</v>
      </c>
      <c r="C22" s="63" t="s">
        <v>17</v>
      </c>
      <c r="D22" s="62">
        <v>180</v>
      </c>
      <c r="E22" s="63" t="s">
        <v>17</v>
      </c>
      <c r="F22" s="64"/>
      <c r="G22" s="64"/>
      <c r="H22" s="65" t="s">
        <v>30</v>
      </c>
    </row>
    <row r="23" spans="1:12" x14ac:dyDescent="0.35">
      <c r="B23" s="66">
        <v>19</v>
      </c>
      <c r="C23" s="66" t="s">
        <v>9</v>
      </c>
      <c r="D23" s="66">
        <v>0</v>
      </c>
      <c r="E23" s="66">
        <v>44</v>
      </c>
      <c r="F23" s="67"/>
      <c r="G23" s="67"/>
      <c r="H23" s="68" t="s">
        <v>32</v>
      </c>
    </row>
    <row r="24" spans="1:12" ht="15" thickBot="1" x14ac:dyDescent="0.4">
      <c r="A24" s="207"/>
      <c r="B24" s="69">
        <v>20</v>
      </c>
      <c r="C24" s="70" t="s">
        <v>17</v>
      </c>
      <c r="D24" s="70" t="s">
        <v>17</v>
      </c>
      <c r="E24" s="69">
        <v>46</v>
      </c>
      <c r="F24" s="71"/>
      <c r="G24" s="71"/>
      <c r="H24" s="72" t="s">
        <v>32</v>
      </c>
    </row>
    <row r="33" spans="2:2" x14ac:dyDescent="0.35">
      <c r="B33" s="2"/>
    </row>
    <row r="34" spans="2:2" x14ac:dyDescent="0.35">
      <c r="B34" s="2"/>
    </row>
    <row r="1048576" spans="4:4" x14ac:dyDescent="0.35">
      <c r="D1048576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1"/>
  <sheetViews>
    <sheetView tabSelected="1" topLeftCell="G30" zoomScale="77" zoomScaleNormal="77" workbookViewId="0">
      <selection activeCell="Q37" sqref="Q37"/>
    </sheetView>
  </sheetViews>
  <sheetFormatPr defaultColWidth="8.54296875" defaultRowHeight="14.5" x14ac:dyDescent="0.35"/>
  <cols>
    <col min="1" max="1" width="8.26953125" bestFit="1" customWidth="1"/>
    <col min="5" max="5" width="12.453125" customWidth="1"/>
    <col min="6" max="6" width="9.1796875" customWidth="1"/>
    <col min="7" max="7" width="12" bestFit="1" customWidth="1"/>
    <col min="10" max="10" width="15.453125" customWidth="1"/>
    <col min="11" max="11" width="7.26953125" bestFit="1" customWidth="1"/>
    <col min="12" max="13" width="8" bestFit="1" customWidth="1"/>
    <col min="14" max="14" width="7.7265625" bestFit="1" customWidth="1"/>
    <col min="15" max="16" width="15.26953125" bestFit="1" customWidth="1"/>
    <col min="17" max="18" width="19.7265625" bestFit="1" customWidth="1"/>
    <col min="19" max="19" width="8.54296875" bestFit="1" customWidth="1"/>
    <col min="20" max="20" width="6.7265625" bestFit="1" customWidth="1"/>
    <col min="22" max="22" width="8.453125" bestFit="1" customWidth="1"/>
    <col min="23" max="23" width="7.453125" bestFit="1" customWidth="1"/>
    <col min="24" max="24" width="8.1796875" customWidth="1"/>
    <col min="25" max="25" width="8" bestFit="1" customWidth="1"/>
    <col min="26" max="26" width="7.453125" bestFit="1" customWidth="1"/>
    <col min="27" max="27" width="7.7265625" bestFit="1" customWidth="1"/>
    <col min="28" max="29" width="15.26953125" bestFit="1" customWidth="1"/>
    <col min="30" max="31" width="19.7265625" bestFit="1" customWidth="1"/>
    <col min="32" max="32" width="8.54296875" bestFit="1" customWidth="1"/>
    <col min="33" max="33" width="5.26953125" bestFit="1" customWidth="1"/>
    <col min="34" max="35" width="7.453125" bestFit="1" customWidth="1"/>
    <col min="37" max="37" width="9.81640625" customWidth="1"/>
    <col min="38" max="39" width="7.36328125" bestFit="1" customWidth="1"/>
    <col min="40" max="40" width="7.26953125" bestFit="1" customWidth="1"/>
    <col min="41" max="42" width="14.36328125" bestFit="1" customWidth="1"/>
    <col min="43" max="43" width="20.1796875" customWidth="1"/>
    <col min="44" max="44" width="11.36328125" customWidth="1"/>
    <col min="45" max="45" width="7.81640625" bestFit="1" customWidth="1"/>
    <col min="46" max="46" width="6.1796875" bestFit="1" customWidth="1"/>
  </cols>
  <sheetData>
    <row r="1" spans="1:48" ht="15" thickBot="1" x14ac:dyDescent="0.4">
      <c r="A1" s="73" t="s">
        <v>33</v>
      </c>
      <c r="B1" s="74">
        <v>2000</v>
      </c>
      <c r="C1" s="75" t="s">
        <v>34</v>
      </c>
    </row>
    <row r="2" spans="1:48" ht="29.5" thickBot="1" x14ac:dyDescent="0.4">
      <c r="A2" s="76" t="s">
        <v>35</v>
      </c>
      <c r="B2" s="77">
        <v>11.31</v>
      </c>
      <c r="C2" s="78" t="s">
        <v>36</v>
      </c>
      <c r="G2" s="79" t="s">
        <v>37</v>
      </c>
    </row>
    <row r="3" spans="1:48" ht="29.5" thickBot="1" x14ac:dyDescent="0.4">
      <c r="C3" s="80" t="s">
        <v>38</v>
      </c>
      <c r="D3" s="81" t="s">
        <v>39</v>
      </c>
      <c r="E3" s="81" t="s">
        <v>40</v>
      </c>
      <c r="F3" s="81" t="s">
        <v>41</v>
      </c>
      <c r="G3" s="81" t="s">
        <v>42</v>
      </c>
      <c r="H3" s="82" t="s">
        <v>43</v>
      </c>
    </row>
    <row r="4" spans="1:48" ht="15" thickBot="1" x14ac:dyDescent="0.4">
      <c r="C4" s="83" t="s">
        <v>44</v>
      </c>
      <c r="D4" s="84">
        <v>8</v>
      </c>
      <c r="E4" s="85">
        <v>15.999000000000001</v>
      </c>
      <c r="F4" s="86">
        <f t="shared" ref="F4:F12" si="0">((SQRT(1-(1/E4)^2*SIN(RADIANS(165))^2)+1/E4*COS(RADIANS(165)))/(1+1/E4))^2</f>
        <v>0.78185798881983415</v>
      </c>
      <c r="G4" s="87">
        <f>$B$1*F4</f>
        <v>1563.7159776396684</v>
      </c>
      <c r="H4" s="208">
        <v>643</v>
      </c>
      <c r="I4">
        <f>H4-'[1]Ta-Nb-V Calib - RBS1 - Alfa'!I2</f>
        <v>374</v>
      </c>
      <c r="S4" s="88" t="s">
        <v>2</v>
      </c>
      <c r="T4" s="89"/>
      <c r="U4" s="90" t="s">
        <v>45</v>
      </c>
      <c r="V4" s="91"/>
      <c r="W4" s="90"/>
      <c r="X4" s="90" t="s">
        <v>46</v>
      </c>
      <c r="Y4" s="91"/>
    </row>
    <row r="5" spans="1:48" x14ac:dyDescent="0.35">
      <c r="C5" s="92" t="s">
        <v>47</v>
      </c>
      <c r="D5" s="93">
        <v>14</v>
      </c>
      <c r="E5" s="94">
        <v>28.085000000000001</v>
      </c>
      <c r="F5" s="86">
        <f t="shared" si="0"/>
        <v>0.86930741306534087</v>
      </c>
      <c r="G5" s="95">
        <f>$B$1*F5</f>
        <v>1738.6148261306816</v>
      </c>
      <c r="H5" s="209">
        <v>712</v>
      </c>
      <c r="I5">
        <f>H5-'[1]Ta-Nb-V Calib - RBS1 - Alfa'!I3</f>
        <v>275</v>
      </c>
      <c r="S5" s="96">
        <v>4</v>
      </c>
      <c r="T5" s="97">
        <f>T13</f>
        <v>732.70189479750047</v>
      </c>
      <c r="U5" s="98" t="s">
        <v>48</v>
      </c>
      <c r="V5" s="99">
        <f>V13</f>
        <v>0</v>
      </c>
      <c r="W5" s="100">
        <f>T5*344.092/0.30397*10^(-6)</f>
        <v>0.8294136276101638</v>
      </c>
      <c r="X5" s="98" t="s">
        <v>48</v>
      </c>
      <c r="Y5" s="101">
        <f>V5*344.092/0.30397*10^(-6)</f>
        <v>0</v>
      </c>
    </row>
    <row r="6" spans="1:48" x14ac:dyDescent="0.35">
      <c r="C6" s="102" t="s">
        <v>49</v>
      </c>
      <c r="D6" s="103">
        <v>23</v>
      </c>
      <c r="E6" s="104">
        <v>50.942</v>
      </c>
      <c r="F6" s="86">
        <f t="shared" si="0"/>
        <v>0.9257111865667883</v>
      </c>
      <c r="G6" s="105">
        <f>$B$1*F6</f>
        <v>1851.4223731335767</v>
      </c>
      <c r="H6" s="210">
        <v>761</v>
      </c>
      <c r="I6">
        <f>H6-'[1]Ta-Nb-V Calib - RBS1 - Alfa'!I4</f>
        <v>179</v>
      </c>
      <c r="S6" s="96">
        <v>5</v>
      </c>
      <c r="T6" s="97">
        <f>T18</f>
        <v>515.18101977949254</v>
      </c>
      <c r="U6" s="98" t="s">
        <v>48</v>
      </c>
      <c r="V6" s="99">
        <f>V18</f>
        <v>16.190577449985792</v>
      </c>
      <c r="W6" s="100">
        <f t="shared" ref="W6:W7" si="1">T6*344.092/0.30397*10^(-6)</f>
        <v>0.58318145691339651</v>
      </c>
      <c r="X6" s="98" t="s">
        <v>48</v>
      </c>
      <c r="Y6" s="101">
        <f t="shared" ref="Y6:Y7" si="2">V6*344.092/0.30397*10^(-6)</f>
        <v>1.8327625015365039E-2</v>
      </c>
    </row>
    <row r="7" spans="1:48" ht="15" thickBot="1" x14ac:dyDescent="0.4">
      <c r="C7" s="106" t="s">
        <v>50</v>
      </c>
      <c r="D7" s="107">
        <v>41</v>
      </c>
      <c r="E7" s="108">
        <v>92.906000000000006</v>
      </c>
      <c r="F7" s="86">
        <f t="shared" si="0"/>
        <v>0.95856067934676659</v>
      </c>
      <c r="G7" s="109">
        <f>$B$1*F7</f>
        <v>1917.1213586935332</v>
      </c>
      <c r="H7" s="211">
        <v>792</v>
      </c>
      <c r="I7">
        <f>H7-'[1]Ta-Nb-V Calib - RBS1 - Alfa'!I5</f>
        <v>119</v>
      </c>
      <c r="S7" s="110">
        <v>6</v>
      </c>
      <c r="T7" s="111">
        <f>T23</f>
        <v>973.11970402793031</v>
      </c>
      <c r="U7" s="112" t="s">
        <v>48</v>
      </c>
      <c r="V7" s="113">
        <f>V23</f>
        <v>48.571732349957387</v>
      </c>
      <c r="W7" s="114">
        <f t="shared" si="1"/>
        <v>1.1015649741697489</v>
      </c>
      <c r="X7" s="112" t="s">
        <v>48</v>
      </c>
      <c r="Y7" s="115">
        <f t="shared" si="2"/>
        <v>5.4982875046095114E-2</v>
      </c>
    </row>
    <row r="8" spans="1:48" ht="15" thickBot="1" x14ac:dyDescent="0.4">
      <c r="C8" s="116" t="s">
        <v>51</v>
      </c>
      <c r="D8" s="117">
        <v>73</v>
      </c>
      <c r="E8" s="118">
        <v>180.95</v>
      </c>
      <c r="F8" s="119">
        <f t="shared" si="0"/>
        <v>0.97850521298958393</v>
      </c>
      <c r="G8" s="120">
        <f>$B$1*F8</f>
        <v>1957.0104259791678</v>
      </c>
      <c r="H8" s="212">
        <v>808</v>
      </c>
      <c r="I8" s="197">
        <f>H8-'[1]Ta-Nb-V Calib - RBS1 - Alfa'!I6</f>
        <v>75.5</v>
      </c>
      <c r="J8" s="121"/>
      <c r="S8" s="110">
        <v>7</v>
      </c>
      <c r="T8" s="111">
        <f>T24</f>
        <v>0</v>
      </c>
      <c r="U8" s="112" t="s">
        <v>48</v>
      </c>
      <c r="V8" s="113">
        <f>V24</f>
        <v>0</v>
      </c>
      <c r="W8" s="114">
        <f t="shared" ref="W8" si="3">T8*344.092/0.30397*10^(-6)</f>
        <v>0</v>
      </c>
      <c r="X8" s="112" t="s">
        <v>48</v>
      </c>
      <c r="Y8" s="115">
        <f t="shared" ref="Y8" si="4">V8*344.092/0.30397*10^(-6)</f>
        <v>0</v>
      </c>
    </row>
    <row r="9" spans="1:48" ht="15" thickBot="1" x14ac:dyDescent="0.4">
      <c r="C9" s="122" t="s">
        <v>52</v>
      </c>
      <c r="D9" s="123">
        <v>82</v>
      </c>
      <c r="E9" s="123">
        <v>207.2</v>
      </c>
      <c r="F9" s="124">
        <f t="shared" si="0"/>
        <v>0.9812026480871997</v>
      </c>
      <c r="G9" s="125">
        <f t="shared" ref="G9:G12" si="5">$B$1*F9</f>
        <v>1962.4052961743994</v>
      </c>
      <c r="H9" s="126">
        <f>(G9-46.367)/2.3671</f>
        <v>809.4454379512481</v>
      </c>
      <c r="I9" s="197">
        <f>H9-'[1]Ta-Nb-V Calib - RBS1 - Alfa'!I7</f>
        <v>66.496141609777283</v>
      </c>
    </row>
    <row r="10" spans="1:48" ht="44" thickBot="1" x14ac:dyDescent="0.4">
      <c r="J10" s="2"/>
      <c r="K10" s="127" t="s">
        <v>68</v>
      </c>
      <c r="L10" s="128" t="s">
        <v>54</v>
      </c>
      <c r="M10" s="129" t="s">
        <v>55</v>
      </c>
      <c r="N10" s="130" t="s">
        <v>56</v>
      </c>
      <c r="O10" s="129" t="s">
        <v>57</v>
      </c>
      <c r="P10" s="130" t="s">
        <v>58</v>
      </c>
      <c r="Q10" s="129" t="s">
        <v>59</v>
      </c>
      <c r="R10" s="130" t="s">
        <v>60</v>
      </c>
      <c r="S10" s="131" t="s">
        <v>61</v>
      </c>
      <c r="T10" s="132" t="s">
        <v>62</v>
      </c>
      <c r="U10" s="133"/>
      <c r="V10" s="134"/>
      <c r="X10" s="181"/>
      <c r="Y10" s="182" t="s">
        <v>65</v>
      </c>
      <c r="Z10" s="183" t="s">
        <v>66</v>
      </c>
      <c r="AA10" s="183" t="s">
        <v>56</v>
      </c>
      <c r="AB10" s="183" t="s">
        <v>57</v>
      </c>
      <c r="AC10" s="183" t="s">
        <v>58</v>
      </c>
      <c r="AD10" s="183" t="s">
        <v>59</v>
      </c>
      <c r="AE10" s="183" t="s">
        <v>60</v>
      </c>
      <c r="AF10" s="184" t="s">
        <v>61</v>
      </c>
      <c r="AG10" s="185" t="s">
        <v>62</v>
      </c>
      <c r="AH10" s="133"/>
      <c r="AI10" s="134"/>
      <c r="AK10" s="135"/>
      <c r="AL10" s="136" t="s">
        <v>63</v>
      </c>
      <c r="AM10" s="137" t="s">
        <v>64</v>
      </c>
      <c r="AN10" s="137" t="s">
        <v>56</v>
      </c>
      <c r="AO10" s="137" t="s">
        <v>57</v>
      </c>
      <c r="AP10" s="137" t="s">
        <v>58</v>
      </c>
      <c r="AQ10" s="137" t="s">
        <v>59</v>
      </c>
      <c r="AR10" s="137" t="s">
        <v>60</v>
      </c>
      <c r="AS10" s="138" t="s">
        <v>61</v>
      </c>
      <c r="AT10" s="139" t="s">
        <v>62</v>
      </c>
      <c r="AU10" s="133"/>
      <c r="AV10" s="134"/>
    </row>
    <row r="11" spans="1:48" ht="15" thickBot="1" x14ac:dyDescent="0.4">
      <c r="C11" s="201" t="s">
        <v>81</v>
      </c>
      <c r="D11" s="202">
        <v>17</v>
      </c>
      <c r="E11" s="202">
        <v>35.450000000000003</v>
      </c>
      <c r="F11" s="199">
        <f t="shared" si="0"/>
        <v>0.89499019427127813</v>
      </c>
      <c r="G11" s="200">
        <f t="shared" si="5"/>
        <v>1789.9803885425563</v>
      </c>
      <c r="H11" s="203">
        <f>(G11-46.367)/2.3671</f>
        <v>736.60318049197588</v>
      </c>
      <c r="K11" s="140" t="s">
        <v>69</v>
      </c>
      <c r="L11" s="141">
        <v>808</v>
      </c>
      <c r="M11" s="142">
        <v>776</v>
      </c>
      <c r="N11" s="143">
        <f>(L11-M11)*2.381</f>
        <v>76.191999999999993</v>
      </c>
      <c r="O11" s="142">
        <v>45.37</v>
      </c>
      <c r="P11" s="144">
        <f>O11*$B$2/10</f>
        <v>51.313469999999995</v>
      </c>
      <c r="Q11" s="142">
        <v>45.81</v>
      </c>
      <c r="R11" s="145">
        <f>Q11*$B$2/10</f>
        <v>51.811110000000006</v>
      </c>
      <c r="S11" s="146">
        <f t="shared" ref="S11:S12" si="6">(($F$9/COS(RADIANS(0))*P11)+(1/COS(RADIANS(15))*R11))</f>
        <v>103.98772071014974</v>
      </c>
      <c r="T11" s="147">
        <f>N11*10^3/S11</f>
        <v>732.70189479750047</v>
      </c>
      <c r="U11" s="148"/>
      <c r="V11" s="149">
        <f>($T$13-T11)^2</f>
        <v>0</v>
      </c>
      <c r="X11" s="186"/>
      <c r="Y11" s="141">
        <v>612</v>
      </c>
      <c r="Z11" s="142"/>
      <c r="AA11" s="143">
        <f>(Y11-Z11)*2.381</f>
        <v>1457.1719999999998</v>
      </c>
      <c r="AB11" s="142">
        <v>133.5</v>
      </c>
      <c r="AC11" s="144">
        <f>AB11*$B$2/10</f>
        <v>150.98849999999999</v>
      </c>
      <c r="AD11" s="142">
        <v>135.30000000000001</v>
      </c>
      <c r="AE11" s="145">
        <f>AD11*$B$2/10</f>
        <v>153.02430000000001</v>
      </c>
      <c r="AF11" s="146">
        <f>(($F$9/COS(RADIANS(0))*AC11)+(1/COS(RADIANS(15)*AE11)))</f>
        <v>146.74501411526421</v>
      </c>
      <c r="AG11" s="192">
        <f>AA11*10^3/AF11</f>
        <v>9929.9591797744542</v>
      </c>
      <c r="AH11" s="148"/>
      <c r="AI11" s="151"/>
      <c r="AK11" s="150"/>
      <c r="AL11" s="141">
        <v>560</v>
      </c>
      <c r="AM11" s="142"/>
      <c r="AN11" s="143">
        <f>(AL11-AM11)*2.381</f>
        <v>1333.36</v>
      </c>
      <c r="AO11" s="142">
        <v>139.5</v>
      </c>
      <c r="AP11" s="144">
        <f>AO11*$B$2/10</f>
        <v>157.77450000000002</v>
      </c>
      <c r="AQ11" s="142">
        <v>141.5</v>
      </c>
      <c r="AR11" s="145">
        <f>AQ11*$B$2/10</f>
        <v>160.03649999999999</v>
      </c>
      <c r="AS11" s="146">
        <f>(($F$9/COS(RADIANS(0))*AP11)+(1/COS(RADIANS(15)*AR11)))</f>
        <v>152.7750043830697</v>
      </c>
      <c r="AT11" s="192">
        <f>AN11*10^3/AS11</f>
        <v>8727.605706079501</v>
      </c>
      <c r="AU11" s="148"/>
      <c r="AV11" s="151"/>
    </row>
    <row r="12" spans="1:48" ht="15" thickBot="1" x14ac:dyDescent="0.4">
      <c r="C12" t="s">
        <v>90</v>
      </c>
      <c r="D12">
        <v>29</v>
      </c>
      <c r="E12">
        <v>63.545999999999999</v>
      </c>
      <c r="F12" s="199">
        <f t="shared" si="0"/>
        <v>0.93999634329545045</v>
      </c>
      <c r="G12" s="200">
        <f t="shared" si="5"/>
        <v>1879.9926865909008</v>
      </c>
      <c r="H12" s="203">
        <f>(G12-46.367)/2.3671</f>
        <v>774.62958328372304</v>
      </c>
      <c r="K12" s="157" t="s">
        <v>70</v>
      </c>
      <c r="L12" s="158">
        <v>808</v>
      </c>
      <c r="M12" s="159">
        <v>776</v>
      </c>
      <c r="N12" s="160">
        <f t="shared" ref="N12" si="7">(L12-M12)*2.381</f>
        <v>76.191999999999993</v>
      </c>
      <c r="O12" s="161">
        <v>45.37</v>
      </c>
      <c r="P12" s="162">
        <f t="shared" ref="P12" si="8">O12*$B$2/10</f>
        <v>51.313469999999995</v>
      </c>
      <c r="Q12" s="161">
        <v>45.81</v>
      </c>
      <c r="R12" s="163">
        <f t="shared" ref="R12" si="9">Q12*$B$2/10</f>
        <v>51.811110000000006</v>
      </c>
      <c r="S12" s="146">
        <f t="shared" si="6"/>
        <v>103.98772071014974</v>
      </c>
      <c r="T12" s="165">
        <f>N12*10^3/S12</f>
        <v>732.70189479750047</v>
      </c>
      <c r="U12" s="148"/>
      <c r="V12" s="149">
        <f>($T$13-T12)^2</f>
        <v>0</v>
      </c>
      <c r="X12" s="187"/>
      <c r="Y12" s="152">
        <v>611</v>
      </c>
      <c r="Z12" s="153"/>
      <c r="AA12" s="143">
        <f>(Y12-Z12)*2.381</f>
        <v>1454.7909999999999</v>
      </c>
      <c r="AB12" s="142">
        <v>133.5</v>
      </c>
      <c r="AC12" s="154">
        <f t="shared" ref="AC12" si="10">AB12*$B$2/10</f>
        <v>150.98849999999999</v>
      </c>
      <c r="AD12" s="142">
        <v>135.30000000000001</v>
      </c>
      <c r="AE12" s="155">
        <f t="shared" ref="AE12" si="11">AD12*$B$2/10</f>
        <v>153.02430000000001</v>
      </c>
      <c r="AF12" s="146">
        <f t="shared" ref="AF12" si="12">(($F$9/COS(RADIANS(0))*AC12)+(1/COS(RADIANS(15)*AE12)))</f>
        <v>146.74501411526421</v>
      </c>
      <c r="AG12" s="193">
        <f>AA12*10^3/AF12</f>
        <v>9913.7337562780922</v>
      </c>
      <c r="AH12" s="148"/>
      <c r="AI12" s="151"/>
      <c r="AK12" s="156"/>
      <c r="AL12" s="152">
        <v>560</v>
      </c>
      <c r="AM12" s="153"/>
      <c r="AN12" s="143">
        <f t="shared" ref="AN12" si="13">(AL12-AM12)*2.381</f>
        <v>1333.36</v>
      </c>
      <c r="AO12" s="142">
        <v>139.5</v>
      </c>
      <c r="AP12" s="154">
        <f t="shared" ref="AP12" si="14">AO12*$B$2/10</f>
        <v>157.77450000000002</v>
      </c>
      <c r="AQ12" s="142">
        <v>141.5</v>
      </c>
      <c r="AR12" s="155">
        <f t="shared" ref="AR12" si="15">AQ12*$B$2/10</f>
        <v>160.03649999999999</v>
      </c>
      <c r="AS12" s="146">
        <f>(($F$9/COS(RADIANS(0))*AP12)+(1/COS(RADIANS(15)*AR12)))</f>
        <v>152.7750043830697</v>
      </c>
      <c r="AT12" s="193">
        <f>AN12*10^3/AS12</f>
        <v>8727.605706079501</v>
      </c>
      <c r="AU12" s="148"/>
      <c r="AV12" s="151"/>
    </row>
    <row r="13" spans="1:48" ht="15" thickBot="1" x14ac:dyDescent="0.4">
      <c r="K13" s="167"/>
      <c r="L13" s="148"/>
      <c r="M13" s="148"/>
      <c r="N13" s="148"/>
      <c r="O13" s="148"/>
      <c r="P13" s="148"/>
      <c r="Q13" s="148"/>
      <c r="R13" s="148"/>
      <c r="S13" s="148"/>
      <c r="T13" s="168">
        <f>SUM(T11:T12)/2</f>
        <v>732.70189479750047</v>
      </c>
      <c r="U13" s="169" t="s">
        <v>48</v>
      </c>
      <c r="V13" s="170">
        <f>SQRT(SUM(V11:V12))</f>
        <v>0</v>
      </c>
      <c r="X13" s="171"/>
      <c r="Y13" s="3"/>
      <c r="Z13" s="3"/>
      <c r="AA13" s="3"/>
      <c r="AB13" s="3"/>
      <c r="AC13" s="3"/>
      <c r="AD13" s="3"/>
      <c r="AE13" s="3"/>
      <c r="AF13" s="3"/>
      <c r="AG13" s="3"/>
      <c r="AH13" s="148"/>
      <c r="AI13" s="151"/>
      <c r="AK13" s="171"/>
      <c r="AL13" s="3"/>
      <c r="AM13" s="3"/>
      <c r="AN13" s="3"/>
      <c r="AO13" s="3"/>
      <c r="AP13" s="3"/>
      <c r="AQ13" s="3"/>
      <c r="AR13" s="3"/>
      <c r="AS13" s="3"/>
      <c r="AT13" s="195"/>
      <c r="AU13" s="148"/>
      <c r="AV13" s="151"/>
    </row>
    <row r="14" spans="1:48" ht="15" thickBot="1" x14ac:dyDescent="0.4">
      <c r="K14" s="167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51"/>
      <c r="X14" s="171"/>
      <c r="Y14" s="3"/>
      <c r="Z14" s="3"/>
      <c r="AA14" s="3"/>
      <c r="AB14" s="3"/>
      <c r="AC14" s="3"/>
      <c r="AD14" s="3"/>
      <c r="AE14" s="3"/>
      <c r="AF14" s="3"/>
      <c r="AG14" s="3"/>
      <c r="AH14" s="148"/>
      <c r="AI14" s="151"/>
      <c r="AK14" s="171"/>
      <c r="AL14" s="3"/>
      <c r="AM14" s="3"/>
      <c r="AN14" s="3"/>
      <c r="AO14" s="3"/>
      <c r="AP14" s="3"/>
      <c r="AQ14" s="3"/>
      <c r="AR14" s="3"/>
      <c r="AS14" s="3"/>
      <c r="AT14" s="195"/>
      <c r="AU14" s="148"/>
      <c r="AV14" s="151"/>
    </row>
    <row r="15" spans="1:48" ht="44" thickBot="1" x14ac:dyDescent="0.4">
      <c r="K15" s="127" t="s">
        <v>71</v>
      </c>
      <c r="L15" s="128" t="s">
        <v>54</v>
      </c>
      <c r="M15" s="129" t="s">
        <v>55</v>
      </c>
      <c r="N15" s="130" t="s">
        <v>56</v>
      </c>
      <c r="O15" s="129" t="s">
        <v>57</v>
      </c>
      <c r="P15" s="130" t="s">
        <v>58</v>
      </c>
      <c r="Q15" s="129" t="s">
        <v>59</v>
      </c>
      <c r="R15" s="130" t="s">
        <v>60</v>
      </c>
      <c r="S15" s="131" t="s">
        <v>61</v>
      </c>
      <c r="T15" s="132" t="s">
        <v>62</v>
      </c>
      <c r="U15" s="148"/>
      <c r="V15" s="151"/>
      <c r="X15" s="181"/>
      <c r="Y15" s="182" t="s">
        <v>65</v>
      </c>
      <c r="Z15" s="183" t="s">
        <v>66</v>
      </c>
      <c r="AA15" s="183" t="s">
        <v>56</v>
      </c>
      <c r="AB15" s="183" t="s">
        <v>57</v>
      </c>
      <c r="AC15" s="183" t="s">
        <v>58</v>
      </c>
      <c r="AD15" s="183" t="s">
        <v>59</v>
      </c>
      <c r="AE15" s="183" t="s">
        <v>60</v>
      </c>
      <c r="AF15" s="184" t="s">
        <v>61</v>
      </c>
      <c r="AG15" s="185" t="s">
        <v>62</v>
      </c>
      <c r="AH15" s="148"/>
      <c r="AI15" s="151"/>
      <c r="AK15" s="135"/>
      <c r="AL15" s="136" t="s">
        <v>63</v>
      </c>
      <c r="AM15" s="137" t="s">
        <v>64</v>
      </c>
      <c r="AN15" s="137" t="s">
        <v>56</v>
      </c>
      <c r="AO15" s="137" t="s">
        <v>57</v>
      </c>
      <c r="AP15" s="137" t="s">
        <v>58</v>
      </c>
      <c r="AQ15" s="137" t="s">
        <v>59</v>
      </c>
      <c r="AR15" s="137" t="s">
        <v>60</v>
      </c>
      <c r="AS15" s="138" t="s">
        <v>61</v>
      </c>
      <c r="AT15" s="196" t="s">
        <v>62</v>
      </c>
      <c r="AU15" s="148"/>
      <c r="AV15" s="151"/>
    </row>
    <row r="16" spans="1:48" x14ac:dyDescent="0.35">
      <c r="K16" s="140" t="s">
        <v>72</v>
      </c>
      <c r="L16" s="141">
        <v>811</v>
      </c>
      <c r="M16" s="142">
        <v>789</v>
      </c>
      <c r="N16" s="143">
        <f>(L16-M16)*2.381</f>
        <v>52.381999999999998</v>
      </c>
      <c r="O16" s="142">
        <v>45.37</v>
      </c>
      <c r="P16" s="142">
        <f>O16*$B$2/10</f>
        <v>51.313469999999995</v>
      </c>
      <c r="Q16" s="142">
        <v>45.81</v>
      </c>
      <c r="R16" s="142">
        <f>Q16*$B$2/10</f>
        <v>51.811110000000006</v>
      </c>
      <c r="S16" s="146">
        <f t="shared" ref="S16:S17" si="16">(($F$9/COS(RADIANS(0))*P16)+(1/COS(RADIANS(15))*R16))</f>
        <v>103.98772071014974</v>
      </c>
      <c r="T16" s="147">
        <f>N16*10^3/S16</f>
        <v>503.73255267328159</v>
      </c>
      <c r="U16" s="148"/>
      <c r="V16" s="149">
        <f>($T$18-T16)^2</f>
        <v>131.06739908199424</v>
      </c>
      <c r="X16" s="186"/>
      <c r="Y16" s="141">
        <v>623</v>
      </c>
      <c r="Z16" s="142"/>
      <c r="AA16" s="143">
        <f t="shared" ref="AA16:AA17" si="17">(Y16-Z16)*2.381</f>
        <v>1483.3629999999998</v>
      </c>
      <c r="AB16" s="142">
        <v>133.5</v>
      </c>
      <c r="AC16" s="142">
        <f>AB16*$B$2/10</f>
        <v>150.98849999999999</v>
      </c>
      <c r="AD16" s="142">
        <v>135.30000000000001</v>
      </c>
      <c r="AE16" s="142">
        <f>AD16*$B$2/10</f>
        <v>153.02430000000001</v>
      </c>
      <c r="AF16" s="146">
        <f>(($F$9/COS(RADIANS(0))*AC16)+(1/COS(RADIANS(15)*AE16)))</f>
        <v>146.74501411526421</v>
      </c>
      <c r="AG16" s="192">
        <f>AA16*10^3/AF16</f>
        <v>10108.438838234453</v>
      </c>
      <c r="AH16" s="148"/>
      <c r="AI16" s="151"/>
      <c r="AK16" s="150"/>
      <c r="AL16" s="141">
        <v>571</v>
      </c>
      <c r="AM16" s="142" t="s">
        <v>73</v>
      </c>
      <c r="AN16" s="143" t="e">
        <f t="shared" ref="AN16:AN17" si="18">(AL16-AM16)*2.381</f>
        <v>#VALUE!</v>
      </c>
      <c r="AO16" s="142">
        <v>139.5</v>
      </c>
      <c r="AP16" s="142">
        <f>AO16*$B$2/10</f>
        <v>157.77450000000002</v>
      </c>
      <c r="AQ16" s="142">
        <v>141.5</v>
      </c>
      <c r="AR16" s="142">
        <f>AQ16*$B$2/10</f>
        <v>160.03649999999999</v>
      </c>
      <c r="AS16" s="146">
        <f>(($F$9/COS(RADIANS(0))*AP16)+(1/COS(RADIANS(15)*AR16)))</f>
        <v>152.7750043830697</v>
      </c>
      <c r="AT16" s="192" t="e">
        <f>AN16*10^3/AS16</f>
        <v>#VALUE!</v>
      </c>
      <c r="AU16" s="148"/>
      <c r="AV16" s="151"/>
    </row>
    <row r="17" spans="11:48" ht="15" thickBot="1" x14ac:dyDescent="0.4">
      <c r="K17" s="157" t="s">
        <v>89</v>
      </c>
      <c r="L17" s="172">
        <v>809</v>
      </c>
      <c r="M17" s="173">
        <v>786</v>
      </c>
      <c r="N17" s="160">
        <f>(L17-M17)*2.381</f>
        <v>54.762999999999998</v>
      </c>
      <c r="O17" s="161">
        <v>45.37</v>
      </c>
      <c r="P17" s="159">
        <f t="shared" ref="P17" si="19">O17*$B$2/10</f>
        <v>51.313469999999995</v>
      </c>
      <c r="Q17" s="161">
        <v>45.81</v>
      </c>
      <c r="R17" s="159">
        <f t="shared" ref="R17" si="20">Q17*$B$2/10</f>
        <v>51.811110000000006</v>
      </c>
      <c r="S17" s="146">
        <f t="shared" si="16"/>
        <v>103.98772071014974</v>
      </c>
      <c r="T17" s="165">
        <f>N17*10^3/S17</f>
        <v>526.6294868857035</v>
      </c>
      <c r="U17" s="148"/>
      <c r="V17" s="149">
        <f>($T$18-T17)^2</f>
        <v>131.06739908199424</v>
      </c>
      <c r="X17" s="188"/>
      <c r="Y17" s="172">
        <v>620</v>
      </c>
      <c r="Z17" s="191"/>
      <c r="AA17" s="160">
        <f t="shared" si="17"/>
        <v>1476.2199999999998</v>
      </c>
      <c r="AB17" s="161">
        <v>133.5</v>
      </c>
      <c r="AC17" s="159">
        <f t="shared" ref="AC17" si="21">AB17*$B$2/10</f>
        <v>150.98849999999999</v>
      </c>
      <c r="AD17" s="161">
        <v>135.30000000000001</v>
      </c>
      <c r="AE17" s="159">
        <f t="shared" ref="AE17" si="22">AD17*$B$2/10</f>
        <v>153.02430000000001</v>
      </c>
      <c r="AF17" s="164">
        <f>(($F$9/COS(RADIANS(0))*AC17)+(1/COS(RADIANS(15)*AE17)))</f>
        <v>146.74501411526421</v>
      </c>
      <c r="AG17" s="194">
        <f>AA17*10^3/AF17</f>
        <v>10059.762567745362</v>
      </c>
      <c r="AH17" s="148"/>
      <c r="AI17" s="151"/>
      <c r="AK17" s="166"/>
      <c r="AL17" s="172">
        <v>570</v>
      </c>
      <c r="AM17" s="173" t="s">
        <v>74</v>
      </c>
      <c r="AN17" s="160" t="e">
        <f t="shared" si="18"/>
        <v>#VALUE!</v>
      </c>
      <c r="AO17" s="161">
        <v>139.5</v>
      </c>
      <c r="AP17" s="159">
        <f t="shared" ref="AP17" si="23">AO17*$B$2/10</f>
        <v>157.77450000000002</v>
      </c>
      <c r="AQ17" s="161">
        <v>141.5</v>
      </c>
      <c r="AR17" s="159">
        <f t="shared" ref="AR17" si="24">AQ17*$B$2/10</f>
        <v>160.03649999999999</v>
      </c>
      <c r="AS17" s="164">
        <f>(($F$9/COS(RADIANS(0))*AP17)+(1/COS(RADIANS(15)*AR17)))</f>
        <v>152.7750043830697</v>
      </c>
      <c r="AT17" s="198" t="e">
        <f>AN17*10^3/AS17</f>
        <v>#VALUE!</v>
      </c>
      <c r="AU17" s="148"/>
      <c r="AV17" s="151"/>
    </row>
    <row r="18" spans="11:48" ht="15" thickBot="1" x14ac:dyDescent="0.4">
      <c r="K18" s="167"/>
      <c r="L18" s="148"/>
      <c r="M18" s="148"/>
      <c r="N18" s="148"/>
      <c r="O18" s="148"/>
      <c r="P18" s="148"/>
      <c r="Q18" s="148"/>
      <c r="R18" s="148"/>
      <c r="S18" s="148"/>
      <c r="T18" s="174">
        <f>SUM(T16:T17)/2</f>
        <v>515.18101977949254</v>
      </c>
      <c r="U18" s="169" t="s">
        <v>48</v>
      </c>
      <c r="V18" s="175">
        <f>SQRT(SUM(V16:V17))</f>
        <v>16.190577449985792</v>
      </c>
      <c r="X18" s="171"/>
      <c r="Y18" s="3"/>
      <c r="Z18" s="3"/>
      <c r="AA18" s="3"/>
      <c r="AB18" s="3"/>
      <c r="AC18" s="3"/>
      <c r="AD18" s="3"/>
      <c r="AE18" s="3"/>
      <c r="AF18" s="3"/>
      <c r="AG18" s="3"/>
      <c r="AH18" s="148"/>
      <c r="AI18" s="151"/>
      <c r="AK18" s="171"/>
      <c r="AL18" s="3"/>
      <c r="AM18" s="3"/>
      <c r="AN18" s="3"/>
      <c r="AO18" s="3"/>
      <c r="AP18" s="3"/>
      <c r="AQ18" s="3"/>
      <c r="AR18" s="3"/>
      <c r="AS18" s="3"/>
      <c r="AT18" s="195"/>
      <c r="AU18" s="148"/>
      <c r="AV18" s="151"/>
    </row>
    <row r="19" spans="11:48" ht="15" thickBot="1" x14ac:dyDescent="0.4">
      <c r="K19" s="167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51"/>
      <c r="X19" s="171"/>
      <c r="Y19" s="3"/>
      <c r="Z19" s="3"/>
      <c r="AA19" s="3"/>
      <c r="AB19" s="3"/>
      <c r="AC19" s="3"/>
      <c r="AD19" s="3"/>
      <c r="AE19" s="3"/>
      <c r="AF19" s="3"/>
      <c r="AG19" s="3"/>
      <c r="AH19" s="148"/>
      <c r="AI19" s="151"/>
      <c r="AK19" s="171"/>
      <c r="AL19" s="3"/>
      <c r="AM19" s="3"/>
      <c r="AN19" s="3"/>
      <c r="AO19" s="3"/>
      <c r="AP19" s="3"/>
      <c r="AQ19" s="3"/>
      <c r="AR19" s="3"/>
      <c r="AS19" s="3"/>
      <c r="AT19" s="195"/>
      <c r="AU19" s="148"/>
      <c r="AV19" s="151"/>
    </row>
    <row r="20" spans="11:48" ht="44" thickBot="1" x14ac:dyDescent="0.4">
      <c r="K20" s="127" t="s">
        <v>75</v>
      </c>
      <c r="L20" s="128" t="s">
        <v>54</v>
      </c>
      <c r="M20" s="129" t="s">
        <v>55</v>
      </c>
      <c r="N20" s="130" t="s">
        <v>56</v>
      </c>
      <c r="O20" s="129" t="s">
        <v>57</v>
      </c>
      <c r="P20" s="130" t="s">
        <v>58</v>
      </c>
      <c r="Q20" s="129" t="s">
        <v>59</v>
      </c>
      <c r="R20" s="130" t="s">
        <v>60</v>
      </c>
      <c r="S20" s="131" t="s">
        <v>61</v>
      </c>
      <c r="T20" s="132" t="s">
        <v>62</v>
      </c>
      <c r="U20" s="148"/>
      <c r="V20" s="151"/>
      <c r="X20" s="181"/>
      <c r="Y20" s="182" t="s">
        <v>65</v>
      </c>
      <c r="Z20" s="183" t="s">
        <v>66</v>
      </c>
      <c r="AA20" s="183" t="s">
        <v>56</v>
      </c>
      <c r="AB20" s="183" t="s">
        <v>57</v>
      </c>
      <c r="AC20" s="183" t="s">
        <v>58</v>
      </c>
      <c r="AD20" s="183" t="s">
        <v>59</v>
      </c>
      <c r="AE20" s="183" t="s">
        <v>60</v>
      </c>
      <c r="AF20" s="184" t="s">
        <v>61</v>
      </c>
      <c r="AG20" s="185" t="s">
        <v>62</v>
      </c>
      <c r="AH20" s="148"/>
      <c r="AI20" s="151"/>
      <c r="AK20" s="135"/>
      <c r="AL20" s="136" t="s">
        <v>63</v>
      </c>
      <c r="AM20" s="137" t="s">
        <v>64</v>
      </c>
      <c r="AN20" s="137" t="s">
        <v>56</v>
      </c>
      <c r="AO20" s="137" t="s">
        <v>57</v>
      </c>
      <c r="AP20" s="137" t="s">
        <v>58</v>
      </c>
      <c r="AQ20" s="137" t="s">
        <v>59</v>
      </c>
      <c r="AR20" s="137" t="s">
        <v>60</v>
      </c>
      <c r="AS20" s="138" t="s">
        <v>61</v>
      </c>
      <c r="AT20" s="196" t="s">
        <v>62</v>
      </c>
      <c r="AU20" s="148"/>
      <c r="AV20" s="151"/>
    </row>
    <row r="21" spans="11:48" x14ac:dyDescent="0.35">
      <c r="K21" s="140" t="s">
        <v>76</v>
      </c>
      <c r="L21" s="176">
        <v>809</v>
      </c>
      <c r="M21" s="142">
        <v>768</v>
      </c>
      <c r="N21" s="143">
        <f>(L21-M21)*2.381</f>
        <v>97.620999999999995</v>
      </c>
      <c r="O21" s="142">
        <v>45.37</v>
      </c>
      <c r="P21" s="142">
        <f>O21*$B$2/10</f>
        <v>51.313469999999995</v>
      </c>
      <c r="Q21" s="142">
        <v>45.81</v>
      </c>
      <c r="R21" s="142">
        <f>Q21*$B$2/10</f>
        <v>51.811110000000006</v>
      </c>
      <c r="S21" s="146">
        <f t="shared" ref="S21:S22" si="25">(($F$9/COS(RADIANS(0))*P21)+(1/COS(RADIANS(15))*R21))</f>
        <v>103.98772071014974</v>
      </c>
      <c r="T21" s="147">
        <f>N21*10^3/S21</f>
        <v>938.77430270929744</v>
      </c>
      <c r="U21" s="148"/>
      <c r="V21" s="149">
        <f>($T$23-T21)^2</f>
        <v>1179.6065917379483</v>
      </c>
      <c r="X21" s="186"/>
      <c r="Y21" s="177">
        <v>605</v>
      </c>
      <c r="Z21" s="142"/>
      <c r="AA21" s="143">
        <f t="shared" ref="AA21:AA22" si="26">(Y21-Z21)*2.381</f>
        <v>1440.5049999999999</v>
      </c>
      <c r="AB21" s="142">
        <v>133.5</v>
      </c>
      <c r="AC21" s="142">
        <f>AB21*$B$2/10</f>
        <v>150.98849999999999</v>
      </c>
      <c r="AD21" s="142">
        <v>135.30000000000001</v>
      </c>
      <c r="AE21" s="142">
        <f>AD21*$B$2/10</f>
        <v>153.02430000000001</v>
      </c>
      <c r="AF21" s="146">
        <f>(($F$9/COS(RADIANS(0))*AC21)+(1/COS(RADIANS(15)*AE21)))</f>
        <v>146.74501411526421</v>
      </c>
      <c r="AG21" s="192">
        <f>AA21*10^3/AF21</f>
        <v>9816.3812152999108</v>
      </c>
      <c r="AH21" s="148"/>
      <c r="AI21" s="151"/>
      <c r="AK21" s="150"/>
      <c r="AL21" s="189">
        <v>555</v>
      </c>
      <c r="AM21" s="190" t="s">
        <v>77</v>
      </c>
      <c r="AN21" s="143" t="e">
        <f t="shared" ref="AN21:AN22" si="27">(AL21-AM21)*2.381</f>
        <v>#VALUE!</v>
      </c>
      <c r="AO21" s="142">
        <v>139.5</v>
      </c>
      <c r="AP21" s="142">
        <f>AO21*$B$2/10</f>
        <v>157.77450000000002</v>
      </c>
      <c r="AQ21" s="142">
        <v>141.5</v>
      </c>
      <c r="AR21" s="142">
        <f>AQ21*$B$2/10</f>
        <v>160.03649999999999</v>
      </c>
      <c r="AS21" s="146">
        <f>(($F$9/COS(RADIANS(0))*AP21)+(1/COS(RADIANS(15)*AR21)))</f>
        <v>152.7750043830697</v>
      </c>
      <c r="AT21" s="192" t="e">
        <f>AN21*10^3/AS21</f>
        <v>#VALUE!</v>
      </c>
      <c r="AU21" s="148"/>
      <c r="AV21" s="151"/>
    </row>
    <row r="22" spans="11:48" ht="15" thickBot="1" x14ac:dyDescent="0.4">
      <c r="K22" s="157" t="s">
        <v>78</v>
      </c>
      <c r="L22" s="158">
        <v>811</v>
      </c>
      <c r="M22" s="159">
        <v>767</v>
      </c>
      <c r="N22" s="160">
        <f>(L22-M22)*2.381</f>
        <v>104.764</v>
      </c>
      <c r="O22" s="161">
        <v>45.37</v>
      </c>
      <c r="P22" s="159">
        <f>O22*$B$2/10</f>
        <v>51.313469999999995</v>
      </c>
      <c r="Q22" s="161">
        <v>45.81</v>
      </c>
      <c r="R22" s="159">
        <f>Q22*$B$2/10</f>
        <v>51.811110000000006</v>
      </c>
      <c r="S22" s="146">
        <f t="shared" si="25"/>
        <v>103.98772071014974</v>
      </c>
      <c r="T22" s="165">
        <f>N22*10^3/S22</f>
        <v>1007.4651053465632</v>
      </c>
      <c r="U22" s="148"/>
      <c r="V22" s="149">
        <f>($T$23-T22)^2</f>
        <v>1179.6065917379483</v>
      </c>
      <c r="X22" s="188"/>
      <c r="Y22" s="158">
        <v>610</v>
      </c>
      <c r="Z22" s="159">
        <v>590</v>
      </c>
      <c r="AA22" s="160">
        <f t="shared" si="26"/>
        <v>47.62</v>
      </c>
      <c r="AB22" s="161">
        <v>133.5</v>
      </c>
      <c r="AC22" s="159">
        <f t="shared" ref="AC22" si="28">AB22*$B$2/10</f>
        <v>150.98849999999999</v>
      </c>
      <c r="AD22" s="161">
        <v>135.30000000000001</v>
      </c>
      <c r="AE22" s="159">
        <f t="shared" ref="AE22" si="29">AD22*$B$2/10</f>
        <v>153.02430000000001</v>
      </c>
      <c r="AF22" s="164">
        <f>(($F$9/COS(RADIANS(0))*AC22)+(1/COS(RADIANS(15)*AE22)))</f>
        <v>146.74501411526421</v>
      </c>
      <c r="AG22" s="194">
        <f>AA22*10^3/AF22</f>
        <v>324.5084699272698</v>
      </c>
      <c r="AH22" s="148"/>
      <c r="AI22" s="151"/>
      <c r="AK22" s="166"/>
      <c r="AL22" s="172">
        <v>555</v>
      </c>
      <c r="AM22" s="173">
        <v>536</v>
      </c>
      <c r="AN22" s="160">
        <f t="shared" si="27"/>
        <v>45.238999999999997</v>
      </c>
      <c r="AO22" s="161">
        <v>139.5</v>
      </c>
      <c r="AP22" s="159">
        <f t="shared" ref="AP22" si="30">AO22*$B$2/10</f>
        <v>157.77450000000002</v>
      </c>
      <c r="AQ22" s="161">
        <v>141.5</v>
      </c>
      <c r="AR22" s="159">
        <f t="shared" ref="AR22" si="31">AQ22*$B$2/10</f>
        <v>160.03649999999999</v>
      </c>
      <c r="AS22" s="164">
        <f>(($F$9/COS(RADIANS(0))*AP22)+(1/COS(RADIANS(15)*AR22)))</f>
        <v>152.7750043830697</v>
      </c>
      <c r="AT22" s="194">
        <f>AN22*10^3/AS22</f>
        <v>296.11519359912597</v>
      </c>
      <c r="AU22" s="148"/>
      <c r="AV22" s="151"/>
    </row>
    <row r="23" spans="11:48" ht="15" thickBot="1" x14ac:dyDescent="0.4">
      <c r="K23" s="178"/>
      <c r="L23" s="179"/>
      <c r="M23" s="179"/>
      <c r="N23" s="179"/>
      <c r="O23" s="179"/>
      <c r="P23" s="179"/>
      <c r="Q23" s="179"/>
      <c r="R23" s="179"/>
      <c r="S23" s="179"/>
      <c r="T23" s="174">
        <f>SUM(T21:T22)/2</f>
        <v>973.11970402793031</v>
      </c>
      <c r="U23" s="169" t="s">
        <v>48</v>
      </c>
      <c r="V23" s="175">
        <f>SQRT(SUM(V21:V22))</f>
        <v>48.571732349957387</v>
      </c>
      <c r="X23" s="178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80"/>
      <c r="AK23" s="178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80"/>
    </row>
    <row r="24" spans="11:48" ht="15" thickBot="1" x14ac:dyDescent="0.4">
      <c r="K24" s="167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51"/>
      <c r="X24" s="167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51"/>
      <c r="AK24" s="167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51"/>
    </row>
    <row r="25" spans="11:48" ht="44" thickBot="1" x14ac:dyDescent="0.4">
      <c r="K25" s="127" t="s">
        <v>79</v>
      </c>
      <c r="L25" s="128" t="s">
        <v>54</v>
      </c>
      <c r="M25" s="129" t="s">
        <v>55</v>
      </c>
      <c r="N25" s="130" t="s">
        <v>56</v>
      </c>
      <c r="O25" s="129" t="s">
        <v>57</v>
      </c>
      <c r="P25" s="130" t="s">
        <v>58</v>
      </c>
      <c r="Q25" s="129" t="s">
        <v>59</v>
      </c>
      <c r="R25" s="130" t="s">
        <v>60</v>
      </c>
      <c r="S25" s="131" t="s">
        <v>61</v>
      </c>
      <c r="T25" s="132" t="s">
        <v>62</v>
      </c>
      <c r="U25" s="148"/>
      <c r="V25" s="151"/>
      <c r="X25" s="181"/>
      <c r="Y25" s="182" t="s">
        <v>65</v>
      </c>
      <c r="Z25" s="183" t="s">
        <v>66</v>
      </c>
      <c r="AA25" s="183" t="s">
        <v>56</v>
      </c>
      <c r="AB25" s="183" t="s">
        <v>57</v>
      </c>
      <c r="AC25" s="183" t="s">
        <v>58</v>
      </c>
      <c r="AD25" s="183" t="s">
        <v>59</v>
      </c>
      <c r="AE25" s="183" t="s">
        <v>60</v>
      </c>
      <c r="AF25" s="184" t="s">
        <v>61</v>
      </c>
      <c r="AG25" s="185" t="s">
        <v>62</v>
      </c>
      <c r="AH25" s="148"/>
      <c r="AI25" s="151"/>
      <c r="AK25" s="135"/>
      <c r="AL25" s="136" t="s">
        <v>63</v>
      </c>
      <c r="AM25" s="137" t="s">
        <v>64</v>
      </c>
      <c r="AN25" s="137" t="s">
        <v>56</v>
      </c>
      <c r="AO25" s="137" t="s">
        <v>57</v>
      </c>
      <c r="AP25" s="137" t="s">
        <v>58</v>
      </c>
      <c r="AQ25" s="137" t="s">
        <v>59</v>
      </c>
      <c r="AR25" s="137" t="s">
        <v>60</v>
      </c>
      <c r="AS25" s="138" t="s">
        <v>61</v>
      </c>
      <c r="AT25" s="196" t="s">
        <v>62</v>
      </c>
      <c r="AU25" s="148"/>
      <c r="AV25" s="151"/>
    </row>
    <row r="26" spans="11:48" x14ac:dyDescent="0.35">
      <c r="K26" s="140" t="s">
        <v>80</v>
      </c>
      <c r="L26" s="176">
        <v>810</v>
      </c>
      <c r="M26" s="142">
        <v>782</v>
      </c>
      <c r="N26" s="143">
        <f>(L26-M26)*2.381</f>
        <v>66.667999999999992</v>
      </c>
      <c r="O26" s="142">
        <v>45.37</v>
      </c>
      <c r="P26" s="142">
        <f>O26*$B$2/10</f>
        <v>51.313469999999995</v>
      </c>
      <c r="Q26" s="142">
        <v>45.81</v>
      </c>
      <c r="R26" s="142">
        <f>Q26*$B$2/10</f>
        <v>51.811110000000006</v>
      </c>
      <c r="S26" s="146">
        <f t="shared" ref="S26:S27" si="32">(($F$9/COS(RADIANS(0))*P26)+(1/COS(RADIANS(15))*R26))</f>
        <v>103.98772071014974</v>
      </c>
      <c r="T26" s="147">
        <f>N26*10^3/S26</f>
        <v>641.11415794781283</v>
      </c>
      <c r="U26" s="148"/>
      <c r="V26" s="149">
        <f>($T$28-T26)^2</f>
        <v>524.26959632797696</v>
      </c>
      <c r="X26" s="186"/>
      <c r="Y26" s="204"/>
      <c r="Z26" s="205"/>
      <c r="AA26" s="143">
        <f>(AL26-AM26)*2.381</f>
        <v>35.714999999999996</v>
      </c>
      <c r="AB26" s="142">
        <v>133.5</v>
      </c>
      <c r="AC26" s="142">
        <f>AB26*$B$2/10</f>
        <v>150.98849999999999</v>
      </c>
      <c r="AD26" s="142">
        <v>135.30000000000001</v>
      </c>
      <c r="AE26" s="142">
        <f>AD26*$B$2/10</f>
        <v>153.02430000000001</v>
      </c>
      <c r="AF26" s="146">
        <f>(($F$9/COS(RADIANS(0))*AC26)+(1/COS(RADIANS(15)*AE26)))</f>
        <v>146.74501411526421</v>
      </c>
      <c r="AG26" s="192">
        <f>AA26*10^3/AF26</f>
        <v>243.38135244545231</v>
      </c>
      <c r="AH26" s="148"/>
      <c r="AI26" s="151"/>
      <c r="AK26" s="150"/>
      <c r="AL26" s="177">
        <v>569</v>
      </c>
      <c r="AM26" s="142">
        <v>554</v>
      </c>
      <c r="AN26" s="143" t="e">
        <f>(#REF!-#REF!)*2.381</f>
        <v>#REF!</v>
      </c>
      <c r="AO26" s="142">
        <v>139.5</v>
      </c>
      <c r="AP26" s="142">
        <f>AO26*$B$2/10</f>
        <v>157.77450000000002</v>
      </c>
      <c r="AQ26" s="142">
        <v>141.5</v>
      </c>
      <c r="AR26" s="142">
        <f>AQ26*$B$2/10</f>
        <v>160.03649999999999</v>
      </c>
      <c r="AS26" s="146">
        <f>(($F$9/COS(RADIANS(0))*AP26)+(1/COS(RADIANS(15)*AR26)))</f>
        <v>152.7750043830697</v>
      </c>
      <c r="AT26" s="192" t="e">
        <f>AN26*10^3/AS26</f>
        <v>#REF!</v>
      </c>
      <c r="AU26" s="148"/>
      <c r="AV26" s="151"/>
    </row>
    <row r="27" spans="11:48" ht="15" thickBot="1" x14ac:dyDescent="0.4">
      <c r="K27" s="157" t="s">
        <v>86</v>
      </c>
      <c r="L27" s="158">
        <v>810</v>
      </c>
      <c r="M27" s="159">
        <v>780</v>
      </c>
      <c r="N27" s="160">
        <f>(L27-M27)*2.381</f>
        <v>71.429999999999993</v>
      </c>
      <c r="O27" s="161">
        <v>45.37</v>
      </c>
      <c r="P27" s="159">
        <f>O27*$B$2/10</f>
        <v>51.313469999999995</v>
      </c>
      <c r="Q27" s="161">
        <v>45.81</v>
      </c>
      <c r="R27" s="159">
        <f>Q27*$B$2/10</f>
        <v>51.811110000000006</v>
      </c>
      <c r="S27" s="146">
        <f t="shared" si="32"/>
        <v>103.98772071014974</v>
      </c>
      <c r="T27" s="165">
        <f>N27*10^3/S27</f>
        <v>686.90802637265654</v>
      </c>
      <c r="U27" s="148"/>
      <c r="V27" s="149">
        <f>($T$28-T27)^2</f>
        <v>524.26959632797184</v>
      </c>
      <c r="X27" s="188"/>
      <c r="Y27" s="158"/>
      <c r="Z27" s="159"/>
      <c r="AA27" s="160">
        <f t="shared" ref="AA27" si="33">(Y27-Z27)*2.381</f>
        <v>0</v>
      </c>
      <c r="AB27" s="161">
        <v>133.5</v>
      </c>
      <c r="AC27" s="159">
        <f t="shared" ref="AC27" si="34">AB27*$B$2/10</f>
        <v>150.98849999999999</v>
      </c>
      <c r="AD27" s="161">
        <v>135.30000000000001</v>
      </c>
      <c r="AE27" s="159">
        <f t="shared" ref="AE27" si="35">AD27*$B$2/10</f>
        <v>153.02430000000001</v>
      </c>
      <c r="AF27" s="164">
        <f>(($F$9/COS(RADIANS(0))*AC27)+(1/COS(RADIANS(15)*AE27)))</f>
        <v>146.74501411526421</v>
      </c>
      <c r="AG27" s="194">
        <f>AA27*10^3/AF27</f>
        <v>0</v>
      </c>
      <c r="AH27" s="148"/>
      <c r="AI27" s="151"/>
      <c r="AK27" s="166"/>
      <c r="AL27" s="172"/>
      <c r="AM27" s="173"/>
      <c r="AN27" s="160">
        <f t="shared" ref="AN27" si="36">(AL27-AM27)*2.381</f>
        <v>0</v>
      </c>
      <c r="AO27" s="161">
        <v>139.5</v>
      </c>
      <c r="AP27" s="159">
        <f t="shared" ref="AP27" si="37">AO27*$B$2/10</f>
        <v>157.77450000000002</v>
      </c>
      <c r="AQ27" s="161">
        <v>141.5</v>
      </c>
      <c r="AR27" s="159">
        <f t="shared" ref="AR27" si="38">AQ27*$B$2/10</f>
        <v>160.03649999999999</v>
      </c>
      <c r="AS27" s="164">
        <f>(($F$9/COS(RADIANS(0))*AP27)+(1/COS(RADIANS(15)*AR27)))</f>
        <v>152.7750043830697</v>
      </c>
      <c r="AT27" s="194">
        <f>AN27*10^3/AS27</f>
        <v>0</v>
      </c>
      <c r="AU27" s="148"/>
      <c r="AV27" s="151"/>
    </row>
    <row r="28" spans="11:48" ht="15" thickBot="1" x14ac:dyDescent="0.4">
      <c r="K28" s="178"/>
      <c r="L28" s="179"/>
      <c r="M28" s="179"/>
      <c r="N28" s="179"/>
      <c r="O28" s="179"/>
      <c r="P28" s="179"/>
      <c r="Q28" s="179"/>
      <c r="R28" s="179"/>
      <c r="S28" s="179"/>
      <c r="T28" s="174">
        <f>SUM(T26:T27)/2</f>
        <v>664.01109216023474</v>
      </c>
      <c r="U28" s="169" t="s">
        <v>48</v>
      </c>
      <c r="V28" s="175">
        <f>SQRT(SUM(V26:V27))</f>
        <v>32.381154899971506</v>
      </c>
      <c r="X28" s="178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80"/>
      <c r="AK28" s="178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80"/>
    </row>
    <row r="30" spans="11:48" ht="15" thickBot="1" x14ac:dyDescent="0.4"/>
    <row r="31" spans="11:48" ht="44" thickBot="1" x14ac:dyDescent="0.4">
      <c r="K31" s="127" t="s">
        <v>53</v>
      </c>
      <c r="L31" s="128" t="s">
        <v>54</v>
      </c>
      <c r="M31" s="129" t="s">
        <v>55</v>
      </c>
      <c r="N31" s="130" t="s">
        <v>56</v>
      </c>
      <c r="O31" s="129" t="s">
        <v>57</v>
      </c>
      <c r="P31" s="130" t="s">
        <v>58</v>
      </c>
      <c r="Q31" s="129" t="s">
        <v>59</v>
      </c>
      <c r="R31" s="130" t="s">
        <v>60</v>
      </c>
      <c r="S31" s="131" t="s">
        <v>61</v>
      </c>
      <c r="T31" s="132" t="s">
        <v>62</v>
      </c>
      <c r="U31" s="133"/>
      <c r="V31" s="134"/>
    </row>
    <row r="32" spans="11:48" x14ac:dyDescent="0.35">
      <c r="K32" s="140" t="s">
        <v>82</v>
      </c>
      <c r="L32" s="176">
        <v>808</v>
      </c>
      <c r="M32" s="142">
        <v>728</v>
      </c>
      <c r="N32" s="143">
        <f>(L32-M32)*2.381</f>
        <v>190.48</v>
      </c>
      <c r="O32" s="142">
        <v>45.37</v>
      </c>
      <c r="P32" s="142">
        <f>O32*$B$2/10</f>
        <v>51.313469999999995</v>
      </c>
      <c r="Q32" s="142">
        <v>45.81</v>
      </c>
      <c r="R32" s="142">
        <f>Q32*$B$2/10</f>
        <v>51.811110000000006</v>
      </c>
      <c r="S32" s="146">
        <f t="shared" ref="S32:S33" si="39">(($F$9/COS(RADIANS(0))*P32)+(1/COS(RADIANS(15))*R32))</f>
        <v>103.98772071014974</v>
      </c>
      <c r="T32" s="147">
        <f>N32*10^3/S32</f>
        <v>1831.7547369937513</v>
      </c>
      <c r="U32" s="148"/>
      <c r="V32" s="149">
        <f>($T$34-T32)^2</f>
        <v>52426.959632797596</v>
      </c>
    </row>
    <row r="33" spans="11:48" ht="15" thickBot="1" x14ac:dyDescent="0.4">
      <c r="K33" s="157" t="s">
        <v>69</v>
      </c>
      <c r="L33" s="158">
        <v>808</v>
      </c>
      <c r="M33" s="159">
        <v>708</v>
      </c>
      <c r="N33" s="160">
        <f>(L33-M33)*2.381</f>
        <v>238.09999999999997</v>
      </c>
      <c r="O33" s="161">
        <v>45.37</v>
      </c>
      <c r="P33" s="159">
        <f>O33*$B$2/10</f>
        <v>51.313469999999995</v>
      </c>
      <c r="Q33" s="161">
        <v>45.81</v>
      </c>
      <c r="R33" s="159">
        <f>Q33*$B$2/10</f>
        <v>51.811110000000006</v>
      </c>
      <c r="S33" s="146">
        <f t="shared" si="39"/>
        <v>103.98772071014974</v>
      </c>
      <c r="T33" s="165">
        <f>N33*10^3/S33</f>
        <v>2289.6934212421888</v>
      </c>
      <c r="U33" s="148"/>
      <c r="V33" s="149">
        <f>($T$34-T33)^2</f>
        <v>52426.959632797494</v>
      </c>
    </row>
    <row r="34" spans="11:48" ht="15" thickBot="1" x14ac:dyDescent="0.4">
      <c r="K34" s="178"/>
      <c r="L34" s="179"/>
      <c r="M34" s="179"/>
      <c r="N34" s="179"/>
      <c r="O34" s="179"/>
      <c r="P34" s="179"/>
      <c r="Q34" s="179"/>
      <c r="R34" s="179"/>
      <c r="S34" s="179"/>
      <c r="T34" s="174">
        <f>SUM(T32:T33)/2</f>
        <v>2060.7240791179702</v>
      </c>
      <c r="U34" s="169" t="s">
        <v>48</v>
      </c>
      <c r="V34" s="175">
        <f>SQRT(SUM(V32:V33))</f>
        <v>323.8115489997154</v>
      </c>
    </row>
    <row r="35" spans="11:48" ht="15" thickBot="1" x14ac:dyDescent="0.4">
      <c r="K35" s="167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51"/>
    </row>
    <row r="36" spans="11:48" ht="44" thickBot="1" x14ac:dyDescent="0.4">
      <c r="K36" s="127" t="s">
        <v>67</v>
      </c>
      <c r="L36" s="128" t="s">
        <v>54</v>
      </c>
      <c r="M36" s="129" t="s">
        <v>55</v>
      </c>
      <c r="N36" s="130" t="s">
        <v>56</v>
      </c>
      <c r="O36" s="129" t="s">
        <v>57</v>
      </c>
      <c r="P36" s="130" t="s">
        <v>58</v>
      </c>
      <c r="Q36" s="129" t="s">
        <v>59</v>
      </c>
      <c r="R36" s="130" t="s">
        <v>60</v>
      </c>
      <c r="S36" s="131" t="s">
        <v>61</v>
      </c>
      <c r="T36" s="132" t="s">
        <v>62</v>
      </c>
      <c r="U36" s="148"/>
      <c r="V36" s="151"/>
    </row>
    <row r="37" spans="11:48" x14ac:dyDescent="0.35">
      <c r="K37" s="140" t="s">
        <v>83</v>
      </c>
      <c r="L37" s="176">
        <v>807</v>
      </c>
      <c r="M37" s="142">
        <v>711</v>
      </c>
      <c r="N37" s="143">
        <f>(L37-M37)*2.381</f>
        <v>228.57599999999996</v>
      </c>
      <c r="O37" s="142">
        <v>45.37</v>
      </c>
      <c r="P37" s="142">
        <f>O37*$B$2/10</f>
        <v>51.313469999999995</v>
      </c>
      <c r="Q37" s="142">
        <v>45.81</v>
      </c>
      <c r="R37" s="142">
        <f>Q37*$B$2/10</f>
        <v>51.811110000000006</v>
      </c>
      <c r="S37" s="146">
        <f t="shared" ref="S37:S38" si="40">(($F$9/COS(RADIANS(0))*P37)+(1/COS(RADIANS(15))*R37))</f>
        <v>103.98772071014974</v>
      </c>
      <c r="T37" s="147">
        <f>N37*10^3/S37</f>
        <v>2198.1056843925012</v>
      </c>
      <c r="U37" s="148"/>
      <c r="V37" s="149">
        <f>($T$23-T37)^2</f>
        <v>1500590.6520897488</v>
      </c>
    </row>
    <row r="38" spans="11:48" ht="15" thickBot="1" x14ac:dyDescent="0.4">
      <c r="K38" s="157" t="s">
        <v>87</v>
      </c>
      <c r="L38" s="158">
        <v>808</v>
      </c>
      <c r="M38" s="159">
        <v>720</v>
      </c>
      <c r="N38" s="160">
        <f>(L38-M38)*2.381</f>
        <v>209.52799999999999</v>
      </c>
      <c r="O38" s="161">
        <v>45.37</v>
      </c>
      <c r="P38" s="159">
        <f>O38*$B$2/10</f>
        <v>51.313469999999995</v>
      </c>
      <c r="Q38" s="161">
        <v>45.81</v>
      </c>
      <c r="R38" s="159">
        <f>Q38*$B$2/10</f>
        <v>51.811110000000006</v>
      </c>
      <c r="S38" s="146">
        <f t="shared" si="40"/>
        <v>103.98772071014974</v>
      </c>
      <c r="T38" s="165">
        <f>N38*10^3/S38</f>
        <v>2014.9302106931264</v>
      </c>
      <c r="U38" s="148"/>
      <c r="V38" s="149">
        <f>($T$23-T38)^2</f>
        <v>1085369.1317979924</v>
      </c>
    </row>
    <row r="39" spans="11:48" ht="15" thickBot="1" x14ac:dyDescent="0.4">
      <c r="K39" s="178"/>
      <c r="L39" s="179"/>
      <c r="M39" s="179"/>
      <c r="N39" s="179"/>
      <c r="O39" s="179"/>
      <c r="P39" s="179"/>
      <c r="Q39" s="179"/>
      <c r="R39" s="179"/>
      <c r="S39" s="179"/>
      <c r="T39" s="174">
        <f>SUM(T37:T38)/2</f>
        <v>2106.517947542814</v>
      </c>
      <c r="U39" s="169" t="s">
        <v>48</v>
      </c>
      <c r="V39" s="175">
        <f>SQRT(SUM(V37:V38))</f>
        <v>1608.0919699717865</v>
      </c>
    </row>
    <row r="41" spans="11:48" ht="15" thickBot="1" x14ac:dyDescent="0.4"/>
    <row r="42" spans="11:48" ht="44" thickBot="1" x14ac:dyDescent="0.4">
      <c r="K42" s="127" t="s">
        <v>84</v>
      </c>
      <c r="L42" s="128" t="s">
        <v>54</v>
      </c>
      <c r="M42" s="129" t="s">
        <v>55</v>
      </c>
      <c r="N42" s="130" t="s">
        <v>56</v>
      </c>
      <c r="O42" s="129" t="s">
        <v>57</v>
      </c>
      <c r="P42" s="130" t="s">
        <v>58</v>
      </c>
      <c r="Q42" s="129" t="s">
        <v>59</v>
      </c>
      <c r="R42" s="130" t="s">
        <v>60</v>
      </c>
      <c r="S42" s="131" t="s">
        <v>61</v>
      </c>
      <c r="T42" s="132" t="s">
        <v>62</v>
      </c>
      <c r="U42" s="133"/>
      <c r="V42" s="134"/>
      <c r="X42" s="181"/>
      <c r="Y42" s="182" t="s">
        <v>65</v>
      </c>
      <c r="Z42" s="183" t="s">
        <v>66</v>
      </c>
      <c r="AA42" s="183" t="s">
        <v>56</v>
      </c>
      <c r="AB42" s="183" t="s">
        <v>57</v>
      </c>
      <c r="AC42" s="183" t="s">
        <v>58</v>
      </c>
      <c r="AD42" s="183" t="s">
        <v>59</v>
      </c>
      <c r="AE42" s="183" t="s">
        <v>60</v>
      </c>
      <c r="AF42" s="184" t="s">
        <v>61</v>
      </c>
      <c r="AG42" s="185" t="s">
        <v>62</v>
      </c>
      <c r="AH42" s="133"/>
      <c r="AI42" s="134"/>
      <c r="AK42" s="135"/>
      <c r="AL42" s="136" t="s">
        <v>63</v>
      </c>
      <c r="AM42" s="137" t="s">
        <v>64</v>
      </c>
      <c r="AN42" s="137" t="s">
        <v>56</v>
      </c>
      <c r="AO42" s="137" t="s">
        <v>57</v>
      </c>
      <c r="AP42" s="137" t="s">
        <v>58</v>
      </c>
      <c r="AQ42" s="137" t="s">
        <v>59</v>
      </c>
      <c r="AR42" s="137" t="s">
        <v>60</v>
      </c>
      <c r="AS42" s="138" t="s">
        <v>61</v>
      </c>
      <c r="AT42" s="196" t="s">
        <v>62</v>
      </c>
      <c r="AU42" s="133"/>
      <c r="AV42" s="134"/>
    </row>
    <row r="43" spans="11:48" x14ac:dyDescent="0.35">
      <c r="K43" s="140" t="s">
        <v>82</v>
      </c>
      <c r="L43" s="176">
        <v>806</v>
      </c>
      <c r="M43" s="142">
        <v>775</v>
      </c>
      <c r="N43" s="143">
        <f>(L43-M43)*2.367</f>
        <v>73.376999999999995</v>
      </c>
      <c r="O43" s="142">
        <v>45.37</v>
      </c>
      <c r="P43" s="142">
        <f>O43*$B$2/10</f>
        <v>51.313469999999995</v>
      </c>
      <c r="Q43" s="142">
        <v>45.81</v>
      </c>
      <c r="R43" s="142">
        <f>Q43*$B$2/10</f>
        <v>51.811110000000006</v>
      </c>
      <c r="S43" s="146">
        <f>(($F$9/COS(RADIANS(0))*P43)+(1/COS(RADIANS(15))*R43))</f>
        <v>103.98772071014974</v>
      </c>
      <c r="T43" s="147">
        <f>N43*10^3/S43</f>
        <v>705.63139088823232</v>
      </c>
      <c r="U43" s="148"/>
      <c r="V43" s="149">
        <f>($T$46-T43)^2</f>
        <v>849.37619649661622</v>
      </c>
      <c r="X43" s="186"/>
      <c r="Y43" s="206">
        <v>641</v>
      </c>
      <c r="Z43" s="205"/>
      <c r="AA43" s="143">
        <f>(AL43-AM43)*2.381</f>
        <v>1402.4089999999999</v>
      </c>
      <c r="AB43" s="142">
        <v>133.5</v>
      </c>
      <c r="AC43" s="142">
        <f>AB43*$B$2/10</f>
        <v>150.98849999999999</v>
      </c>
      <c r="AD43" s="142">
        <v>135.30000000000001</v>
      </c>
      <c r="AE43" s="142">
        <f>AD43*$B$2/10</f>
        <v>153.02430000000001</v>
      </c>
      <c r="AF43" s="146">
        <f>(($F$9/COS(RADIANS(0))*AC43)+(1/COS(RADIANS(15)*AE43)))</f>
        <v>146.74501411526421</v>
      </c>
      <c r="AG43" s="192">
        <f>AA43*10^3/AF43</f>
        <v>9556.7744393580942</v>
      </c>
      <c r="AH43" s="148"/>
      <c r="AI43" s="151"/>
      <c r="AK43" s="150"/>
      <c r="AL43" s="177">
        <v>589</v>
      </c>
      <c r="AM43" s="142"/>
      <c r="AN43" s="143" t="e">
        <f>(#REF!-#REF!)*2.381</f>
        <v>#REF!</v>
      </c>
      <c r="AO43" s="142">
        <v>139.5</v>
      </c>
      <c r="AP43" s="142">
        <f>AO43*$B$2/10</f>
        <v>157.77450000000002</v>
      </c>
      <c r="AQ43" s="142">
        <v>141.5</v>
      </c>
      <c r="AR43" s="142">
        <f>AQ43*$B$2/10</f>
        <v>160.03649999999999</v>
      </c>
      <c r="AS43" s="146">
        <f>(($F$9/COS(RADIANS(0))*AP43)+(1/COS(RADIANS(15)*AR43)))</f>
        <v>152.7750043830697</v>
      </c>
      <c r="AT43" s="192" t="e">
        <f>AN43*10^3/AS43</f>
        <v>#REF!</v>
      </c>
      <c r="AU43" s="148"/>
      <c r="AV43" s="151"/>
    </row>
    <row r="44" spans="11:48" ht="15" thickBot="1" x14ac:dyDescent="0.4">
      <c r="K44" s="157" t="s">
        <v>69</v>
      </c>
      <c r="L44" s="158">
        <v>806</v>
      </c>
      <c r="M44" s="159">
        <v>774</v>
      </c>
      <c r="N44" s="143">
        <f t="shared" ref="N44:N45" si="41">(L44-M44)*2.367</f>
        <v>75.744</v>
      </c>
      <c r="O44" s="161">
        <v>45.37</v>
      </c>
      <c r="P44" s="159">
        <f>O44*$B$2/10</f>
        <v>51.313469999999995</v>
      </c>
      <c r="Q44" s="161">
        <v>45.81</v>
      </c>
      <c r="R44" s="159">
        <f>Q44*$B$2/10</f>
        <v>51.811110000000006</v>
      </c>
      <c r="S44" s="146">
        <f>(($F$9/COS(RADIANS(0))*P44)+(1/COS(RADIANS(15))*R44))</f>
        <v>103.98772071014974</v>
      </c>
      <c r="T44" s="165">
        <f>N44*10^3/S44</f>
        <v>728.39369382011068</v>
      </c>
      <c r="U44" s="148"/>
      <c r="V44" s="149">
        <f>($T$46-T44)^2</f>
        <v>40.726815221171073</v>
      </c>
      <c r="X44" s="188"/>
      <c r="Y44" s="158"/>
      <c r="Z44" s="159"/>
      <c r="AA44" s="160">
        <f t="shared" ref="AA44" si="42">(Y44-Z44)*2.381</f>
        <v>0</v>
      </c>
      <c r="AB44" s="161">
        <v>133.5</v>
      </c>
      <c r="AC44" s="159">
        <f t="shared" ref="AC44" si="43">AB44*$B$2/10</f>
        <v>150.98849999999999</v>
      </c>
      <c r="AD44" s="161">
        <v>135.30000000000001</v>
      </c>
      <c r="AE44" s="159">
        <f t="shared" ref="AE44" si="44">AD44*$B$2/10</f>
        <v>153.02430000000001</v>
      </c>
      <c r="AF44" s="164">
        <f>(($F$9/COS(RADIANS(0))*AC44)+(1/COS(RADIANS(15)*AE44)))</f>
        <v>146.74501411526421</v>
      </c>
      <c r="AG44" s="194">
        <f>AA44*10^3/AF44</f>
        <v>0</v>
      </c>
      <c r="AH44" s="148"/>
      <c r="AI44" s="151"/>
      <c r="AK44" s="166"/>
      <c r="AL44" s="172"/>
      <c r="AM44" s="173"/>
      <c r="AN44" s="160">
        <f t="shared" ref="AN44" si="45">(AL44-AM44)*2.381</f>
        <v>0</v>
      </c>
      <c r="AO44" s="161">
        <v>139.5</v>
      </c>
      <c r="AP44" s="159">
        <f t="shared" ref="AP44" si="46">AO44*$B$2/10</f>
        <v>157.77450000000002</v>
      </c>
      <c r="AQ44" s="161">
        <v>141.5</v>
      </c>
      <c r="AR44" s="159">
        <f t="shared" ref="AR44" si="47">AQ44*$B$2/10</f>
        <v>160.03649999999999</v>
      </c>
      <c r="AS44" s="164">
        <f>(($F$9/COS(RADIANS(0))*AP44)+(1/COS(RADIANS(15)*AR44)))</f>
        <v>152.7750043830697</v>
      </c>
      <c r="AT44" s="194">
        <f>AN44*10^3/AS44</f>
        <v>0</v>
      </c>
      <c r="AU44" s="148"/>
      <c r="AV44" s="151"/>
    </row>
    <row r="45" spans="11:48" ht="15" thickBot="1" x14ac:dyDescent="0.4">
      <c r="K45" s="157" t="s">
        <v>85</v>
      </c>
      <c r="L45" s="158">
        <v>806</v>
      </c>
      <c r="M45" s="159">
        <v>772</v>
      </c>
      <c r="N45" s="143">
        <f t="shared" si="41"/>
        <v>80.477999999999994</v>
      </c>
      <c r="O45" s="161">
        <v>45.81</v>
      </c>
      <c r="P45" s="159">
        <f>O45*$B$2/10</f>
        <v>51.811110000000006</v>
      </c>
      <c r="Q45" s="161">
        <v>45.81</v>
      </c>
      <c r="R45" s="159">
        <f>Q45*$B$2/10</f>
        <v>51.811110000000006</v>
      </c>
      <c r="S45" s="146">
        <f>(($F$9/COS(RADIANS(0))*P45)+(1/COS(RADIANS(15))*R45))</f>
        <v>104.47600639594387</v>
      </c>
      <c r="T45" s="165">
        <f>N45*10^3/S45</f>
        <v>770.30126606298427</v>
      </c>
      <c r="U45" s="148"/>
      <c r="V45" s="149">
        <f>($T$46-T45)^2</f>
        <v>1262.0835886729681</v>
      </c>
      <c r="X45" s="178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80"/>
      <c r="AK45" s="178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80"/>
    </row>
    <row r="46" spans="11:48" ht="15" thickBot="1" x14ac:dyDescent="0.4">
      <c r="K46" s="178"/>
      <c r="L46" s="179"/>
      <c r="M46" s="179"/>
      <c r="N46" s="179"/>
      <c r="O46" s="179"/>
      <c r="P46" s="179"/>
      <c r="Q46" s="179"/>
      <c r="R46" s="179"/>
      <c r="S46" s="179"/>
      <c r="T46" s="174">
        <f>SUM(T43:T45)/3</f>
        <v>734.77545025710913</v>
      </c>
      <c r="U46" s="169" t="s">
        <v>48</v>
      </c>
      <c r="V46" s="175">
        <f>SQRT(SUM(V43:V44)/2)</f>
        <v>21.096243880342623</v>
      </c>
    </row>
    <row r="47" spans="11:48" ht="15" thickBot="1" x14ac:dyDescent="0.4"/>
    <row r="48" spans="11:48" ht="44" thickBot="1" x14ac:dyDescent="0.4">
      <c r="X48" s="181" t="s">
        <v>88</v>
      </c>
      <c r="Y48" s="182" t="s">
        <v>65</v>
      </c>
      <c r="Z48" s="183" t="s">
        <v>66</v>
      </c>
      <c r="AA48" s="183" t="s">
        <v>56</v>
      </c>
      <c r="AB48" s="183" t="s">
        <v>57</v>
      </c>
      <c r="AC48" s="183" t="s">
        <v>58</v>
      </c>
      <c r="AD48" s="183" t="s">
        <v>59</v>
      </c>
      <c r="AE48" s="183" t="s">
        <v>60</v>
      </c>
      <c r="AF48" s="184" t="s">
        <v>61</v>
      </c>
      <c r="AG48" s="185" t="s">
        <v>62</v>
      </c>
      <c r="AH48" s="133"/>
      <c r="AI48" s="134"/>
      <c r="AK48" s="135"/>
      <c r="AL48" s="136" t="s">
        <v>63</v>
      </c>
      <c r="AM48" s="137" t="s">
        <v>64</v>
      </c>
      <c r="AN48" s="137" t="s">
        <v>56</v>
      </c>
      <c r="AO48" s="137" t="s">
        <v>57</v>
      </c>
      <c r="AP48" s="137" t="s">
        <v>58</v>
      </c>
      <c r="AQ48" s="137" t="s">
        <v>59</v>
      </c>
      <c r="AR48" s="137" t="s">
        <v>60</v>
      </c>
      <c r="AS48" s="138" t="s">
        <v>61</v>
      </c>
      <c r="AT48" s="196" t="s">
        <v>62</v>
      </c>
      <c r="AU48" s="133"/>
      <c r="AV48" s="134"/>
    </row>
    <row r="49" spans="24:48" x14ac:dyDescent="0.35">
      <c r="X49" s="186" t="s">
        <v>76</v>
      </c>
      <c r="Y49" s="206">
        <v>641</v>
      </c>
      <c r="Z49" s="205"/>
      <c r="AA49" s="143">
        <f>(AL49-AM49)*2.381</f>
        <v>1402.4089999999999</v>
      </c>
      <c r="AB49" s="142">
        <v>133.5</v>
      </c>
      <c r="AC49" s="142">
        <f>AB49*$B$2/10</f>
        <v>150.98849999999999</v>
      </c>
      <c r="AD49" s="142">
        <v>135.30000000000001</v>
      </c>
      <c r="AE49" s="142">
        <f>AD49*$B$2/10</f>
        <v>153.02430000000001</v>
      </c>
      <c r="AF49" s="146">
        <f>(($F$9/COS(RADIANS(0))*AC49)+(1/COS(RADIANS(15)*AE49)))</f>
        <v>146.74501411526421</v>
      </c>
      <c r="AG49" s="192">
        <f>AA49*10^3/AF49</f>
        <v>9556.7744393580942</v>
      </c>
      <c r="AH49" s="148"/>
      <c r="AI49" s="151"/>
      <c r="AK49" s="150"/>
      <c r="AL49" s="177">
        <v>589</v>
      </c>
      <c r="AM49" s="142"/>
      <c r="AN49" s="143" t="e">
        <f>(#REF!-#REF!)*2.381</f>
        <v>#REF!</v>
      </c>
      <c r="AO49" s="142">
        <v>139.5</v>
      </c>
      <c r="AP49" s="142">
        <f>AO49*$B$2/10</f>
        <v>157.77450000000002</v>
      </c>
      <c r="AQ49" s="142">
        <v>141.5</v>
      </c>
      <c r="AR49" s="142">
        <f>AQ49*$B$2/10</f>
        <v>160.03649999999999</v>
      </c>
      <c r="AS49" s="146">
        <f>(($F$9/COS(RADIANS(0))*AP49)+(1/COS(RADIANS(15)*AR49)))</f>
        <v>152.7750043830697</v>
      </c>
      <c r="AT49" s="192" t="e">
        <f>AN49*10^3/AS49</f>
        <v>#REF!</v>
      </c>
      <c r="AU49" s="148"/>
      <c r="AV49" s="151"/>
    </row>
    <row r="50" spans="24:48" ht="15" thickBot="1" x14ac:dyDescent="0.4">
      <c r="X50" s="188" t="s">
        <v>78</v>
      </c>
      <c r="Y50" s="158">
        <v>641</v>
      </c>
      <c r="Z50" s="159"/>
      <c r="AA50" s="160">
        <f t="shared" ref="AA50" si="48">(Y50-Z50)*2.381</f>
        <v>1526.2209999999998</v>
      </c>
      <c r="AB50" s="161">
        <v>133.5</v>
      </c>
      <c r="AC50" s="159">
        <f t="shared" ref="AC50" si="49">AB50*$B$2/10</f>
        <v>150.98849999999999</v>
      </c>
      <c r="AD50" s="161">
        <v>135.30000000000001</v>
      </c>
      <c r="AE50" s="159">
        <f t="shared" ref="AE50" si="50">AD50*$B$2/10</f>
        <v>153.02430000000001</v>
      </c>
      <c r="AF50" s="164">
        <f>(($F$9/COS(RADIANS(0))*AC50)+(1/COS(RADIANS(15)*AE50)))</f>
        <v>146.74501411526421</v>
      </c>
      <c r="AG50" s="194">
        <f>AA50*10^3/AF50</f>
        <v>10400.496461168996</v>
      </c>
      <c r="AH50" s="148"/>
      <c r="AI50" s="151"/>
      <c r="AK50" s="166"/>
      <c r="AL50" s="172">
        <v>589</v>
      </c>
      <c r="AM50" s="173"/>
      <c r="AN50" s="160">
        <f t="shared" ref="AN50" si="51">(AL50-AM50)*2.381</f>
        <v>1402.4089999999999</v>
      </c>
      <c r="AO50" s="161">
        <v>139.5</v>
      </c>
      <c r="AP50" s="159">
        <f t="shared" ref="AP50" si="52">AO50*$B$2/10</f>
        <v>157.77450000000002</v>
      </c>
      <c r="AQ50" s="161">
        <v>141.5</v>
      </c>
      <c r="AR50" s="159">
        <f t="shared" ref="AR50" si="53">AQ50*$B$2/10</f>
        <v>160.03649999999999</v>
      </c>
      <c r="AS50" s="164">
        <f>(($F$9/COS(RADIANS(0))*AP50)+(1/COS(RADIANS(15)*AR50)))</f>
        <v>152.7750043830697</v>
      </c>
      <c r="AT50" s="194">
        <f>AN50*10^3/AS50</f>
        <v>9179.5710015729037</v>
      </c>
      <c r="AU50" s="148"/>
      <c r="AV50" s="151"/>
    </row>
    <row r="51" spans="24:48" ht="15" thickBot="1" x14ac:dyDescent="0.4">
      <c r="X51" s="178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80"/>
      <c r="AK51" s="178"/>
      <c r="AL51" s="179"/>
      <c r="AM51" s="179"/>
      <c r="AN51" s="179"/>
      <c r="AO51" s="179"/>
      <c r="AP51" s="179"/>
      <c r="AQ51" s="179"/>
      <c r="AR51" s="179"/>
      <c r="AS51" s="179"/>
      <c r="AT51" s="179"/>
      <c r="AU51" s="179"/>
      <c r="AV51" s="18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Runs</vt:lpstr>
      <vt:lpstr>Ta-Nb-V Calib - RBS1 - Protoes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27</cp:revision>
  <dcterms:created xsi:type="dcterms:W3CDTF">2022-08-29T11:45:38Z</dcterms:created>
  <dcterms:modified xsi:type="dcterms:W3CDTF">2023-07-17T18:14:58Z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