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Alfas" sheetId="2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0" i="2" l="1"/>
  <c r="P20" i="2"/>
  <c r="N20" i="2"/>
  <c r="L20" i="2"/>
  <c r="R20" i="2" s="1"/>
  <c r="P19" i="2"/>
  <c r="N19" i="2"/>
  <c r="Q19" i="2" s="1"/>
  <c r="L19" i="2"/>
  <c r="P15" i="2"/>
  <c r="N15" i="2"/>
  <c r="Q15" i="2" s="1"/>
  <c r="R15" i="2" s="1"/>
  <c r="P14" i="2"/>
  <c r="N14" i="2"/>
  <c r="Q14" i="2" s="1"/>
  <c r="L14" i="2"/>
  <c r="R14" i="2" s="1"/>
  <c r="R13" i="2"/>
  <c r="L15" i="2"/>
  <c r="L13" i="2"/>
  <c r="P13" i="2"/>
  <c r="N13" i="2"/>
  <c r="Q13" i="2" s="1"/>
  <c r="P12" i="2"/>
  <c r="N12" i="2"/>
  <c r="Q12" i="2"/>
  <c r="L12" i="2"/>
  <c r="G11" i="2"/>
  <c r="R19" i="2" l="1"/>
  <c r="E11" i="2"/>
  <c r="F11" i="2" l="1"/>
  <c r="R12" i="2"/>
  <c r="F8" i="3"/>
  <c r="G8" i="3" s="1"/>
  <c r="F7" i="3"/>
  <c r="G7" i="3" s="1"/>
  <c r="F6" i="3"/>
  <c r="G6" i="3" s="1"/>
  <c r="F5" i="3"/>
  <c r="G5" i="3" s="1"/>
  <c r="F4" i="3"/>
  <c r="G4" i="3" s="1"/>
  <c r="E9" i="2"/>
  <c r="F9" i="2" s="1"/>
  <c r="E8" i="2"/>
  <c r="F8" i="2" s="1"/>
  <c r="E7" i="2"/>
  <c r="F7" i="2" s="1"/>
  <c r="E6" i="2"/>
  <c r="F6" i="2" s="1"/>
  <c r="E5" i="2"/>
  <c r="F5" i="2" s="1"/>
</calcChain>
</file>

<file path=xl/sharedStrings.xml><?xml version="1.0" encoding="utf-8"?>
<sst xmlns="http://schemas.openxmlformats.org/spreadsheetml/2006/main" count="128" uniqueCount="61">
  <si>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</si>
  <si>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</si>
  <si>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</si>
  <si>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</si>
  <si>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</si>
  <si>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</si>
  <si>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</si>
  <si>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</si>
  <si>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</si>
  <si>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</si>
  <si>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</si>
  <si>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</si>
  <si>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</si>
  <si>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</si>
  <si>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</si>
  <si>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</si>
  <si>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</si>
  <si>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</si>
  <si>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</si>
  <si>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</si>
  <si>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</si>
  <si>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</si>
  <si>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</si>
  <si>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</si>
  <si>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</si>
  <si>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</si>
  <si>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</si>
  <si>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</si>
  <si>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</si>
  <si>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</si>
  <si>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</si>
  <si>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</si>
  <si>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</si>
  <si>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kinematic factor</t>
  </si>
  <si>
    <t>Back Energy (keV)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</si>
  <si>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</si>
  <si>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</si>
  <si>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</si>
  <si>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</si>
  <si>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</si>
  <si>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</si>
  <si>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</si>
  <si>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</si>
  <si>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</si>
  <si>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</si>
  <si>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</si>
  <si>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</si>
  <si>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 xml:space="preserve">Lead density = </t>
  </si>
  <si>
    <t>g/cm^3</t>
  </si>
  <si>
    <t>(dE/dx)_out [K * E_0] (MeV cm^2 / g)</t>
  </si>
  <si>
    <t>Pb channel in</t>
  </si>
  <si>
    <t>Pb channel out</t>
  </si>
  <si>
    <t>Target 1 (21 mm)</t>
  </si>
  <si>
    <t>Target 1 (23 mm)</t>
  </si>
  <si>
    <t>Target 1 (25 mm)</t>
  </si>
  <si>
    <t>Target 1 (27 mm)</t>
  </si>
  <si>
    <t>Back Energy (keV) [K * E0]</t>
  </si>
  <si>
    <t>(dE/dx)_in [E_0] (eV/nm)</t>
  </si>
  <si>
    <t>(dE/dx)_out [K * E_0] (eV/nm)</t>
  </si>
  <si>
    <t>Target 3 (55 mm)</t>
  </si>
  <si>
    <t>Target 3 (57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</si>
</sst>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0" xfId="0" applyFont="1" applyFill="1"/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4" borderId="7" xfId="0" applyFont="1" applyFill="1" applyBorder="1"/>
    <xf numFmtId="0" fontId="0" fillId="6" borderId="0" xfId="0" applyFill="1"/>
    <xf numFmtId="164" fontId="0" fillId="6" borderId="0" xfId="0" applyNumberFormat="1" applyFill="1"/>
    <xf numFmtId="165" fontId="0" fillId="6" borderId="0" xfId="0" applyNumberFormat="1" applyFill="1"/>
    <xf numFmtId="2" fontId="0" fillId="6" borderId="0" xfId="0" applyNumberFormat="1" applyFill="1"/>
    <xf numFmtId="0" fontId="0" fillId="6" borderId="8" xfId="0" applyFill="1" applyBorder="1"/>
    <xf numFmtId="0" fontId="3" fillId="7" borderId="7" xfId="0" applyFont="1" applyFill="1" applyBorder="1"/>
    <xf numFmtId="0" fontId="3" fillId="8" borderId="0" xfId="0" applyFont="1" applyFill="1"/>
    <xf numFmtId="164" fontId="3" fillId="8" borderId="0" xfId="0" applyNumberFormat="1" applyFont="1" applyFill="1"/>
    <xf numFmtId="165" fontId="0" fillId="8" borderId="0" xfId="0" applyNumberFormat="1" applyFill="1"/>
    <xf numFmtId="2" fontId="0" fillId="8" borderId="0" xfId="0" applyNumberFormat="1" applyFill="1"/>
    <xf numFmtId="0" fontId="3" fillId="8" borderId="8" xfId="0" applyFont="1" applyFill="1" applyBorder="1"/>
    <xf numFmtId="0" fontId="0" fillId="9" borderId="7" xfId="0" applyFont="1" applyFill="1" applyBorder="1"/>
    <xf numFmtId="0" fontId="0" fillId="10" borderId="0" xfId="0" applyFill="1"/>
    <xf numFmtId="164" fontId="0" fillId="10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0" fontId="0" fillId="10" borderId="8" xfId="0" applyFill="1" applyBorder="1"/>
    <xf numFmtId="2" fontId="0" fillId="0" borderId="0" xfId="0" applyNumberFormat="1"/>
    <xf numFmtId="0" fontId="0" fillId="11" borderId="7" xfId="0" applyFont="1" applyFill="1" applyBorder="1"/>
    <xf numFmtId="0" fontId="0" fillId="12" borderId="0" xfId="0" applyFill="1"/>
    <xf numFmtId="164" fontId="0" fillId="12" borderId="0" xfId="0" applyNumberFormat="1" applyFill="1"/>
    <xf numFmtId="165" fontId="0" fillId="12" borderId="0" xfId="0" applyNumberFormat="1" applyFill="1"/>
    <xf numFmtId="2" fontId="0" fillId="12" borderId="0" xfId="0" applyNumberFormat="1" applyFill="1"/>
    <xf numFmtId="0" fontId="0" fillId="12" borderId="8" xfId="0" applyFill="1" applyBorder="1"/>
    <xf numFmtId="0" fontId="0" fillId="13" borderId="9" xfId="0" applyFont="1" applyFill="1" applyBorder="1"/>
    <xf numFmtId="0" fontId="0" fillId="14" borderId="10" xfId="0" applyFill="1" applyBorder="1"/>
    <xf numFmtId="164" fontId="0" fillId="14" borderId="10" xfId="0" applyNumberFormat="1" applyFill="1" applyBorder="1"/>
    <xf numFmtId="165" fontId="0" fillId="14" borderId="10" xfId="0" applyNumberFormat="1" applyFill="1" applyBorder="1"/>
    <xf numFmtId="2" fontId="0" fillId="14" borderId="10" xfId="0" applyNumberFormat="1" applyFill="1" applyBorder="1"/>
    <xf numFmtId="0" fontId="0" fillId="14" borderId="11" xfId="0" applyFill="1" applyBorder="1"/>
    <xf numFmtId="0" fontId="0" fillId="6" borderId="12" xfId="0" applyFill="1" applyBorder="1"/>
    <xf numFmtId="164" fontId="0" fillId="6" borderId="12" xfId="0" applyNumberFormat="1" applyFill="1" applyBorder="1"/>
    <xf numFmtId="165" fontId="0" fillId="6" borderId="12" xfId="0" applyNumberFormat="1" applyFill="1" applyBorder="1"/>
    <xf numFmtId="2" fontId="0" fillId="6" borderId="12" xfId="0" applyNumberFormat="1" applyFill="1" applyBorder="1"/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 wrapText="1"/>
    </xf>
    <xf numFmtId="0" fontId="0" fillId="4" borderId="17" xfId="0" applyFont="1" applyFill="1" applyBorder="1"/>
    <xf numFmtId="0" fontId="0" fillId="6" borderId="18" xfId="0" applyFill="1" applyBorder="1"/>
    <xf numFmtId="0" fontId="3" fillId="7" borderId="19" xfId="0" applyFont="1" applyFill="1" applyBorder="1"/>
    <xf numFmtId="0" fontId="3" fillId="8" borderId="0" xfId="0" applyFont="1" applyFill="1" applyBorder="1"/>
    <xf numFmtId="164" fontId="3" fillId="8" borderId="0" xfId="0" applyNumberFormat="1" applyFont="1" applyFill="1" applyBorder="1"/>
    <xf numFmtId="165" fontId="0" fillId="6" borderId="0" xfId="0" applyNumberFormat="1" applyFill="1" applyBorder="1"/>
    <xf numFmtId="2" fontId="0" fillId="8" borderId="0" xfId="0" applyNumberFormat="1" applyFill="1" applyBorder="1"/>
    <xf numFmtId="0" fontId="3" fillId="8" borderId="20" xfId="0" applyFont="1" applyFill="1" applyBorder="1"/>
    <xf numFmtId="0" fontId="0" fillId="9" borderId="19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0" fillId="10" borderId="20" xfId="0" applyFill="1" applyBorder="1"/>
    <xf numFmtId="0" fontId="0" fillId="11" borderId="19" xfId="0" applyFont="1" applyFill="1" applyBorder="1"/>
    <xf numFmtId="0" fontId="0" fillId="12" borderId="0" xfId="0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0" fillId="12" borderId="20" xfId="0" applyFill="1" applyBorder="1"/>
    <xf numFmtId="0" fontId="0" fillId="13" borderId="21" xfId="0" applyFont="1" applyFill="1" applyBorder="1"/>
    <xf numFmtId="0" fontId="0" fillId="14" borderId="22" xfId="0" applyFill="1" applyBorder="1"/>
    <xf numFmtId="164" fontId="0" fillId="14" borderId="22" xfId="0" applyNumberFormat="1" applyFill="1" applyBorder="1"/>
    <xf numFmtId="165" fontId="0" fillId="6" borderId="22" xfId="0" applyNumberFormat="1" applyFill="1" applyBorder="1"/>
    <xf numFmtId="2" fontId="0" fillId="14" borderId="22" xfId="0" applyNumberFormat="1" applyFill="1" applyBorder="1"/>
    <xf numFmtId="0" fontId="0" fillId="14" borderId="23" xfId="0" applyFill="1" applyBorder="1"/>
    <xf numFmtId="0" fontId="0" fillId="15" borderId="13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17" borderId="0" xfId="0" applyFill="1"/>
    <xf numFmtId="165" fontId="0" fillId="18" borderId="10" xfId="0" applyNumberFormat="1" applyFill="1" applyBorder="1"/>
    <xf numFmtId="2" fontId="0" fillId="18" borderId="10" xfId="0" applyNumberFormat="1" applyFill="1" applyBorder="1"/>
    <xf numFmtId="0" fontId="0" fillId="19" borderId="0" xfId="0" applyFill="1"/>
    <xf numFmtId="2" fontId="2" fillId="0" borderId="0" xfId="0" applyNumberFormat="1" applyFont="1"/>
    <xf numFmtId="0" fontId="0" fillId="17" borderId="19" xfId="0" applyFill="1" applyBorder="1" applyAlignment="1">
      <alignment horizontal="center" vertical="center" wrapText="1"/>
    </xf>
    <xf numFmtId="0" fontId="0" fillId="17" borderId="21" xfId="0" applyFill="1" applyBorder="1" applyAlignment="1">
      <alignment horizontal="center" vertical="center" wrapText="1"/>
    </xf>
    <xf numFmtId="0" fontId="0" fillId="16" borderId="24" xfId="0" applyFill="1" applyBorder="1" applyAlignment="1">
      <alignment horizontal="center" vertical="center" wrapText="1"/>
    </xf>
    <xf numFmtId="0" fontId="0" fillId="20" borderId="25" xfId="0" applyFill="1" applyBorder="1" applyAlignment="1">
      <alignment horizontal="center" vertical="center" wrapText="1"/>
    </xf>
    <xf numFmtId="2" fontId="0" fillId="20" borderId="25" xfId="0" applyNumberFormat="1" applyFill="1" applyBorder="1" applyAlignment="1">
      <alignment horizontal="center" vertical="center" wrapText="1"/>
    </xf>
    <xf numFmtId="164" fontId="0" fillId="20" borderId="25" xfId="0" applyNumberFormat="1" applyFill="1" applyBorder="1" applyAlignment="1">
      <alignment horizontal="center" vertical="center" wrapText="1"/>
    </xf>
    <xf numFmtId="1" fontId="2" fillId="20" borderId="25" xfId="0" applyNumberFormat="1" applyFont="1" applyFill="1" applyBorder="1" applyAlignment="1">
      <alignment horizontal="center" vertical="center" wrapText="1"/>
    </xf>
    <xf numFmtId="0" fontId="0" fillId="16" borderId="25" xfId="0" applyFill="1" applyBorder="1" applyAlignment="1">
      <alignment horizontal="center" vertical="center" wrapText="1"/>
    </xf>
    <xf numFmtId="0" fontId="0" fillId="16" borderId="26" xfId="0" applyFill="1" applyBorder="1" applyAlignment="1">
      <alignment horizontal="center" vertical="center" wrapText="1"/>
    </xf>
    <xf numFmtId="1" fontId="2" fillId="20" borderId="26" xfId="0" applyNumberFormat="1" applyFont="1" applyFill="1" applyBorder="1" applyAlignment="1">
      <alignment horizontal="center" vertical="center" wrapText="1"/>
    </xf>
    <xf numFmtId="0" fontId="0" fillId="16" borderId="27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164" fontId="0" fillId="20" borderId="29" xfId="0" applyNumberFormat="1" applyFill="1" applyBorder="1" applyAlignment="1">
      <alignment horizontal="center" vertical="center" wrapText="1"/>
    </xf>
    <xf numFmtId="0" fontId="0" fillId="20" borderId="30" xfId="0" applyFill="1" applyBorder="1" applyAlignment="1">
      <alignment horizontal="center" vertical="center" wrapText="1"/>
    </xf>
    <xf numFmtId="2" fontId="0" fillId="20" borderId="30" xfId="0" applyNumberFormat="1" applyFill="1" applyBorder="1" applyAlignment="1">
      <alignment horizontal="center" vertical="center" wrapText="1"/>
    </xf>
    <xf numFmtId="164" fontId="0" fillId="20" borderId="3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1.0108278837638457E-2"/>
                  <c:y val="-0.175561168755285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2,3681x + 94,322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Calib - RBS1 - Alfas'!$G$5:$G$9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RBS1 - Alfas'!$F$5:$F$9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00864"/>
        <c:axId val="1886710112"/>
      </c:scatterChart>
      <c:valAx>
        <c:axId val="18867008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86710112"/>
        <c:crosses val="autoZero"/>
        <c:crossBetween val="midCat"/>
      </c:valAx>
      <c:valAx>
        <c:axId val="1886710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867008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633</c:v>
                </c:pt>
                <c:pt idx="1">
                  <c:v>702</c:v>
                </c:pt>
                <c:pt idx="2">
                  <c:v>752</c:v>
                </c:pt>
                <c:pt idx="3">
                  <c:v>778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07936"/>
        <c:axId val="1886704672"/>
      </c:scatterChart>
      <c:valAx>
        <c:axId val="1886707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86704672"/>
        <c:crosses val="autoZero"/>
        <c:crossBetween val="midCat"/>
      </c:valAx>
      <c:valAx>
        <c:axId val="1886704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8867079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6</xdr:col>
      <xdr:colOff>177560</xdr:colOff>
      <xdr:row>19</xdr:row>
      <xdr:rowOff>361710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2</xdr:row>
      <xdr:rowOff>12700</xdr:rowOff>
    </xdr:from>
    <xdr:to>
      <xdr:col>12</xdr:col>
      <xdr:colOff>482710</xdr:colOff>
      <xdr:row>8</xdr:row>
      <xdr:rowOff>63100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5295900" y="381000"/>
          <a:ext cx="2908410" cy="17077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15</xdr:col>
      <xdr:colOff>631990</xdr:colOff>
      <xdr:row>15</xdr:row>
      <xdr:rowOff>63260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7</xdr:col>
      <xdr:colOff>590120</xdr:colOff>
      <xdr:row>29</xdr:row>
      <xdr:rowOff>77040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H1" sqref="H1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>
        <v>29</v>
      </c>
    </row>
    <row r="34" spans="2:2" x14ac:dyDescent="0.35">
      <c r="B34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D1" zoomScaleNormal="100" workbookViewId="0">
      <selection activeCell="L12" sqref="L12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11.81640625" customWidth="1"/>
    <col min="7" max="7" width="11.1796875" customWidth="1"/>
    <col min="9" max="9" width="7.81640625" bestFit="1" customWidth="1"/>
    <col min="10" max="10" width="7.36328125" bestFit="1" customWidth="1"/>
    <col min="11" max="11" width="7.81640625" customWidth="1"/>
    <col min="12" max="12" width="7.54296875" bestFit="1" customWidth="1"/>
    <col min="13" max="14" width="14.36328125" bestFit="1" customWidth="1"/>
    <col min="15" max="16" width="18.6328125" bestFit="1" customWidth="1"/>
    <col min="17" max="17" width="7.7265625" bestFit="1" customWidth="1"/>
    <col min="18" max="18" width="6.1796875" bestFit="1" customWidth="1"/>
    <col min="19" max="19" width="9.26953125" bestFit="1" customWidth="1"/>
  </cols>
  <sheetData>
    <row r="1" spans="1:18" x14ac:dyDescent="0.35">
      <c r="A1" s="10" t="s">
        <v>28</v>
      </c>
      <c r="B1" s="10">
        <v>2000</v>
      </c>
      <c r="C1" s="10" t="s">
        <v>29</v>
      </c>
    </row>
    <row r="2" spans="1:18" x14ac:dyDescent="0.35">
      <c r="A2" s="84" t="s">
        <v>47</v>
      </c>
      <c r="B2" s="84">
        <v>11.29</v>
      </c>
      <c r="C2" s="84" t="s">
        <v>48</v>
      </c>
    </row>
    <row r="4" spans="1:18" ht="58" x14ac:dyDescent="0.35">
      <c r="B4" s="11" t="s">
        <v>30</v>
      </c>
      <c r="C4" s="12" t="s">
        <v>31</v>
      </c>
      <c r="D4" s="13" t="s">
        <v>32</v>
      </c>
      <c r="E4" s="12" t="s">
        <v>33</v>
      </c>
      <c r="F4" s="12" t="s">
        <v>56</v>
      </c>
      <c r="G4" s="14" t="s">
        <v>35</v>
      </c>
      <c r="O4" s="80"/>
      <c r="P4" s="80"/>
    </row>
    <row r="5" spans="1:18" x14ac:dyDescent="0.35">
      <c r="B5" s="15" t="s">
        <v>36</v>
      </c>
      <c r="C5" s="16">
        <v>8</v>
      </c>
      <c r="D5" s="17">
        <v>15.999000000000001</v>
      </c>
      <c r="E5" s="18">
        <f>((SQRT(1-(4.0026/D5)^2*SIN(RADIANS(165))^2)+4.0026/D5*COS(RADIANS(165)))/(1+4.0026/D5))^2</f>
        <v>0.36591870307011926</v>
      </c>
      <c r="F5" s="19">
        <f>$B$1*E5</f>
        <v>731.8374061402385</v>
      </c>
      <c r="G5" s="20">
        <v>270</v>
      </c>
      <c r="O5" s="80"/>
    </row>
    <row r="6" spans="1:18" x14ac:dyDescent="0.35">
      <c r="B6" s="21" t="s">
        <v>37</v>
      </c>
      <c r="C6" s="22">
        <v>14</v>
      </c>
      <c r="D6" s="23">
        <v>28.085000000000001</v>
      </c>
      <c r="E6" s="24">
        <f>((SQRT(1-(4.0026/D6)^2*SIN(RADIANS(165))^2)+4.0026/D6*COS(RADIANS(165)))/(1+4.0026/D6))^2</f>
        <v>0.56878025675945543</v>
      </c>
      <c r="F6" s="25">
        <f>$B$1*E6</f>
        <v>1137.560513518911</v>
      </c>
      <c r="G6" s="26">
        <v>438</v>
      </c>
    </row>
    <row r="7" spans="1:18" x14ac:dyDescent="0.35">
      <c r="B7" s="27" t="s">
        <v>38</v>
      </c>
      <c r="C7" s="28">
        <v>23</v>
      </c>
      <c r="D7" s="29">
        <v>50.942</v>
      </c>
      <c r="E7" s="30">
        <f>((SQRT(1-(4.0026/D7)^2*SIN(RADIANS(165))^2)+4.0026/D7*COS(RADIANS(165)))/(1+4.0026/D7))^2</f>
        <v>0.7337544049093524</v>
      </c>
      <c r="F7" s="31">
        <f>$B$1*E7</f>
        <v>1467.5088098187048</v>
      </c>
      <c r="G7" s="32">
        <v>582</v>
      </c>
    </row>
    <row r="8" spans="1:18" x14ac:dyDescent="0.35">
      <c r="B8" s="34" t="s">
        <v>39</v>
      </c>
      <c r="C8" s="35">
        <v>41</v>
      </c>
      <c r="D8" s="36">
        <v>92.906000000000006</v>
      </c>
      <c r="E8" s="37">
        <f>((SQRT(1-(4.0026/D8)^2*SIN(RADIANS(165))^2)+4.0026/D8*COS(RADIANS(165)))/(1+4.0026/D8))^2</f>
        <v>0.84408702273631764</v>
      </c>
      <c r="F8" s="38">
        <f>$B$1*E8</f>
        <v>1688.1740454726353</v>
      </c>
      <c r="G8" s="39">
        <v>674</v>
      </c>
    </row>
    <row r="9" spans="1:18" x14ac:dyDescent="0.35">
      <c r="B9" s="40" t="s">
        <v>40</v>
      </c>
      <c r="C9" s="41">
        <v>73</v>
      </c>
      <c r="D9" s="42">
        <v>180.95</v>
      </c>
      <c r="E9" s="43">
        <f>((SQRT(1-(4.0026/D9)^2*SIN(RADIANS(165))^2)+4.0026/D9*COS(RADIANS(165)))/(1+4.0026/D9))^2</f>
        <v>0.91668930866242726</v>
      </c>
      <c r="F9" s="44">
        <f>$B$1*E9</f>
        <v>1833.3786173248545</v>
      </c>
      <c r="G9" s="45">
        <v>733</v>
      </c>
    </row>
    <row r="10" spans="1:18" ht="15" thickBot="1" x14ac:dyDescent="0.4"/>
    <row r="11" spans="1:18" ht="44" thickBot="1" x14ac:dyDescent="0.4">
      <c r="B11" s="81" t="s">
        <v>46</v>
      </c>
      <c r="C11" s="81">
        <v>82</v>
      </c>
      <c r="D11" s="81">
        <v>207.2</v>
      </c>
      <c r="E11" s="82">
        <f>((SQRT(1-(4.0026/D11)^2*SIN(RADIANS(165))^2)+4.0026/D11*COS(RADIANS(165)))/(1+4.0026/D11))^2</f>
        <v>0.92685011433311859</v>
      </c>
      <c r="F11" s="83">
        <f>$B$1*E11</f>
        <v>1853.7002286662371</v>
      </c>
      <c r="G11" s="85">
        <f>(F11-94.322)/2.3681</f>
        <v>742.94929634147081</v>
      </c>
      <c r="I11" s="88"/>
      <c r="J11" s="93" t="s">
        <v>50</v>
      </c>
      <c r="K11" s="93" t="s">
        <v>51</v>
      </c>
      <c r="L11" s="93" t="s">
        <v>41</v>
      </c>
      <c r="M11" s="93" t="s">
        <v>45</v>
      </c>
      <c r="N11" s="93" t="s">
        <v>57</v>
      </c>
      <c r="O11" s="93" t="s">
        <v>49</v>
      </c>
      <c r="P11" s="93" t="s">
        <v>58</v>
      </c>
      <c r="Q11" s="93" t="s">
        <v>43</v>
      </c>
      <c r="R11" s="93" t="s">
        <v>44</v>
      </c>
    </row>
    <row r="12" spans="1:18" ht="29" x14ac:dyDescent="0.35">
      <c r="I12" s="86" t="s">
        <v>52</v>
      </c>
      <c r="J12" s="89">
        <v>743</v>
      </c>
      <c r="K12" s="89">
        <v>560</v>
      </c>
      <c r="L12" s="90">
        <f>(J12-K12)*2.3681</f>
        <v>433.3623</v>
      </c>
      <c r="M12" s="89">
        <v>349.1</v>
      </c>
      <c r="N12" s="89">
        <f>M12*$B$2/10</f>
        <v>394.13389999999998</v>
      </c>
      <c r="O12" s="89">
        <v>359</v>
      </c>
      <c r="P12" s="89">
        <f>O12*$B$2/10</f>
        <v>405.31099999999998</v>
      </c>
      <c r="Q12" s="91">
        <f>(($E$11/COS(RADIANS(0))*N12)+(1/COS(RADIANS(15)*P12)))</f>
        <v>366.6149160882843</v>
      </c>
      <c r="R12" s="92">
        <f>L12*10^3/Q12</f>
        <v>1182.0640158995666</v>
      </c>
    </row>
    <row r="13" spans="1:18" ht="29" x14ac:dyDescent="0.35">
      <c r="G13" s="33"/>
      <c r="H13" s="33"/>
      <c r="I13" s="86" t="s">
        <v>53</v>
      </c>
      <c r="J13" s="89">
        <v>745</v>
      </c>
      <c r="K13" s="89">
        <v>539</v>
      </c>
      <c r="L13" s="90">
        <f t="shared" ref="L13:L15" si="0">(J13-K13)*2.3681</f>
        <v>487.82859999999999</v>
      </c>
      <c r="M13" s="89">
        <v>349.1</v>
      </c>
      <c r="N13" s="89">
        <f t="shared" ref="N13:N15" si="1">M13*$B$2/10</f>
        <v>394.13389999999998</v>
      </c>
      <c r="O13" s="89">
        <v>359</v>
      </c>
      <c r="P13" s="89">
        <f t="shared" ref="P13:P15" si="2">O13*$B$2/10</f>
        <v>405.31099999999998</v>
      </c>
      <c r="Q13" s="91">
        <f t="shared" ref="Q13" si="3">(($E$11/COS(RADIANS(0))*N13)+(1/COS(RADIANS(15)*P13)))</f>
        <v>366.6149160882843</v>
      </c>
      <c r="R13" s="92">
        <f>L13*10^3/Q13</f>
        <v>1330.6294386629002</v>
      </c>
    </row>
    <row r="14" spans="1:18" ht="29" x14ac:dyDescent="0.35">
      <c r="I14" s="86" t="s">
        <v>54</v>
      </c>
      <c r="J14" s="89">
        <v>746</v>
      </c>
      <c r="K14" s="89">
        <v>564</v>
      </c>
      <c r="L14" s="90">
        <f t="shared" ref="L14" si="4">(J14-K14)*2.3681</f>
        <v>430.99420000000003</v>
      </c>
      <c r="M14" s="89">
        <v>349.1</v>
      </c>
      <c r="N14" s="89">
        <f t="shared" si="1"/>
        <v>394.13389999999998</v>
      </c>
      <c r="O14" s="89">
        <v>359</v>
      </c>
      <c r="P14" s="89">
        <f t="shared" si="2"/>
        <v>405.31099999999998</v>
      </c>
      <c r="Q14" s="91">
        <f t="shared" ref="Q14" si="5">(($E$11/COS(RADIANS(0))*N14)+(1/COS(RADIANS(15)*P14)))</f>
        <v>366.6149160882843</v>
      </c>
      <c r="R14" s="92">
        <f>L14*10^3/Q14</f>
        <v>1175.6046496924653</v>
      </c>
    </row>
    <row r="15" spans="1:18" ht="29.5" thickBot="1" x14ac:dyDescent="0.4">
      <c r="I15" s="87" t="s">
        <v>55</v>
      </c>
      <c r="J15" s="89">
        <v>745</v>
      </c>
      <c r="K15" s="89">
        <v>561</v>
      </c>
      <c r="L15" s="90">
        <f t="shared" si="0"/>
        <v>435.73040000000003</v>
      </c>
      <c r="M15" s="89">
        <v>349.1</v>
      </c>
      <c r="N15" s="89">
        <f t="shared" si="1"/>
        <v>394.13389999999998</v>
      </c>
      <c r="O15" s="89">
        <v>359</v>
      </c>
      <c r="P15" s="89">
        <f t="shared" si="2"/>
        <v>405.31099999999998</v>
      </c>
      <c r="Q15" s="91">
        <f t="shared" ref="Q15" si="6">(($E$11/COS(RADIANS(0))*N15)+(1/COS(RADIANS(15)*P15)))</f>
        <v>366.6149160882843</v>
      </c>
      <c r="R15" s="92">
        <f>L15*10^3/Q15</f>
        <v>1188.5233821066681</v>
      </c>
    </row>
    <row r="17" spans="9:18" ht="15" thickBot="1" x14ac:dyDescent="0.4"/>
    <row r="18" spans="9:18" ht="44" thickBot="1" x14ac:dyDescent="0.4">
      <c r="I18" s="88"/>
      <c r="J18" s="96" t="s">
        <v>50</v>
      </c>
      <c r="K18" s="96" t="s">
        <v>51</v>
      </c>
      <c r="L18" s="96" t="s">
        <v>41</v>
      </c>
      <c r="M18" s="96" t="s">
        <v>45</v>
      </c>
      <c r="N18" s="96" t="s">
        <v>57</v>
      </c>
      <c r="O18" s="96" t="s">
        <v>49</v>
      </c>
      <c r="P18" s="96" t="s">
        <v>58</v>
      </c>
      <c r="Q18" s="97" t="s">
        <v>43</v>
      </c>
      <c r="R18" s="94" t="s">
        <v>44</v>
      </c>
    </row>
    <row r="19" spans="9:18" ht="29" x14ac:dyDescent="0.35">
      <c r="I19" s="86" t="s">
        <v>59</v>
      </c>
      <c r="J19" s="89">
        <v>739</v>
      </c>
      <c r="K19" s="89">
        <v>530</v>
      </c>
      <c r="L19" s="90">
        <f>(J19-K19)*2.3681</f>
        <v>494.93290000000002</v>
      </c>
      <c r="M19" s="89">
        <v>349.1</v>
      </c>
      <c r="N19" s="89">
        <f>M19*$B$2/10</f>
        <v>394.13389999999998</v>
      </c>
      <c r="O19" s="89">
        <v>359</v>
      </c>
      <c r="P19" s="89">
        <f>O19*$B$2/10</f>
        <v>405.31099999999998</v>
      </c>
      <c r="Q19" s="98">
        <f>(($E$11/COS(RADIANS(0))*N19)+(1/COS(RADIANS(15)*P19)))</f>
        <v>366.6149160882843</v>
      </c>
      <c r="R19" s="95">
        <f>L19*10^3/Q19</f>
        <v>1350.0075372842045</v>
      </c>
    </row>
    <row r="20" spans="9:18" ht="29.5" thickBot="1" x14ac:dyDescent="0.4">
      <c r="I20" s="87" t="s">
        <v>60</v>
      </c>
      <c r="J20" s="99">
        <v>730</v>
      </c>
      <c r="K20" s="99">
        <v>390</v>
      </c>
      <c r="L20" s="100">
        <f t="shared" ref="L20:L22" si="7">(J20-K20)*2.3681</f>
        <v>805.154</v>
      </c>
      <c r="M20" s="99">
        <v>349.1</v>
      </c>
      <c r="N20" s="99">
        <f t="shared" ref="N20:N22" si="8">M20*$B$2/10</f>
        <v>394.13389999999998</v>
      </c>
      <c r="O20" s="99">
        <v>359</v>
      </c>
      <c r="P20" s="99">
        <f t="shared" ref="P20:P22" si="9">O20*$B$2/10</f>
        <v>405.31099999999998</v>
      </c>
      <c r="Q20" s="101">
        <f t="shared" ref="Q20:Q22" si="10">(($E$11/COS(RADIANS(0))*N20)+(1/COS(RADIANS(15)*P20)))</f>
        <v>366.6149160882843</v>
      </c>
      <c r="R20" s="95">
        <f>L20*10^3/Q20</f>
        <v>2196.1845104144954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3" zoomScaleNormal="100" workbookViewId="0">
      <selection activeCell="J17" sqref="J17:Q21"/>
    </sheetView>
  </sheetViews>
  <sheetFormatPr defaultColWidth="8.54296875" defaultRowHeight="14.5" x14ac:dyDescent="0.35"/>
  <cols>
    <col min="5" max="5" width="12.453125" customWidth="1"/>
    <col min="6" max="6" width="9.08984375" customWidth="1"/>
    <col min="7" max="7" width="11.1796875" customWidth="1"/>
    <col min="10" max="10" width="15.36328125" customWidth="1"/>
    <col min="11" max="11" width="8.7265625" customWidth="1"/>
    <col min="12" max="12" width="8.6328125" customWidth="1"/>
    <col min="13" max="13" width="10.1796875" customWidth="1"/>
    <col min="14" max="14" width="14.6328125" customWidth="1"/>
    <col min="15" max="15" width="18.6328125" bestFit="1" customWidth="1"/>
    <col min="16" max="16" width="10" customWidth="1"/>
    <col min="17" max="17" width="5.26953125" customWidth="1"/>
  </cols>
  <sheetData>
    <row r="1" spans="1:10" ht="15" thickBot="1" x14ac:dyDescent="0.4">
      <c r="A1" s="10" t="s">
        <v>28</v>
      </c>
      <c r="B1" s="10">
        <v>2000</v>
      </c>
      <c r="C1" s="10" t="s">
        <v>29</v>
      </c>
    </row>
    <row r="2" spans="1:10" ht="15" thickBot="1" x14ac:dyDescent="0.4">
      <c r="G2" s="78" t="s">
        <v>42</v>
      </c>
    </row>
    <row r="3" spans="1:10" ht="29" x14ac:dyDescent="0.35">
      <c r="C3" s="50" t="s">
        <v>30</v>
      </c>
      <c r="D3" s="51" t="s">
        <v>31</v>
      </c>
      <c r="E3" s="52" t="s">
        <v>32</v>
      </c>
      <c r="F3" s="51" t="s">
        <v>33</v>
      </c>
      <c r="G3" s="51" t="s">
        <v>34</v>
      </c>
      <c r="H3" s="53" t="s">
        <v>35</v>
      </c>
    </row>
    <row r="4" spans="1:10" x14ac:dyDescent="0.35">
      <c r="C4" s="54" t="s">
        <v>36</v>
      </c>
      <c r="D4" s="46">
        <v>8</v>
      </c>
      <c r="E4" s="47">
        <v>15.999000000000001</v>
      </c>
      <c r="F4" s="48">
        <f>((SQRT(1-(1/E4)^2*SIN(RADIANS(165))^2)+1/E4*COS(RADIANS(165)))/(1+1/E4))^2</f>
        <v>0.78185798881983415</v>
      </c>
      <c r="G4" s="49">
        <f>$B$1*F4</f>
        <v>1563.7159776396684</v>
      </c>
      <c r="H4" s="55">
        <v>633</v>
      </c>
    </row>
    <row r="5" spans="1:10" x14ac:dyDescent="0.35">
      <c r="C5" s="56" t="s">
        <v>37</v>
      </c>
      <c r="D5" s="57">
        <v>14</v>
      </c>
      <c r="E5" s="58">
        <v>28.085000000000001</v>
      </c>
      <c r="F5" s="59">
        <f>((SQRT(1-(1/E5)^2*SIN(RADIANS(165))^2)+1/E5*COS(RADIANS(165)))/(1+1/E5))^2</f>
        <v>0.86930741306534087</v>
      </c>
      <c r="G5" s="60">
        <f>$B$1*F5</f>
        <v>1738.6148261306816</v>
      </c>
      <c r="H5" s="61">
        <v>702</v>
      </c>
    </row>
    <row r="6" spans="1:10" x14ac:dyDescent="0.35">
      <c r="C6" s="62" t="s">
        <v>38</v>
      </c>
      <c r="D6" s="63">
        <v>23</v>
      </c>
      <c r="E6" s="64">
        <v>50.942</v>
      </c>
      <c r="F6" s="59">
        <f>((SQRT(1-(1/E6)^2*SIN(RADIANS(165))^2)+1/E6*COS(RADIANS(165)))/(1+1/E6))^2</f>
        <v>0.9257111865667883</v>
      </c>
      <c r="G6" s="65">
        <f>$B$1*F6</f>
        <v>1851.4223731335767</v>
      </c>
      <c r="H6" s="66">
        <v>752</v>
      </c>
      <c r="I6" s="33"/>
    </row>
    <row r="7" spans="1:10" x14ac:dyDescent="0.35">
      <c r="C7" s="67" t="s">
        <v>39</v>
      </c>
      <c r="D7" s="68">
        <v>41</v>
      </c>
      <c r="E7" s="69">
        <v>92.906000000000006</v>
      </c>
      <c r="F7" s="59">
        <f>((SQRT(1-(1/E7)^2*SIN(RADIANS(165))^2)+1/E7*COS(RADIANS(165)))/(1+1/E7))^2</f>
        <v>0.95856067934676659</v>
      </c>
      <c r="G7" s="70">
        <f>$B$1*F7</f>
        <v>1917.1213586935332</v>
      </c>
      <c r="H7" s="71">
        <v>778</v>
      </c>
    </row>
    <row r="8" spans="1:10" ht="15" thickBot="1" x14ac:dyDescent="0.4">
      <c r="C8" s="72" t="s">
        <v>40</v>
      </c>
      <c r="D8" s="73">
        <v>73</v>
      </c>
      <c r="E8" s="74">
        <v>180.95</v>
      </c>
      <c r="F8" s="75">
        <f>((SQRT(1-(1/E8)^2*SIN(RADIANS(165))^2)+1/E8*COS(RADIANS(165)))/(1+1/E8))^2</f>
        <v>0.97850521298958393</v>
      </c>
      <c r="G8" s="76">
        <f>$B$1*F8</f>
        <v>1957.0104259791678</v>
      </c>
      <c r="H8" s="77">
        <v>796</v>
      </c>
      <c r="J8" s="79"/>
    </row>
    <row r="10" spans="1:10" x14ac:dyDescent="0.35">
      <c r="J10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2022-12-12T16:02:48Z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