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RBS_23Novembro\"/>
    </mc:Choice>
  </mc:AlternateContent>
  <bookViews>
    <workbookView xWindow="0" yWindow="0" windowWidth="16380" windowHeight="8190" tabRatio="500" firstSheet="2" activeTab="2"/>
  </bookViews>
  <sheets>
    <sheet name="Runs" sheetId="1" r:id="rId1"/>
    <sheet name="Ta-Nb-V Calib - RBS1 - Alfas" sheetId="2" r:id="rId2"/>
    <sheet name="Ta-Nb-V NEW Calib - RBS1 - Alfa" sheetId="4" r:id="rId3"/>
    <sheet name="Ta-Nb-V Calib - RBS1 - Protoes" sheetId="3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5" i="4" l="1"/>
  <c r="P25" i="4"/>
  <c r="N25" i="4"/>
  <c r="L25" i="4"/>
  <c r="R25" i="4" s="1"/>
  <c r="P24" i="4"/>
  <c r="N24" i="4"/>
  <c r="L24" i="4"/>
  <c r="P20" i="4"/>
  <c r="N20" i="4"/>
  <c r="L20" i="4"/>
  <c r="P19" i="4"/>
  <c r="N19" i="4"/>
  <c r="L19" i="4"/>
  <c r="Q15" i="4"/>
  <c r="P15" i="4"/>
  <c r="N15" i="4"/>
  <c r="L15" i="4"/>
  <c r="R15" i="4" s="1"/>
  <c r="P14" i="4"/>
  <c r="N14" i="4"/>
  <c r="L14" i="4"/>
  <c r="P13" i="4"/>
  <c r="N13" i="4"/>
  <c r="L13" i="4"/>
  <c r="P12" i="4"/>
  <c r="N12" i="4"/>
  <c r="L12" i="4"/>
  <c r="F10" i="4"/>
  <c r="G10" i="4" s="1"/>
  <c r="E10" i="4"/>
  <c r="Q24" i="4" s="1"/>
  <c r="E9" i="4"/>
  <c r="F9" i="4" s="1"/>
  <c r="F8" i="4"/>
  <c r="E8" i="4"/>
  <c r="E7" i="4"/>
  <c r="F7" i="4" s="1"/>
  <c r="F6" i="4"/>
  <c r="E6" i="4"/>
  <c r="E5" i="4"/>
  <c r="F5" i="4" s="1"/>
  <c r="L25" i="2"/>
  <c r="P25" i="2"/>
  <c r="N25" i="2"/>
  <c r="Q25" i="2" s="1"/>
  <c r="P24" i="2"/>
  <c r="N24" i="2"/>
  <c r="Q24" i="2" s="1"/>
  <c r="L24" i="2"/>
  <c r="R24" i="4" l="1"/>
  <c r="R12" i="4"/>
  <c r="Q12" i="4"/>
  <c r="Q19" i="4"/>
  <c r="R19" i="4" s="1"/>
  <c r="Q13" i="4"/>
  <c r="R13" i="4" s="1"/>
  <c r="Q20" i="4"/>
  <c r="R20" i="4" s="1"/>
  <c r="Q14" i="4"/>
  <c r="R14" i="4" s="1"/>
  <c r="R25" i="2"/>
  <c r="R24" i="2"/>
  <c r="P20" i="2"/>
  <c r="N20" i="2"/>
  <c r="L20" i="2"/>
  <c r="P19" i="2"/>
  <c r="N19" i="2"/>
  <c r="L19" i="2"/>
  <c r="P15" i="2"/>
  <c r="N15" i="2"/>
  <c r="P14" i="2"/>
  <c r="N14" i="2"/>
  <c r="L14" i="2"/>
  <c r="L15" i="2"/>
  <c r="L13" i="2"/>
  <c r="P13" i="2"/>
  <c r="N13" i="2"/>
  <c r="P12" i="2"/>
  <c r="N12" i="2"/>
  <c r="L12" i="2"/>
  <c r="E10" i="2" l="1"/>
  <c r="Q20" i="2" l="1"/>
  <c r="R20" i="2" s="1"/>
  <c r="Q12" i="2"/>
  <c r="Q14" i="2"/>
  <c r="R14" i="2" s="1"/>
  <c r="Q13" i="2"/>
  <c r="R13" i="2" s="1"/>
  <c r="Q19" i="2"/>
  <c r="R19" i="2" s="1"/>
  <c r="Q15" i="2"/>
  <c r="R15" i="2" s="1"/>
  <c r="F10" i="2"/>
  <c r="G10" i="2" s="1"/>
  <c r="R12" i="2"/>
  <c r="F8" i="3"/>
  <c r="G8" i="3" s="1"/>
  <c r="F7" i="3"/>
  <c r="G7" i="3" s="1"/>
  <c r="F6" i="3"/>
  <c r="G6" i="3" s="1"/>
  <c r="F5" i="3"/>
  <c r="G5" i="3" s="1"/>
  <c r="F4" i="3"/>
  <c r="G4" i="3" s="1"/>
  <c r="E9" i="2"/>
  <c r="F9" i="2" s="1"/>
  <c r="E8" i="2"/>
  <c r="F8" i="2" s="1"/>
  <c r="E7" i="2"/>
  <c r="F7" i="2" s="1"/>
  <c r="E6" i="2"/>
  <c r="F6" i="2" s="1"/>
  <c r="E5" i="2"/>
  <c r="F5" i="2" s="1"/>
</calcChain>
</file>

<file path=xl/sharedStrings.xml><?xml version="1.0" encoding="utf-8"?>
<sst xmlns="http://schemas.openxmlformats.org/spreadsheetml/2006/main" count="190" uniqueCount="64">
  <si>
    <t>2000 keV</t>
  </si>
  <si>
    <t>4He</t>
  </si>
  <si>
    <t>RBS 23 November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</si>
  <si>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</si>
  <si>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</si>
  <si>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</si>
  <si>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</si>
  <si>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</si>
  <si>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</si>
  <si>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</si>
  <si>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</si>
  <si>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~ 3</t>
  </si>
  <si>
    <t>Large hole</t>
  </si>
  <si>
    <t>'’</t>
  </si>
  <si>
    <t>~5</t>
  </si>
  <si>
    <t>Target 1</t>
  </si>
  <si>
    <t>Formvar</t>
  </si>
  <si>
    <t>corrente medida no porta alvos; provavelmente estavamos a batar apenas no frame</t>
  </si>
  <si>
    <t>estavamos na posição errada, só viamos frame</t>
  </si>
  <si>
    <t>agora vimos C e O mas muito pouco; podemos ter feito um buraco no filme; temos que confirmar no fim</t>
  </si>
  <si>
    <t>Pb 1 – small hole</t>
  </si>
  <si>
    <t>voltamos a medir na FC do fim de linha</t>
  </si>
  <si>
    <t>Pb 2 – small hole</t>
  </si>
  <si>
    <t>H</t>
  </si>
  <si>
    <t>changed to protons</t>
  </si>
  <si>
    <t>~2 floating</t>
  </si>
  <si>
    <t>não estavamos a contar a corrente na FC</t>
  </si>
  <si>
    <t>ganho x2</t>
  </si>
  <si>
    <t xml:space="preserve">E0 = </t>
  </si>
  <si>
    <t>keV</t>
  </si>
  <si>
    <t>Element</t>
  </si>
  <si>
    <t>Z</t>
  </si>
  <si>
    <t>A</t>
  </si>
  <si>
    <t>kinematic factor</t>
  </si>
  <si>
    <t>Back Energy (keV)</t>
  </si>
  <si>
    <t>Surface channel</t>
  </si>
  <si>
    <t>O</t>
  </si>
  <si>
    <t>Si</t>
  </si>
  <si>
    <t>V</t>
  </si>
  <si>
    <t>Nb</t>
  </si>
  <si>
    <t>Ta</t>
  </si>
  <si>
    <t>Delta_E (keV)</t>
  </si>
  <si>
    <t>K * E_0</t>
  </si>
  <si>
    <t>[S] (eV/nm)</t>
  </si>
  <si>
    <t>x (nm)</t>
  </si>
  <si>
    <t>(dE/dx)_in [E_0] (MeV cm^2 / g)</t>
  </si>
  <si>
    <t>Pb</t>
  </si>
  <si>
    <t>g/cm^3</t>
  </si>
  <si>
    <t>(dE/dx)_out [K * E_0] (MeV cm^2 / g)</t>
  </si>
  <si>
    <t>Pb channel in</t>
  </si>
  <si>
    <t>Pb channel out</t>
  </si>
  <si>
    <t>Target 1 (21 mm)</t>
  </si>
  <si>
    <t>Target 1 (23 mm)</t>
  </si>
  <si>
    <t>Target 1 (25 mm)</t>
  </si>
  <si>
    <t>Target 1 (27 mm)</t>
  </si>
  <si>
    <t>Back Energy (keV) [K * E0]</t>
  </si>
  <si>
    <t>(dE/dx)_in [E_0] (eV/nm)</t>
  </si>
  <si>
    <t>(dE/dx)_out [K * E_0] (eV/nm)</t>
  </si>
  <si>
    <t>Target 3 (55 mm)</t>
  </si>
  <si>
    <t>Target 3 (57 mm)</t>
  </si>
  <si>
    <t>Kinematic factor [K]</t>
  </si>
  <si>
    <t xml:space="preserve">Pb density = </t>
  </si>
  <si>
    <t>Target 4 (66 mm)</t>
  </si>
  <si>
    <t>Target 4 (65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</si>
</sst>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8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C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7BC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BDDE"/>
        <bgColor rgb="FFDAE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4" borderId="0" xfId="0" applyFont="1" applyFill="1"/>
    <xf numFmtId="2" fontId="0" fillId="0" borderId="0" xfId="0" applyNumberFormat="1"/>
    <xf numFmtId="0" fontId="0" fillId="6" borderId="4" xfId="0" applyFill="1" applyBorder="1"/>
    <xf numFmtId="164" fontId="0" fillId="6" borderId="4" xfId="0" applyNumberFormat="1" applyFill="1" applyBorder="1"/>
    <xf numFmtId="165" fontId="0" fillId="6" borderId="4" xfId="0" applyNumberFormat="1" applyFill="1" applyBorder="1"/>
    <xf numFmtId="2" fontId="0" fillId="6" borderId="4" xfId="0" applyNumberFormat="1" applyFill="1" applyBorder="1"/>
    <xf numFmtId="0" fontId="0" fillId="5" borderId="6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4" borderId="9" xfId="0" applyFont="1" applyFill="1" applyBorder="1"/>
    <xf numFmtId="0" fontId="0" fillId="6" borderId="10" xfId="0" applyFill="1" applyBorder="1"/>
    <xf numFmtId="0" fontId="3" fillId="7" borderId="11" xfId="0" applyFont="1" applyFill="1" applyBorder="1"/>
    <xf numFmtId="0" fontId="3" fillId="8" borderId="0" xfId="0" applyFont="1" applyFill="1" applyBorder="1"/>
    <xf numFmtId="164" fontId="3" fillId="8" borderId="0" xfId="0" applyNumberFormat="1" applyFont="1" applyFill="1" applyBorder="1"/>
    <xf numFmtId="165" fontId="0" fillId="6" borderId="0" xfId="0" applyNumberFormat="1" applyFill="1" applyBorder="1"/>
    <xf numFmtId="2" fontId="0" fillId="8" borderId="0" xfId="0" applyNumberFormat="1" applyFill="1" applyBorder="1"/>
    <xf numFmtId="0" fontId="3" fillId="8" borderId="12" xfId="0" applyFont="1" applyFill="1" applyBorder="1"/>
    <xf numFmtId="0" fontId="0" fillId="9" borderId="11" xfId="0" applyFont="1" applyFill="1" applyBorder="1"/>
    <xf numFmtId="0" fontId="0" fillId="10" borderId="0" xfId="0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0" fontId="0" fillId="10" borderId="12" xfId="0" applyFill="1" applyBorder="1"/>
    <xf numFmtId="0" fontId="0" fillId="11" borderId="11" xfId="0" applyFont="1" applyFill="1" applyBorder="1"/>
    <xf numFmtId="0" fontId="0" fillId="12" borderId="0" xfId="0" applyFill="1" applyBorder="1"/>
    <xf numFmtId="164" fontId="0" fillId="12" borderId="0" xfId="0" applyNumberFormat="1" applyFill="1" applyBorder="1"/>
    <xf numFmtId="2" fontId="0" fillId="12" borderId="0" xfId="0" applyNumberFormat="1" applyFill="1" applyBorder="1"/>
    <xf numFmtId="0" fontId="0" fillId="12" borderId="12" xfId="0" applyFill="1" applyBorder="1"/>
    <xf numFmtId="0" fontId="0" fillId="13" borderId="13" xfId="0" applyFont="1" applyFill="1" applyBorder="1"/>
    <xf numFmtId="0" fontId="0" fillId="14" borderId="14" xfId="0" applyFill="1" applyBorder="1"/>
    <xf numFmtId="164" fontId="0" fillId="14" borderId="14" xfId="0" applyNumberFormat="1" applyFill="1" applyBorder="1"/>
    <xf numFmtId="165" fontId="0" fillId="6" borderId="14" xfId="0" applyNumberFormat="1" applyFill="1" applyBorder="1"/>
    <xf numFmtId="2" fontId="0" fillId="14" borderId="14" xfId="0" applyNumberFormat="1" applyFill="1" applyBorder="1"/>
    <xf numFmtId="0" fontId="0" fillId="14" borderId="15" xfId="0" applyFill="1" applyBorder="1"/>
    <xf numFmtId="0" fontId="0" fillId="15" borderId="5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20" borderId="17" xfId="0" applyFill="1" applyBorder="1" applyAlignment="1">
      <alignment horizontal="center" vertical="center" wrapText="1"/>
    </xf>
    <xf numFmtId="2" fontId="0" fillId="20" borderId="17" xfId="0" applyNumberFormat="1" applyFill="1" applyBorder="1" applyAlignment="1">
      <alignment horizontal="center" vertical="center" wrapText="1"/>
    </xf>
    <xf numFmtId="164" fontId="0" fillId="20" borderId="19" xfId="0" applyNumberForma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2" fontId="0" fillId="20" borderId="20" xfId="0" applyNumberFormat="1" applyFill="1" applyBorder="1" applyAlignment="1">
      <alignment horizontal="center" vertical="center" wrapText="1"/>
    </xf>
    <xf numFmtId="164" fontId="0" fillId="20" borderId="21" xfId="0" applyNumberFormat="1" applyFill="1" applyBorder="1" applyAlignment="1">
      <alignment horizontal="center" vertical="center" wrapText="1"/>
    </xf>
    <xf numFmtId="166" fontId="0" fillId="20" borderId="17" xfId="0" applyNumberFormat="1" applyFill="1" applyBorder="1" applyAlignment="1">
      <alignment horizontal="center" vertical="center" wrapText="1"/>
    </xf>
    <xf numFmtId="1" fontId="0" fillId="20" borderId="17" xfId="0" applyNumberForma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right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vertical="center" wrapText="1"/>
    </xf>
    <xf numFmtId="0" fontId="0" fillId="19" borderId="13" xfId="0" applyFill="1" applyBorder="1" applyAlignment="1">
      <alignment horizontal="right" vertical="center" wrapText="1"/>
    </xf>
    <xf numFmtId="0" fontId="0" fillId="19" borderId="14" xfId="0" applyFill="1" applyBorder="1" applyAlignment="1">
      <alignment horizontal="center" vertical="center" wrapText="1"/>
    </xf>
    <xf numFmtId="0" fontId="0" fillId="19" borderId="15" xfId="0" applyFill="1" applyBorder="1" applyAlignment="1">
      <alignment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0" fillId="6" borderId="0" xfId="0" applyFill="1" applyBorder="1"/>
    <xf numFmtId="164" fontId="0" fillId="6" borderId="0" xfId="0" applyNumberFormat="1" applyFill="1" applyBorder="1"/>
    <xf numFmtId="2" fontId="0" fillId="6" borderId="0" xfId="0" applyNumberFormat="1" applyFill="1" applyBorder="1"/>
    <xf numFmtId="0" fontId="0" fillId="6" borderId="12" xfId="0" applyFill="1" applyBorder="1"/>
    <xf numFmtId="0" fontId="6" fillId="7" borderId="11" xfId="0" applyFont="1" applyFill="1" applyBorder="1" applyAlignment="1">
      <alignment horizontal="center" vertical="center" wrapText="1"/>
    </xf>
    <xf numFmtId="165" fontId="0" fillId="8" borderId="0" xfId="0" applyNumberFormat="1" applyFill="1" applyBorder="1"/>
    <xf numFmtId="0" fontId="5" fillId="9" borderId="11" xfId="0" applyFont="1" applyFill="1" applyBorder="1" applyAlignment="1">
      <alignment horizontal="center" vertical="center" wrapText="1"/>
    </xf>
    <xf numFmtId="165" fontId="0" fillId="10" borderId="0" xfId="0" applyNumberFormat="1" applyFill="1" applyBorder="1"/>
    <xf numFmtId="0" fontId="5" fillId="11" borderId="11" xfId="0" applyFont="1" applyFill="1" applyBorder="1" applyAlignment="1">
      <alignment horizontal="center" vertical="center" wrapText="1"/>
    </xf>
    <xf numFmtId="165" fontId="0" fillId="12" borderId="0" xfId="0" applyNumberFormat="1" applyFill="1" applyBorder="1"/>
    <xf numFmtId="0" fontId="5" fillId="13" borderId="13" xfId="0" applyFont="1" applyFill="1" applyBorder="1" applyAlignment="1">
      <alignment horizontal="center" vertical="center" wrapText="1"/>
    </xf>
    <xf numFmtId="165" fontId="0" fillId="14" borderId="14" xfId="0" applyNumberFormat="1" applyFill="1" applyBorder="1"/>
    <xf numFmtId="0" fontId="0" fillId="17" borderId="16" xfId="0" applyFill="1" applyBorder="1"/>
    <xf numFmtId="0" fontId="0" fillId="17" borderId="25" xfId="0" applyFill="1" applyBorder="1"/>
    <xf numFmtId="165" fontId="0" fillId="18" borderId="25" xfId="0" applyNumberFormat="1" applyFill="1" applyBorder="1"/>
    <xf numFmtId="2" fontId="0" fillId="18" borderId="25" xfId="0" applyNumberFormat="1" applyFill="1" applyBorder="1"/>
    <xf numFmtId="1" fontId="2" fillId="0" borderId="26" xfId="0" applyNumberFormat="1" applyFont="1" applyBorder="1"/>
    <xf numFmtId="166" fontId="0" fillId="20" borderId="20" xfId="0" applyNumberFormat="1" applyFill="1" applyBorder="1" applyAlignment="1">
      <alignment horizontal="center" vertical="center" wrapText="1"/>
    </xf>
    <xf numFmtId="1" fontId="0" fillId="20" borderId="20" xfId="0" applyNumberFormat="1" applyFill="1" applyBorder="1" applyAlignment="1">
      <alignment horizontal="center" vertical="center" wrapText="1"/>
    </xf>
    <xf numFmtId="1" fontId="2" fillId="20" borderId="27" xfId="0" applyNumberFormat="1" applyFont="1" applyFill="1" applyBorder="1" applyAlignment="1">
      <alignment horizontal="center" vertical="center" wrapText="1"/>
    </xf>
    <xf numFmtId="1" fontId="2" fillId="20" borderId="28" xfId="0" applyNumberFormat="1" applyFont="1" applyFill="1" applyBorder="1" applyAlignment="1">
      <alignment horizontal="center" vertical="center" wrapText="1"/>
    </xf>
    <xf numFmtId="0" fontId="0" fillId="20" borderId="29" xfId="0" applyFill="1" applyBorder="1" applyAlignment="1">
      <alignment horizontal="center" vertical="center" wrapText="1"/>
    </xf>
    <xf numFmtId="0" fontId="5" fillId="17" borderId="30" xfId="0" applyFont="1" applyFill="1" applyBorder="1" applyAlignment="1">
      <alignment horizontal="center" vertical="center" wrapText="1"/>
    </xf>
    <xf numFmtId="0" fontId="5" fillId="17" borderId="31" xfId="0" applyFont="1" applyFill="1" applyBorder="1" applyAlignment="1">
      <alignment horizontal="center" vertical="center" wrapText="1"/>
    </xf>
    <xf numFmtId="0" fontId="0" fillId="20" borderId="32" xfId="0" applyFill="1" applyBorder="1" applyAlignment="1">
      <alignment horizontal="center" vertical="center" wrapText="1"/>
    </xf>
    <xf numFmtId="2" fontId="0" fillId="20" borderId="32" xfId="0" applyNumberFormat="1" applyFill="1" applyBorder="1" applyAlignment="1">
      <alignment horizontal="center" vertical="center" wrapText="1"/>
    </xf>
    <xf numFmtId="164" fontId="0" fillId="20" borderId="33" xfId="0" applyNumberFormat="1" applyFill="1" applyBorder="1" applyAlignment="1">
      <alignment horizontal="center" vertical="center" wrapText="1"/>
    </xf>
    <xf numFmtId="1" fontId="2" fillId="20" borderId="34" xfId="0" applyNumberFormat="1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35" xfId="0" applyFont="1" applyFill="1" applyBorder="1" applyAlignment="1">
      <alignment horizontal="center" vertical="center" wrapText="1"/>
    </xf>
    <xf numFmtId="0" fontId="5" fillId="16" borderId="26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18" xfId="0" applyFill="1" applyBorder="1" applyAlignment="1">
      <alignment horizontal="center" vertical="center" wrapText="1"/>
    </xf>
    <xf numFmtId="0" fontId="5" fillId="17" borderId="37" xfId="0" applyFont="1" applyFill="1" applyBorder="1" applyAlignment="1">
      <alignment horizontal="center" vertical="center" wrapText="1"/>
    </xf>
    <xf numFmtId="166" fontId="0" fillId="20" borderId="32" xfId="0" applyNumberFormat="1" applyFill="1" applyBorder="1" applyAlignment="1">
      <alignment horizontal="center" vertical="center" wrapText="1"/>
    </xf>
    <xf numFmtId="1" fontId="0" fillId="20" borderId="32" xfId="0" applyNumberForma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/>
    </xf>
    <xf numFmtId="0" fontId="7" fillId="20" borderId="29" xfId="0" applyFont="1" applyFill="1" applyBorder="1" applyAlignment="1">
      <alignment horizontal="center" vertical="center" wrapText="1"/>
    </xf>
    <xf numFmtId="0" fontId="7" fillId="20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1.0108278837638457E-2"/>
                  <c:y val="-0.1755611687552850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2,3681x + 94,322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'Ta-Nb-V Calib - RBS1 - Alfas'!$G$5:$G$9</c:f>
              <c:numCache>
                <c:formatCode>General</c:formatCode>
                <c:ptCount val="5"/>
                <c:pt idx="0">
                  <c:v>270</c:v>
                </c:pt>
                <c:pt idx="1">
                  <c:v>438</c:v>
                </c:pt>
                <c:pt idx="2">
                  <c:v>582</c:v>
                </c:pt>
                <c:pt idx="3">
                  <c:v>674</c:v>
                </c:pt>
                <c:pt idx="4">
                  <c:v>733</c:v>
                </c:pt>
              </c:numCache>
            </c:numRef>
          </c:xVal>
          <c:yVal>
            <c:numRef>
              <c:f>'Ta-Nb-V Calib - RBS1 - Alfas'!$F$5:$F$9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826208"/>
        <c:axId val="-55814784"/>
      </c:scatterChart>
      <c:valAx>
        <c:axId val="-558262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55814784"/>
        <c:crosses val="autoZero"/>
        <c:crossBetween val="midCat"/>
      </c:valAx>
      <c:valAx>
        <c:axId val="-55814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558262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3.5888414338875241E-2"/>
                  <c:y val="-0.17556116875528505"/>
                </c:manualLayout>
              </c:layout>
              <c:tx>
                <c:rich>
                  <a:bodyPr/>
                  <a:lstStyle/>
                  <a:p>
                    <a:pPr>
                      <a:defRPr sz="1100">
                        <a:solidFill>
                          <a:srgbClr val="FF0000"/>
                        </a:solidFill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2,3681x + 89,586</a:t>
                    </a:r>
                    <a:r>
                      <a:rPr lang="en-US" sz="1100" baseline="0">
                        <a:solidFill>
                          <a:srgbClr val="FF0000"/>
                        </a:solidFill>
                      </a:rPr>
                      <a:t/>
                    </a:r>
                    <a:br>
                      <a:rPr lang="en-US" sz="1100" baseline="0">
                        <a:solidFill>
                          <a:srgbClr val="FF0000"/>
                        </a:solidFill>
                      </a:rPr>
                    </a:br>
                    <a:r>
                      <a:rPr lang="en-US" sz="1100" baseline="0">
                        <a:solidFill>
                          <a:srgbClr val="FF0000"/>
                        </a:solidFill>
                      </a:rPr>
                      <a:t>R² = 0,9999</a:t>
                    </a:r>
                    <a:endParaRPr lang="en-US" sz="11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'Ta-Nb-V NEW Calib - RBS1 - Alfa'!$G$5:$G$9</c:f>
              <c:numCache>
                <c:formatCode>General</c:formatCode>
                <c:ptCount val="5"/>
                <c:pt idx="0">
                  <c:v>272</c:v>
                </c:pt>
                <c:pt idx="1">
                  <c:v>440</c:v>
                </c:pt>
                <c:pt idx="2">
                  <c:v>584</c:v>
                </c:pt>
                <c:pt idx="3">
                  <c:v>676</c:v>
                </c:pt>
                <c:pt idx="4">
                  <c:v>735</c:v>
                </c:pt>
              </c:numCache>
            </c:numRef>
          </c:xVal>
          <c:yVal>
            <c:numRef>
              <c:f>'Ta-Nb-V NEW Calib - RBS1 - Alfa'!$F$5:$F$9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258512"/>
        <c:axId val="-49261232"/>
      </c:scatterChart>
      <c:valAx>
        <c:axId val="-492585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49261232"/>
        <c:crosses val="autoZero"/>
        <c:crossBetween val="midCat"/>
      </c:valAx>
      <c:valAx>
        <c:axId val="-49261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492585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633</c:v>
                </c:pt>
                <c:pt idx="1">
                  <c:v>702</c:v>
                </c:pt>
                <c:pt idx="2">
                  <c:v>752</c:v>
                </c:pt>
                <c:pt idx="3">
                  <c:v>778</c:v>
                </c:pt>
                <c:pt idx="4">
                  <c:v>796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825120"/>
        <c:axId val="-55814240"/>
      </c:scatterChart>
      <c:valAx>
        <c:axId val="-558251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55814240"/>
        <c:crosses val="autoZero"/>
        <c:crossBetween val="midCat"/>
      </c:valAx>
      <c:valAx>
        <c:axId val="-55814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-558251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19300</xdr:rowOff>
    </xdr:from>
    <xdr:to>
      <xdr:col>6</xdr:col>
      <xdr:colOff>177560</xdr:colOff>
      <xdr:row>19</xdr:row>
      <xdr:rowOff>361710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304800</xdr:colOff>
      <xdr:row>2</xdr:row>
      <xdr:rowOff>12700</xdr:rowOff>
    </xdr:from>
    <xdr:to>
      <xdr:col>12</xdr:col>
      <xdr:colOff>482710</xdr:colOff>
      <xdr:row>7</xdr:row>
      <xdr:rowOff>56750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5295900" y="381000"/>
          <a:ext cx="2908410" cy="17077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19300</xdr:rowOff>
    </xdr:from>
    <xdr:to>
      <xdr:col>6</xdr:col>
      <xdr:colOff>177560</xdr:colOff>
      <xdr:row>19</xdr:row>
      <xdr:rowOff>361710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304800</xdr:colOff>
      <xdr:row>2</xdr:row>
      <xdr:rowOff>12700</xdr:rowOff>
    </xdr:from>
    <xdr:to>
      <xdr:col>12</xdr:col>
      <xdr:colOff>482710</xdr:colOff>
      <xdr:row>7</xdr:row>
      <xdr:rowOff>56750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5492750" y="387350"/>
          <a:ext cx="2908410" cy="13394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143280</xdr:colOff>
      <xdr:row>1</xdr:row>
      <xdr:rowOff>82800</xdr:rowOff>
    </xdr:from>
    <xdr:to>
      <xdr:col>15</xdr:col>
      <xdr:colOff>631990</xdr:colOff>
      <xdr:row>15</xdr:row>
      <xdr:rowOff>63260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7</xdr:col>
      <xdr:colOff>590120</xdr:colOff>
      <xdr:row>29</xdr:row>
      <xdr:rowOff>77040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311040" y="1751400"/>
          <a:ext cx="5731560" cy="3790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B28" sqref="B28:B29"/>
    </sheetView>
  </sheetViews>
  <sheetFormatPr defaultColWidth="8.54296875" defaultRowHeight="14.5" x14ac:dyDescent="0.35"/>
  <cols>
    <col min="1" max="1" width="8.26953125" customWidth="1"/>
    <col min="2" max="2" width="4.08984375" customWidth="1"/>
    <col min="3" max="3" width="15.54296875" customWidth="1"/>
    <col min="4" max="4" width="5.453125" customWidth="1"/>
    <col min="5" max="5" width="8.7265625" customWidth="1"/>
    <col min="6" max="6" width="6.6328125" customWidth="1"/>
    <col min="7" max="7" width="20.90625" customWidth="1"/>
    <col min="8" max="8" width="42.81640625" customWidth="1"/>
    <col min="9" max="9" width="14.453125" customWidth="1"/>
    <col min="10" max="10" width="18" customWidth="1"/>
    <col min="11" max="11" width="7.08984375" customWidth="1"/>
  </cols>
  <sheetData>
    <row r="1" spans="1:12" x14ac:dyDescent="0.35">
      <c r="A1" t="s">
        <v>0</v>
      </c>
      <c r="B1" t="s">
        <v>1</v>
      </c>
      <c r="H1" s="1" t="s">
        <v>2</v>
      </c>
    </row>
    <row r="3" spans="1:12" ht="29" x14ac:dyDescent="0.35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spans="1:12" x14ac:dyDescent="0.35">
      <c r="B4">
        <v>1</v>
      </c>
      <c r="C4" t="s">
        <v>10</v>
      </c>
      <c r="D4">
        <v>0</v>
      </c>
      <c r="E4">
        <v>10</v>
      </c>
      <c r="F4">
        <v>20000</v>
      </c>
      <c r="G4" t="s">
        <v>11</v>
      </c>
    </row>
    <row r="5" spans="1:12" x14ac:dyDescent="0.35">
      <c r="B5">
        <v>2</v>
      </c>
      <c r="C5" s="5" t="s">
        <v>12</v>
      </c>
      <c r="D5" s="5" t="s">
        <v>13</v>
      </c>
      <c r="E5">
        <v>21</v>
      </c>
      <c r="F5">
        <v>10000</v>
      </c>
      <c r="G5" t="s">
        <v>14</v>
      </c>
      <c r="H5" t="s">
        <v>15</v>
      </c>
    </row>
    <row r="6" spans="1:12" x14ac:dyDescent="0.35">
      <c r="B6">
        <v>3</v>
      </c>
      <c r="C6" t="s">
        <v>13</v>
      </c>
      <c r="D6" t="s">
        <v>13</v>
      </c>
      <c r="E6">
        <v>23</v>
      </c>
      <c r="F6">
        <v>10000</v>
      </c>
      <c r="G6" t="s">
        <v>14</v>
      </c>
      <c r="H6" t="s">
        <v>15</v>
      </c>
    </row>
    <row r="7" spans="1:12" x14ac:dyDescent="0.35">
      <c r="B7">
        <v>4</v>
      </c>
      <c r="C7" t="s">
        <v>13</v>
      </c>
      <c r="D7" t="s">
        <v>13</v>
      </c>
      <c r="E7">
        <v>25</v>
      </c>
      <c r="F7">
        <v>10000</v>
      </c>
      <c r="H7" t="s">
        <v>15</v>
      </c>
    </row>
    <row r="8" spans="1:12" x14ac:dyDescent="0.35">
      <c r="B8">
        <v>5</v>
      </c>
      <c r="D8" s="5" t="s">
        <v>13</v>
      </c>
      <c r="E8">
        <v>27</v>
      </c>
      <c r="F8">
        <v>10000</v>
      </c>
      <c r="H8" t="s">
        <v>15</v>
      </c>
    </row>
    <row r="9" spans="1:12" x14ac:dyDescent="0.35">
      <c r="B9">
        <v>6</v>
      </c>
      <c r="C9" t="s">
        <v>16</v>
      </c>
      <c r="E9">
        <v>36</v>
      </c>
      <c r="F9">
        <v>4000</v>
      </c>
      <c r="H9" t="s">
        <v>17</v>
      </c>
    </row>
    <row r="10" spans="1:12" x14ac:dyDescent="0.35">
      <c r="B10">
        <v>7</v>
      </c>
      <c r="C10" t="s">
        <v>13</v>
      </c>
      <c r="D10" s="5" t="s">
        <v>13</v>
      </c>
      <c r="E10">
        <v>38</v>
      </c>
      <c r="F10">
        <v>20000</v>
      </c>
      <c r="H10" t="s">
        <v>18</v>
      </c>
    </row>
    <row r="11" spans="1:12" x14ac:dyDescent="0.35">
      <c r="B11">
        <v>8</v>
      </c>
      <c r="C11" t="s">
        <v>13</v>
      </c>
      <c r="D11" t="s">
        <v>13</v>
      </c>
      <c r="E11">
        <v>44</v>
      </c>
      <c r="H11" t="s">
        <v>19</v>
      </c>
      <c r="I11" s="6"/>
      <c r="J11" s="6"/>
      <c r="K11" s="6"/>
      <c r="L11" s="6"/>
    </row>
    <row r="12" spans="1:12" x14ac:dyDescent="0.35">
      <c r="B12">
        <v>9</v>
      </c>
      <c r="C12" t="s">
        <v>13</v>
      </c>
      <c r="D12" s="5" t="s">
        <v>13</v>
      </c>
      <c r="E12">
        <v>46</v>
      </c>
      <c r="I12" s="6"/>
      <c r="J12" s="7"/>
      <c r="K12" s="6"/>
      <c r="L12" s="6"/>
    </row>
    <row r="13" spans="1:12" x14ac:dyDescent="0.35">
      <c r="B13">
        <v>10</v>
      </c>
      <c r="C13" t="s">
        <v>20</v>
      </c>
      <c r="E13">
        <v>55</v>
      </c>
      <c r="F13">
        <v>10000</v>
      </c>
      <c r="H13" t="s">
        <v>21</v>
      </c>
      <c r="I13" s="8"/>
      <c r="J13" s="7"/>
      <c r="K13" s="8"/>
      <c r="L13" s="8"/>
    </row>
    <row r="14" spans="1:12" x14ac:dyDescent="0.35">
      <c r="B14">
        <v>11</v>
      </c>
      <c r="C14" t="s">
        <v>13</v>
      </c>
      <c r="E14">
        <v>57</v>
      </c>
      <c r="F14" t="s">
        <v>13</v>
      </c>
      <c r="I14" s="8"/>
      <c r="J14" s="7"/>
      <c r="K14" s="7"/>
      <c r="L14" s="6"/>
    </row>
    <row r="15" spans="1:12" x14ac:dyDescent="0.35">
      <c r="B15">
        <v>12</v>
      </c>
      <c r="C15" t="s">
        <v>22</v>
      </c>
      <c r="E15">
        <v>66</v>
      </c>
      <c r="F15" t="s">
        <v>13</v>
      </c>
      <c r="I15" s="6"/>
      <c r="J15" s="7"/>
      <c r="K15" s="7"/>
      <c r="L15" s="6"/>
    </row>
    <row r="16" spans="1:12" x14ac:dyDescent="0.35">
      <c r="B16">
        <v>13</v>
      </c>
      <c r="E16">
        <v>68</v>
      </c>
      <c r="F16" t="s">
        <v>13</v>
      </c>
    </row>
    <row r="17" spans="1:12" x14ac:dyDescent="0.35">
      <c r="B17">
        <v>14</v>
      </c>
      <c r="E17">
        <v>65</v>
      </c>
      <c r="F17" t="s">
        <v>13</v>
      </c>
      <c r="I17" s="9"/>
      <c r="L17" s="6"/>
    </row>
    <row r="18" spans="1:12" x14ac:dyDescent="0.35">
      <c r="A18" t="s">
        <v>0</v>
      </c>
      <c r="B18" t="s">
        <v>23</v>
      </c>
      <c r="H18" t="s">
        <v>24</v>
      </c>
    </row>
    <row r="19" spans="1:12" x14ac:dyDescent="0.35">
      <c r="B19">
        <v>15</v>
      </c>
      <c r="C19" t="s">
        <v>22</v>
      </c>
      <c r="E19">
        <v>65</v>
      </c>
      <c r="F19">
        <v>10000</v>
      </c>
      <c r="G19" t="s">
        <v>25</v>
      </c>
    </row>
    <row r="20" spans="1:12" x14ac:dyDescent="0.35">
      <c r="B20">
        <v>16</v>
      </c>
      <c r="C20" t="s">
        <v>10</v>
      </c>
      <c r="D20">
        <v>0</v>
      </c>
      <c r="E20">
        <v>10</v>
      </c>
      <c r="F20">
        <v>10000</v>
      </c>
    </row>
    <row r="21" spans="1:12" x14ac:dyDescent="0.35">
      <c r="B21">
        <v>17</v>
      </c>
      <c r="C21" s="5" t="s">
        <v>12</v>
      </c>
      <c r="D21" t="s">
        <v>13</v>
      </c>
      <c r="E21">
        <v>21</v>
      </c>
      <c r="F21">
        <v>2000</v>
      </c>
      <c r="H21" t="s">
        <v>26</v>
      </c>
    </row>
    <row r="22" spans="1:12" x14ac:dyDescent="0.35">
      <c r="B22">
        <v>18</v>
      </c>
      <c r="C22" t="s">
        <v>13</v>
      </c>
      <c r="D22" t="s">
        <v>13</v>
      </c>
      <c r="E22">
        <v>23</v>
      </c>
      <c r="F22">
        <v>10000</v>
      </c>
    </row>
    <row r="23" spans="1:12" x14ac:dyDescent="0.35">
      <c r="B23">
        <v>19</v>
      </c>
      <c r="C23" t="s">
        <v>13</v>
      </c>
      <c r="D23" t="s">
        <v>13</v>
      </c>
      <c r="E23">
        <v>21</v>
      </c>
      <c r="F23">
        <v>10000</v>
      </c>
    </row>
    <row r="24" spans="1:12" x14ac:dyDescent="0.35">
      <c r="B24">
        <v>20</v>
      </c>
      <c r="C24" t="s">
        <v>13</v>
      </c>
      <c r="D24" t="s">
        <v>13</v>
      </c>
      <c r="E24">
        <v>25</v>
      </c>
      <c r="F24">
        <v>5000</v>
      </c>
    </row>
    <row r="25" spans="1:12" x14ac:dyDescent="0.35">
      <c r="B25">
        <v>21</v>
      </c>
      <c r="C25" t="s">
        <v>13</v>
      </c>
      <c r="D25" t="s">
        <v>13</v>
      </c>
      <c r="E25">
        <v>27</v>
      </c>
      <c r="F25">
        <v>5000</v>
      </c>
    </row>
    <row r="26" spans="1:12" x14ac:dyDescent="0.35">
      <c r="B26">
        <v>22</v>
      </c>
      <c r="C26" t="s">
        <v>16</v>
      </c>
      <c r="D26" t="s">
        <v>13</v>
      </c>
      <c r="E26">
        <v>44</v>
      </c>
    </row>
    <row r="27" spans="1:12" x14ac:dyDescent="0.35">
      <c r="B27">
        <v>23</v>
      </c>
      <c r="C27" t="s">
        <v>16</v>
      </c>
      <c r="D27" t="s">
        <v>13</v>
      </c>
      <c r="E27">
        <v>46</v>
      </c>
      <c r="F27">
        <v>20000</v>
      </c>
    </row>
    <row r="28" spans="1:12" x14ac:dyDescent="0.35">
      <c r="B28">
        <v>24</v>
      </c>
      <c r="C28" t="s">
        <v>20</v>
      </c>
      <c r="D28" t="s">
        <v>13</v>
      </c>
      <c r="E28">
        <v>55</v>
      </c>
      <c r="F28">
        <v>10000</v>
      </c>
    </row>
    <row r="29" spans="1:12" x14ac:dyDescent="0.35">
      <c r="B29">
        <v>25</v>
      </c>
      <c r="C29" t="s">
        <v>13</v>
      </c>
      <c r="D29" t="s">
        <v>13</v>
      </c>
      <c r="E29">
        <v>57</v>
      </c>
      <c r="F29">
        <v>10000</v>
      </c>
    </row>
    <row r="30" spans="1:12" x14ac:dyDescent="0.35">
      <c r="B30">
        <v>26</v>
      </c>
      <c r="C30" t="s">
        <v>22</v>
      </c>
      <c r="D30" t="s">
        <v>13</v>
      </c>
      <c r="E30">
        <v>66</v>
      </c>
      <c r="F30">
        <v>10000</v>
      </c>
    </row>
    <row r="31" spans="1:12" x14ac:dyDescent="0.35">
      <c r="B31">
        <v>27</v>
      </c>
      <c r="C31" t="s">
        <v>13</v>
      </c>
      <c r="D31" t="s">
        <v>13</v>
      </c>
      <c r="E31">
        <v>65</v>
      </c>
      <c r="F31">
        <v>10000</v>
      </c>
    </row>
    <row r="32" spans="1:12" x14ac:dyDescent="0.35">
      <c r="B32">
        <v>28</v>
      </c>
      <c r="C32" t="s">
        <v>13</v>
      </c>
      <c r="E32">
        <v>65</v>
      </c>
      <c r="F32">
        <v>10000</v>
      </c>
      <c r="H32" t="s">
        <v>27</v>
      </c>
    </row>
    <row r="33" spans="2:2" x14ac:dyDescent="0.35">
      <c r="B33" s="5"/>
    </row>
    <row r="34" spans="2:2" x14ac:dyDescent="0.35">
      <c r="B34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zoomScaleNormal="100" workbookViewId="0">
      <selection activeCell="F7" sqref="F7"/>
    </sheetView>
  </sheetViews>
  <sheetFormatPr defaultColWidth="8.54296875" defaultRowHeight="14.5" x14ac:dyDescent="0.35"/>
  <cols>
    <col min="1" max="1" width="13.1796875" bestFit="1" customWidth="1"/>
    <col min="5" max="5" width="12.453125" customWidth="1"/>
    <col min="6" max="6" width="11.81640625" customWidth="1"/>
    <col min="7" max="7" width="11.1796875" customWidth="1"/>
    <col min="9" max="9" width="7.81640625" bestFit="1" customWidth="1"/>
    <col min="10" max="10" width="7.36328125" bestFit="1" customWidth="1"/>
    <col min="11" max="11" width="7.81640625" customWidth="1"/>
    <col min="12" max="12" width="7.54296875" bestFit="1" customWidth="1"/>
    <col min="13" max="14" width="14.36328125" bestFit="1" customWidth="1"/>
    <col min="15" max="16" width="18.6328125" bestFit="1" customWidth="1"/>
    <col min="17" max="17" width="7.7265625" bestFit="1" customWidth="1"/>
    <col min="18" max="18" width="6.1796875" bestFit="1" customWidth="1"/>
    <col min="19" max="19" width="9.26953125" bestFit="1" customWidth="1"/>
  </cols>
  <sheetData>
    <row r="1" spans="1:18" x14ac:dyDescent="0.35">
      <c r="A1" s="56" t="s">
        <v>28</v>
      </c>
      <c r="B1" s="57">
        <v>2000</v>
      </c>
      <c r="C1" s="58" t="s">
        <v>29</v>
      </c>
    </row>
    <row r="2" spans="1:18" ht="15" thickBot="1" x14ac:dyDescent="0.4">
      <c r="A2" s="59" t="s">
        <v>61</v>
      </c>
      <c r="B2" s="60">
        <v>11.29</v>
      </c>
      <c r="C2" s="61" t="s">
        <v>47</v>
      </c>
    </row>
    <row r="3" spans="1:18" ht="15" thickBot="1" x14ac:dyDescent="0.4"/>
    <row r="4" spans="1:18" ht="43.5" x14ac:dyDescent="0.35">
      <c r="B4" s="62" t="s">
        <v>30</v>
      </c>
      <c r="C4" s="63" t="s">
        <v>31</v>
      </c>
      <c r="D4" s="64" t="s">
        <v>32</v>
      </c>
      <c r="E4" s="63" t="s">
        <v>60</v>
      </c>
      <c r="F4" s="63" t="s">
        <v>55</v>
      </c>
      <c r="G4" s="65" t="s">
        <v>35</v>
      </c>
      <c r="O4" s="46"/>
      <c r="P4" s="46"/>
    </row>
    <row r="5" spans="1:18" x14ac:dyDescent="0.35">
      <c r="B5" s="66" t="s">
        <v>36</v>
      </c>
      <c r="C5" s="67">
        <v>8</v>
      </c>
      <c r="D5" s="68">
        <v>15.999000000000001</v>
      </c>
      <c r="E5" s="25">
        <f>((SQRT(1-(4.0026/D5)^2*SIN(RADIANS(165))^2)+4.0026/D5*COS(RADIANS(165)))/(1+4.0026/D5))^2</f>
        <v>0.36591870307011926</v>
      </c>
      <c r="F5" s="69">
        <f>$B$1*E5</f>
        <v>731.8374061402385</v>
      </c>
      <c r="G5" s="70">
        <v>270</v>
      </c>
      <c r="O5" s="46"/>
    </row>
    <row r="6" spans="1:18" x14ac:dyDescent="0.35">
      <c r="B6" s="71" t="s">
        <v>37</v>
      </c>
      <c r="C6" s="23">
        <v>14</v>
      </c>
      <c r="D6" s="24">
        <v>28.085000000000001</v>
      </c>
      <c r="E6" s="72">
        <f>((SQRT(1-(4.0026/D6)^2*SIN(RADIANS(165))^2)+4.0026/D6*COS(RADIANS(165)))/(1+4.0026/D6))^2</f>
        <v>0.56878025675945543</v>
      </c>
      <c r="F6" s="26">
        <f>$B$1*E6</f>
        <v>1137.560513518911</v>
      </c>
      <c r="G6" s="27">
        <v>438</v>
      </c>
    </row>
    <row r="7" spans="1:18" x14ac:dyDescent="0.35">
      <c r="B7" s="73" t="s">
        <v>38</v>
      </c>
      <c r="C7" s="29">
        <v>23</v>
      </c>
      <c r="D7" s="30">
        <v>50.942</v>
      </c>
      <c r="E7" s="74">
        <f>((SQRT(1-(4.0026/D7)^2*SIN(RADIANS(165))^2)+4.0026/D7*COS(RADIANS(165)))/(1+4.0026/D7))^2</f>
        <v>0.7337544049093524</v>
      </c>
      <c r="F7" s="31">
        <f>$B$1*E7</f>
        <v>1467.5088098187048</v>
      </c>
      <c r="G7" s="32">
        <v>582</v>
      </c>
    </row>
    <row r="8" spans="1:18" x14ac:dyDescent="0.35">
      <c r="B8" s="75" t="s">
        <v>39</v>
      </c>
      <c r="C8" s="34">
        <v>41</v>
      </c>
      <c r="D8" s="35">
        <v>92.906000000000006</v>
      </c>
      <c r="E8" s="76">
        <f>((SQRT(1-(4.0026/D8)^2*SIN(RADIANS(165))^2)+4.0026/D8*COS(RADIANS(165)))/(1+4.0026/D8))^2</f>
        <v>0.84408702273631764</v>
      </c>
      <c r="F8" s="36">
        <f>$B$1*E8</f>
        <v>1688.1740454726353</v>
      </c>
      <c r="G8" s="37">
        <v>674</v>
      </c>
    </row>
    <row r="9" spans="1:18" ht="15" thickBot="1" x14ac:dyDescent="0.4">
      <c r="B9" s="77" t="s">
        <v>40</v>
      </c>
      <c r="C9" s="39">
        <v>73</v>
      </c>
      <c r="D9" s="40">
        <v>180.95</v>
      </c>
      <c r="E9" s="78">
        <f>((SQRT(1-(4.0026/D9)^2*SIN(RADIANS(165))^2)+4.0026/D9*COS(RADIANS(165)))/(1+4.0026/D9))^2</f>
        <v>0.91668930866242726</v>
      </c>
      <c r="F9" s="42">
        <f>$B$1*E9</f>
        <v>1833.3786173248545</v>
      </c>
      <c r="G9" s="43">
        <v>733</v>
      </c>
    </row>
    <row r="10" spans="1:18" ht="15" thickBot="1" x14ac:dyDescent="0.4">
      <c r="B10" s="79" t="s">
        <v>46</v>
      </c>
      <c r="C10" s="80">
        <v>82</v>
      </c>
      <c r="D10" s="80">
        <v>207.2</v>
      </c>
      <c r="E10" s="81">
        <f>((SQRT(1-(4.0026/D10)^2*SIN(RADIANS(165))^2)+4.0026/D10*COS(RADIANS(165)))/(1+4.0026/D10))^2</f>
        <v>0.92685011433311859</v>
      </c>
      <c r="F10" s="82">
        <f>$B$1*E10</f>
        <v>1853.7002286662371</v>
      </c>
      <c r="G10" s="83">
        <f>(F10-94.322)/2.3681</f>
        <v>742.94929634147081</v>
      </c>
    </row>
    <row r="11" spans="1:18" ht="44" thickBot="1" x14ac:dyDescent="0.4">
      <c r="I11" s="47"/>
      <c r="J11" s="95" t="s">
        <v>49</v>
      </c>
      <c r="K11" s="96" t="s">
        <v>50</v>
      </c>
      <c r="L11" s="96" t="s">
        <v>41</v>
      </c>
      <c r="M11" s="96" t="s">
        <v>45</v>
      </c>
      <c r="N11" s="96" t="s">
        <v>56</v>
      </c>
      <c r="O11" s="96" t="s">
        <v>48</v>
      </c>
      <c r="P11" s="96" t="s">
        <v>57</v>
      </c>
      <c r="Q11" s="97" t="s">
        <v>43</v>
      </c>
      <c r="R11" s="98" t="s">
        <v>44</v>
      </c>
    </row>
    <row r="12" spans="1:18" ht="29" x14ac:dyDescent="0.35">
      <c r="I12" s="89" t="s">
        <v>51</v>
      </c>
      <c r="J12" s="99">
        <v>743</v>
      </c>
      <c r="K12" s="91">
        <v>560</v>
      </c>
      <c r="L12" s="92">
        <f>(J12-K12)*2.3681</f>
        <v>433.3623</v>
      </c>
      <c r="M12" s="91">
        <v>349.1</v>
      </c>
      <c r="N12" s="102">
        <f>M12*$B$2/10</f>
        <v>394.13389999999998</v>
      </c>
      <c r="O12" s="91">
        <v>359</v>
      </c>
      <c r="P12" s="103">
        <f>O12*$B$2/10</f>
        <v>405.31099999999998</v>
      </c>
      <c r="Q12" s="93">
        <f>(($E$10/COS(RADIANS(0))*N12)+(1/COS(RADIANS(15)*P12)))</f>
        <v>366.6149160882843</v>
      </c>
      <c r="R12" s="94">
        <f>L12*10^3/Q12</f>
        <v>1182.0640158995666</v>
      </c>
    </row>
    <row r="13" spans="1:18" ht="29" x14ac:dyDescent="0.35">
      <c r="G13" s="11"/>
      <c r="H13" s="11"/>
      <c r="I13" s="101" t="s">
        <v>52</v>
      </c>
      <c r="J13" s="100">
        <v>745</v>
      </c>
      <c r="K13" s="48">
        <v>539</v>
      </c>
      <c r="L13" s="49">
        <f t="shared" ref="L13:L15" si="0">(J13-K13)*2.3681</f>
        <v>487.82859999999999</v>
      </c>
      <c r="M13" s="48">
        <v>349.1</v>
      </c>
      <c r="N13" s="54">
        <f t="shared" ref="N13:N15" si="1">M13*$B$2/10</f>
        <v>394.13389999999998</v>
      </c>
      <c r="O13" s="48">
        <v>359</v>
      </c>
      <c r="P13" s="55">
        <f t="shared" ref="P13:P15" si="2">O13*$B$2/10</f>
        <v>405.31099999999998</v>
      </c>
      <c r="Q13" s="50">
        <f>(($E$10/COS(RADIANS(0))*N13)+(1/COS(RADIANS(15)*P13)))</f>
        <v>366.6149160882843</v>
      </c>
      <c r="R13" s="86">
        <f>L13*10^3/Q13</f>
        <v>1330.6294386629002</v>
      </c>
    </row>
    <row r="14" spans="1:18" ht="29" x14ac:dyDescent="0.35">
      <c r="I14" s="101" t="s">
        <v>53</v>
      </c>
      <c r="J14" s="100">
        <v>746</v>
      </c>
      <c r="K14" s="48">
        <v>564</v>
      </c>
      <c r="L14" s="49">
        <f t="shared" ref="L14" si="3">(J14-K14)*2.3681</f>
        <v>430.99420000000003</v>
      </c>
      <c r="M14" s="48">
        <v>349.1</v>
      </c>
      <c r="N14" s="54">
        <f t="shared" si="1"/>
        <v>394.13389999999998</v>
      </c>
      <c r="O14" s="48">
        <v>359</v>
      </c>
      <c r="P14" s="55">
        <f t="shared" si="2"/>
        <v>405.31099999999998</v>
      </c>
      <c r="Q14" s="50">
        <f>(($E$10/COS(RADIANS(0))*N14)+(1/COS(RADIANS(15)*P14)))</f>
        <v>366.6149160882843</v>
      </c>
      <c r="R14" s="86">
        <f>L14*10^3/Q14</f>
        <v>1175.6046496924653</v>
      </c>
    </row>
    <row r="15" spans="1:18" ht="29.5" thickBot="1" x14ac:dyDescent="0.4">
      <c r="I15" s="90" t="s">
        <v>54</v>
      </c>
      <c r="J15" s="88">
        <v>745</v>
      </c>
      <c r="K15" s="51">
        <v>561</v>
      </c>
      <c r="L15" s="52">
        <f t="shared" si="0"/>
        <v>435.73040000000003</v>
      </c>
      <c r="M15" s="51">
        <v>349.1</v>
      </c>
      <c r="N15" s="84">
        <f t="shared" si="1"/>
        <v>394.13389999999998</v>
      </c>
      <c r="O15" s="51">
        <v>359</v>
      </c>
      <c r="P15" s="85">
        <f t="shared" si="2"/>
        <v>405.31099999999998</v>
      </c>
      <c r="Q15" s="53">
        <f>(($E$10/COS(RADIANS(0))*N15)+(1/COS(RADIANS(15)*P15)))</f>
        <v>366.6149160882843</v>
      </c>
      <c r="R15" s="87">
        <f>L15*10^3/Q15</f>
        <v>1188.5233821066681</v>
      </c>
    </row>
    <row r="17" spans="9:18" ht="15" thickBot="1" x14ac:dyDescent="0.4"/>
    <row r="18" spans="9:18" ht="44" thickBot="1" x14ac:dyDescent="0.4">
      <c r="I18" s="47"/>
      <c r="J18" s="95" t="s">
        <v>49</v>
      </c>
      <c r="K18" s="96" t="s">
        <v>50</v>
      </c>
      <c r="L18" s="96" t="s">
        <v>41</v>
      </c>
      <c r="M18" s="96" t="s">
        <v>45</v>
      </c>
      <c r="N18" s="96" t="s">
        <v>56</v>
      </c>
      <c r="O18" s="96" t="s">
        <v>48</v>
      </c>
      <c r="P18" s="96" t="s">
        <v>57</v>
      </c>
      <c r="Q18" s="97" t="s">
        <v>43</v>
      </c>
      <c r="R18" s="98" t="s">
        <v>44</v>
      </c>
    </row>
    <row r="19" spans="9:18" ht="29" x14ac:dyDescent="0.35">
      <c r="I19" s="89" t="s">
        <v>58</v>
      </c>
      <c r="J19" s="99">
        <v>739</v>
      </c>
      <c r="K19" s="91">
        <v>530</v>
      </c>
      <c r="L19" s="92">
        <f>(J19-K19)*2.3681</f>
        <v>494.93290000000002</v>
      </c>
      <c r="M19" s="91">
        <v>349.1</v>
      </c>
      <c r="N19" s="91">
        <f>M19*$B$2/10</f>
        <v>394.13389999999998</v>
      </c>
      <c r="O19" s="91">
        <v>359</v>
      </c>
      <c r="P19" s="91">
        <f>O19*$B$2/10</f>
        <v>405.31099999999998</v>
      </c>
      <c r="Q19" s="93">
        <f>(($E$10/COS(RADIANS(0))*N19)+(1/COS(RADIANS(15)*P19)))</f>
        <v>366.6149160882843</v>
      </c>
      <c r="R19" s="94">
        <f>L19*10^3/Q19</f>
        <v>1350.0075372842045</v>
      </c>
    </row>
    <row r="20" spans="9:18" ht="29.5" thickBot="1" x14ac:dyDescent="0.4">
      <c r="I20" s="90" t="s">
        <v>59</v>
      </c>
      <c r="J20" s="105">
        <v>730</v>
      </c>
      <c r="K20" s="106">
        <v>390</v>
      </c>
      <c r="L20" s="52">
        <f t="shared" ref="L20" si="4">(J20-K20)*2.3681</f>
        <v>805.154</v>
      </c>
      <c r="M20" s="51">
        <v>349.1</v>
      </c>
      <c r="N20" s="51">
        <f t="shared" ref="N20" si="5">M20*$B$2/10</f>
        <v>394.13389999999998</v>
      </c>
      <c r="O20" s="51">
        <v>359</v>
      </c>
      <c r="P20" s="51">
        <f t="shared" ref="P20" si="6">O20*$B$2/10</f>
        <v>405.31099999999998</v>
      </c>
      <c r="Q20" s="53">
        <f>(($E$10/COS(RADIANS(0))*N20)+(1/COS(RADIANS(15)*P20)))</f>
        <v>366.6149160882843</v>
      </c>
      <c r="R20" s="87">
        <f>L20*10^3/Q20</f>
        <v>2196.1845104144954</v>
      </c>
    </row>
    <row r="22" spans="9:18" ht="15" thickBot="1" x14ac:dyDescent="0.4"/>
    <row r="23" spans="9:18" ht="44" thickBot="1" x14ac:dyDescent="0.4">
      <c r="I23" s="47"/>
      <c r="J23" s="95" t="s">
        <v>49</v>
      </c>
      <c r="K23" s="96" t="s">
        <v>50</v>
      </c>
      <c r="L23" s="96" t="s">
        <v>41</v>
      </c>
      <c r="M23" s="96" t="s">
        <v>45</v>
      </c>
      <c r="N23" s="96" t="s">
        <v>56</v>
      </c>
      <c r="O23" s="96" t="s">
        <v>48</v>
      </c>
      <c r="P23" s="96" t="s">
        <v>57</v>
      </c>
      <c r="Q23" s="97" t="s">
        <v>43</v>
      </c>
      <c r="R23" s="98" t="s">
        <v>44</v>
      </c>
    </row>
    <row r="24" spans="9:18" ht="29" x14ac:dyDescent="0.35">
      <c r="I24" s="89" t="s">
        <v>63</v>
      </c>
      <c r="J24" s="104">
        <v>744</v>
      </c>
      <c r="K24" s="91">
        <v>500</v>
      </c>
      <c r="L24" s="92">
        <f>(J25-K24)*2.3681</f>
        <v>575.44830000000002</v>
      </c>
      <c r="M24" s="91">
        <v>349.1</v>
      </c>
      <c r="N24" s="91">
        <f>M24*$B$2/10</f>
        <v>394.13389999999998</v>
      </c>
      <c r="O24" s="91">
        <v>359</v>
      </c>
      <c r="P24" s="91">
        <f>O24*$B$2/10</f>
        <v>405.31099999999998</v>
      </c>
      <c r="Q24" s="93">
        <f>(($E$10/COS(RADIANS(0))*N24)+(1/COS(RADIANS(15)*P24)))</f>
        <v>366.6149160882843</v>
      </c>
      <c r="R24" s="94">
        <f>L24*10^3/Q24</f>
        <v>1569.6259883256541</v>
      </c>
    </row>
    <row r="25" spans="9:18" ht="29.5" thickBot="1" x14ac:dyDescent="0.4">
      <c r="I25" s="90" t="s">
        <v>62</v>
      </c>
      <c r="J25" s="88">
        <v>743</v>
      </c>
      <c r="K25" s="51">
        <v>510</v>
      </c>
      <c r="L25" s="52">
        <f>(J25-K25)*2.3681</f>
        <v>551.76729999999998</v>
      </c>
      <c r="M25" s="51">
        <v>349.1</v>
      </c>
      <c r="N25" s="51">
        <f t="shared" ref="N25" si="7">M25*$B$2/10</f>
        <v>394.13389999999998</v>
      </c>
      <c r="O25" s="51">
        <v>359</v>
      </c>
      <c r="P25" s="51">
        <f t="shared" ref="P25" si="8">O25*$B$2/10</f>
        <v>405.31099999999998</v>
      </c>
      <c r="Q25" s="53">
        <f>(($E$10/COS(RADIANS(0))*N25)+(1/COS(RADIANS(15)*P25)))</f>
        <v>366.6149160882843</v>
      </c>
      <c r="R25" s="87">
        <f>L25*10^3/Q25</f>
        <v>1505.0323262546394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topLeftCell="A6" zoomScaleNormal="100" workbookViewId="0">
      <selection activeCell="G12" sqref="G12"/>
    </sheetView>
  </sheetViews>
  <sheetFormatPr defaultColWidth="8.54296875" defaultRowHeight="14.5" x14ac:dyDescent="0.35"/>
  <cols>
    <col min="1" max="1" width="13.1796875" bestFit="1" customWidth="1"/>
    <col min="5" max="5" width="12.453125" customWidth="1"/>
    <col min="6" max="6" width="11.81640625" customWidth="1"/>
    <col min="7" max="7" width="11.1796875" customWidth="1"/>
    <col min="9" max="9" width="7.81640625" bestFit="1" customWidth="1"/>
    <col min="10" max="10" width="7.36328125" bestFit="1" customWidth="1"/>
    <col min="11" max="11" width="7.81640625" customWidth="1"/>
    <col min="12" max="12" width="7.54296875" bestFit="1" customWidth="1"/>
    <col min="13" max="14" width="14.36328125" bestFit="1" customWidth="1"/>
    <col min="15" max="16" width="18.6328125" bestFit="1" customWidth="1"/>
    <col min="17" max="17" width="7.7265625" bestFit="1" customWidth="1"/>
    <col min="18" max="18" width="6.1796875" bestFit="1" customWidth="1"/>
    <col min="19" max="19" width="9.26953125" bestFit="1" customWidth="1"/>
  </cols>
  <sheetData>
    <row r="1" spans="1:18" x14ac:dyDescent="0.35">
      <c r="A1" s="56" t="s">
        <v>28</v>
      </c>
      <c r="B1" s="57">
        <v>2000</v>
      </c>
      <c r="C1" s="58" t="s">
        <v>29</v>
      </c>
    </row>
    <row r="2" spans="1:18" ht="15" thickBot="1" x14ac:dyDescent="0.4">
      <c r="A2" s="59" t="s">
        <v>61</v>
      </c>
      <c r="B2" s="60">
        <v>11.29</v>
      </c>
      <c r="C2" s="61" t="s">
        <v>47</v>
      </c>
    </row>
    <row r="3" spans="1:18" ht="15" thickBot="1" x14ac:dyDescent="0.4"/>
    <row r="4" spans="1:18" ht="43.5" x14ac:dyDescent="0.35">
      <c r="B4" s="62" t="s">
        <v>30</v>
      </c>
      <c r="C4" s="63" t="s">
        <v>31</v>
      </c>
      <c r="D4" s="64" t="s">
        <v>32</v>
      </c>
      <c r="E4" s="63" t="s">
        <v>60</v>
      </c>
      <c r="F4" s="63" t="s">
        <v>55</v>
      </c>
      <c r="G4" s="65" t="s">
        <v>35</v>
      </c>
      <c r="O4" s="46"/>
      <c r="P4" s="46"/>
    </row>
    <row r="5" spans="1:18" x14ac:dyDescent="0.35">
      <c r="B5" s="66" t="s">
        <v>36</v>
      </c>
      <c r="C5" s="67">
        <v>8</v>
      </c>
      <c r="D5" s="68">
        <v>15.999000000000001</v>
      </c>
      <c r="E5" s="25">
        <f>((SQRT(1-(4.0026/D5)^2*SIN(RADIANS(165))^2)+4.0026/D5*COS(RADIANS(165)))/(1+4.0026/D5))^2</f>
        <v>0.36591870307011926</v>
      </c>
      <c r="F5" s="69">
        <f>$B$1*E5</f>
        <v>731.8374061402385</v>
      </c>
      <c r="G5" s="70">
        <v>272</v>
      </c>
      <c r="O5" s="46"/>
    </row>
    <row r="6" spans="1:18" x14ac:dyDescent="0.35">
      <c r="B6" s="71" t="s">
        <v>37</v>
      </c>
      <c r="C6" s="23">
        <v>14</v>
      </c>
      <c r="D6" s="24">
        <v>28.085000000000001</v>
      </c>
      <c r="E6" s="72">
        <f>((SQRT(1-(4.0026/D6)^2*SIN(RADIANS(165))^2)+4.0026/D6*COS(RADIANS(165)))/(1+4.0026/D6))^2</f>
        <v>0.56878025675945543</v>
      </c>
      <c r="F6" s="26">
        <f>$B$1*E6</f>
        <v>1137.560513518911</v>
      </c>
      <c r="G6" s="27">
        <v>440</v>
      </c>
    </row>
    <row r="7" spans="1:18" x14ac:dyDescent="0.35">
      <c r="B7" s="73" t="s">
        <v>38</v>
      </c>
      <c r="C7" s="29">
        <v>23</v>
      </c>
      <c r="D7" s="30">
        <v>50.942</v>
      </c>
      <c r="E7" s="74">
        <f>((SQRT(1-(4.0026/D7)^2*SIN(RADIANS(165))^2)+4.0026/D7*COS(RADIANS(165)))/(1+4.0026/D7))^2</f>
        <v>0.7337544049093524</v>
      </c>
      <c r="F7" s="31">
        <f>$B$1*E7</f>
        <v>1467.5088098187048</v>
      </c>
      <c r="G7" s="32">
        <v>584</v>
      </c>
    </row>
    <row r="8" spans="1:18" x14ac:dyDescent="0.35">
      <c r="B8" s="75" t="s">
        <v>39</v>
      </c>
      <c r="C8" s="34">
        <v>41</v>
      </c>
      <c r="D8" s="35">
        <v>92.906000000000006</v>
      </c>
      <c r="E8" s="76">
        <f>((SQRT(1-(4.0026/D8)^2*SIN(RADIANS(165))^2)+4.0026/D8*COS(RADIANS(165)))/(1+4.0026/D8))^2</f>
        <v>0.84408702273631764</v>
      </c>
      <c r="F8" s="36">
        <f>$B$1*E8</f>
        <v>1688.1740454726353</v>
      </c>
      <c r="G8" s="37">
        <v>676</v>
      </c>
    </row>
    <row r="9" spans="1:18" ht="15" thickBot="1" x14ac:dyDescent="0.4">
      <c r="B9" s="77" t="s">
        <v>40</v>
      </c>
      <c r="C9" s="39">
        <v>73</v>
      </c>
      <c r="D9" s="40">
        <v>180.95</v>
      </c>
      <c r="E9" s="78">
        <f>((SQRT(1-(4.0026/D9)^2*SIN(RADIANS(165))^2)+4.0026/D9*COS(RADIANS(165)))/(1+4.0026/D9))^2</f>
        <v>0.91668930866242726</v>
      </c>
      <c r="F9" s="42">
        <f>$B$1*E9</f>
        <v>1833.3786173248545</v>
      </c>
      <c r="G9" s="43">
        <v>735</v>
      </c>
    </row>
    <row r="10" spans="1:18" ht="15" thickBot="1" x14ac:dyDescent="0.4">
      <c r="B10" s="79" t="s">
        <v>46</v>
      </c>
      <c r="C10" s="80">
        <v>82</v>
      </c>
      <c r="D10" s="80">
        <v>207.2</v>
      </c>
      <c r="E10" s="81">
        <f>((SQRT(1-(4.0026/D10)^2*SIN(RADIANS(165))^2)+4.0026/D10*COS(RADIANS(165)))/(1+4.0026/D10))^2</f>
        <v>0.92685011433311859</v>
      </c>
      <c r="F10" s="82">
        <f>$B$1*E10</f>
        <v>1853.7002286662371</v>
      </c>
      <c r="G10" s="83">
        <f>(F10-94.322)/2.3681</f>
        <v>742.94929634147081</v>
      </c>
    </row>
    <row r="11" spans="1:18" ht="44" thickBot="1" x14ac:dyDescent="0.4">
      <c r="I11" s="47"/>
      <c r="J11" s="95" t="s">
        <v>49</v>
      </c>
      <c r="K11" s="96" t="s">
        <v>50</v>
      </c>
      <c r="L11" s="96" t="s">
        <v>41</v>
      </c>
      <c r="M11" s="96" t="s">
        <v>45</v>
      </c>
      <c r="N11" s="96" t="s">
        <v>56</v>
      </c>
      <c r="O11" s="96" t="s">
        <v>48</v>
      </c>
      <c r="P11" s="96" t="s">
        <v>57</v>
      </c>
      <c r="Q11" s="97" t="s">
        <v>43</v>
      </c>
      <c r="R11" s="98" t="s">
        <v>44</v>
      </c>
    </row>
    <row r="12" spans="1:18" ht="29" x14ac:dyDescent="0.35">
      <c r="I12" s="89" t="s">
        <v>51</v>
      </c>
      <c r="J12" s="99">
        <v>743</v>
      </c>
      <c r="K12" s="91">
        <v>560</v>
      </c>
      <c r="L12" s="92">
        <f>(J12-K12)*2.3681</f>
        <v>433.3623</v>
      </c>
      <c r="M12" s="91">
        <v>349.1</v>
      </c>
      <c r="N12" s="102">
        <f>M12*$B$2/10</f>
        <v>394.13389999999998</v>
      </c>
      <c r="O12" s="91">
        <v>359</v>
      </c>
      <c r="P12" s="103">
        <f>O12*$B$2/10</f>
        <v>405.31099999999998</v>
      </c>
      <c r="Q12" s="93">
        <f>(($E$10/COS(RADIANS(0))*N12)+(1/COS(RADIANS(15)*P12)))</f>
        <v>366.6149160882843</v>
      </c>
      <c r="R12" s="94">
        <f>L12*10^3/Q12</f>
        <v>1182.0640158995666</v>
      </c>
    </row>
    <row r="13" spans="1:18" ht="29" x14ac:dyDescent="0.35">
      <c r="G13" s="11"/>
      <c r="H13" s="11"/>
      <c r="I13" s="101" t="s">
        <v>52</v>
      </c>
      <c r="J13" s="100">
        <v>745</v>
      </c>
      <c r="K13" s="48">
        <v>539</v>
      </c>
      <c r="L13" s="49">
        <f t="shared" ref="L13:L15" si="0">(J13-K13)*2.3681</f>
        <v>487.82859999999999</v>
      </c>
      <c r="M13" s="48">
        <v>349.1</v>
      </c>
      <c r="N13" s="54">
        <f t="shared" ref="N13:N15" si="1">M13*$B$2/10</f>
        <v>394.13389999999998</v>
      </c>
      <c r="O13" s="48">
        <v>359</v>
      </c>
      <c r="P13" s="55">
        <f t="shared" ref="P13:P15" si="2">O13*$B$2/10</f>
        <v>405.31099999999998</v>
      </c>
      <c r="Q13" s="50">
        <f>(($E$10/COS(RADIANS(0))*N13)+(1/COS(RADIANS(15)*P13)))</f>
        <v>366.6149160882843</v>
      </c>
      <c r="R13" s="86">
        <f>L13*10^3/Q13</f>
        <v>1330.6294386629002</v>
      </c>
    </row>
    <row r="14" spans="1:18" ht="29" x14ac:dyDescent="0.35">
      <c r="I14" s="101" t="s">
        <v>53</v>
      </c>
      <c r="J14" s="100">
        <v>746</v>
      </c>
      <c r="K14" s="48">
        <v>564</v>
      </c>
      <c r="L14" s="49">
        <f t="shared" si="0"/>
        <v>430.99420000000003</v>
      </c>
      <c r="M14" s="48">
        <v>349.1</v>
      </c>
      <c r="N14" s="54">
        <f t="shared" si="1"/>
        <v>394.13389999999998</v>
      </c>
      <c r="O14" s="48">
        <v>359</v>
      </c>
      <c r="P14" s="55">
        <f t="shared" si="2"/>
        <v>405.31099999999998</v>
      </c>
      <c r="Q14" s="50">
        <f>(($E$10/COS(RADIANS(0))*N14)+(1/COS(RADIANS(15)*P14)))</f>
        <v>366.6149160882843</v>
      </c>
      <c r="R14" s="86">
        <f>L14*10^3/Q14</f>
        <v>1175.6046496924653</v>
      </c>
    </row>
    <row r="15" spans="1:18" ht="29.5" thickBot="1" x14ac:dyDescent="0.4">
      <c r="I15" s="90" t="s">
        <v>54</v>
      </c>
      <c r="J15" s="88">
        <v>745</v>
      </c>
      <c r="K15" s="51">
        <v>561</v>
      </c>
      <c r="L15" s="52">
        <f t="shared" si="0"/>
        <v>435.73040000000003</v>
      </c>
      <c r="M15" s="51">
        <v>349.1</v>
      </c>
      <c r="N15" s="84">
        <f t="shared" si="1"/>
        <v>394.13389999999998</v>
      </c>
      <c r="O15" s="51">
        <v>359</v>
      </c>
      <c r="P15" s="85">
        <f t="shared" si="2"/>
        <v>405.31099999999998</v>
      </c>
      <c r="Q15" s="53">
        <f>(($E$10/COS(RADIANS(0))*N15)+(1/COS(RADIANS(15)*P15)))</f>
        <v>366.6149160882843</v>
      </c>
      <c r="R15" s="87">
        <f>L15*10^3/Q15</f>
        <v>1188.5233821066681</v>
      </c>
    </row>
    <row r="17" spans="9:18" ht="15" thickBot="1" x14ac:dyDescent="0.4"/>
    <row r="18" spans="9:18" ht="44" thickBot="1" x14ac:dyDescent="0.4">
      <c r="I18" s="47"/>
      <c r="J18" s="95" t="s">
        <v>49</v>
      </c>
      <c r="K18" s="96" t="s">
        <v>50</v>
      </c>
      <c r="L18" s="96" t="s">
        <v>41</v>
      </c>
      <c r="M18" s="96" t="s">
        <v>45</v>
      </c>
      <c r="N18" s="96" t="s">
        <v>56</v>
      </c>
      <c r="O18" s="96" t="s">
        <v>48</v>
      </c>
      <c r="P18" s="96" t="s">
        <v>57</v>
      </c>
      <c r="Q18" s="97" t="s">
        <v>43</v>
      </c>
      <c r="R18" s="98" t="s">
        <v>44</v>
      </c>
    </row>
    <row r="19" spans="9:18" ht="29" x14ac:dyDescent="0.35">
      <c r="I19" s="89" t="s">
        <v>58</v>
      </c>
      <c r="J19" s="99">
        <v>739</v>
      </c>
      <c r="K19" s="91">
        <v>530</v>
      </c>
      <c r="L19" s="92">
        <f>(J19-K19)*2.3681</f>
        <v>494.93290000000002</v>
      </c>
      <c r="M19" s="91">
        <v>349.1</v>
      </c>
      <c r="N19" s="91">
        <f>M19*$B$2/10</f>
        <v>394.13389999999998</v>
      </c>
      <c r="O19" s="91">
        <v>359</v>
      </c>
      <c r="P19" s="91">
        <f>O19*$B$2/10</f>
        <v>405.31099999999998</v>
      </c>
      <c r="Q19" s="93">
        <f>(($E$10/COS(RADIANS(0))*N19)+(1/COS(RADIANS(15)*P19)))</f>
        <v>366.6149160882843</v>
      </c>
      <c r="R19" s="94">
        <f>L19*10^3/Q19</f>
        <v>1350.0075372842045</v>
      </c>
    </row>
    <row r="20" spans="9:18" ht="29.5" thickBot="1" x14ac:dyDescent="0.4">
      <c r="I20" s="90" t="s">
        <v>59</v>
      </c>
      <c r="J20" s="105">
        <v>730</v>
      </c>
      <c r="K20" s="106">
        <v>390</v>
      </c>
      <c r="L20" s="52">
        <f t="shared" ref="L20" si="3">(J20-K20)*2.3681</f>
        <v>805.154</v>
      </c>
      <c r="M20" s="51">
        <v>349.1</v>
      </c>
      <c r="N20" s="51">
        <f t="shared" ref="N20" si="4">M20*$B$2/10</f>
        <v>394.13389999999998</v>
      </c>
      <c r="O20" s="51">
        <v>359</v>
      </c>
      <c r="P20" s="51">
        <f t="shared" ref="P20" si="5">O20*$B$2/10</f>
        <v>405.31099999999998</v>
      </c>
      <c r="Q20" s="53">
        <f>(($E$10/COS(RADIANS(0))*N20)+(1/COS(RADIANS(15)*P20)))</f>
        <v>366.6149160882843</v>
      </c>
      <c r="R20" s="87">
        <f>L20*10^3/Q20</f>
        <v>2196.1845104144954</v>
      </c>
    </row>
    <row r="22" spans="9:18" ht="15" thickBot="1" x14ac:dyDescent="0.4"/>
    <row r="23" spans="9:18" ht="44" thickBot="1" x14ac:dyDescent="0.4">
      <c r="I23" s="47"/>
      <c r="J23" s="95" t="s">
        <v>49</v>
      </c>
      <c r="K23" s="96" t="s">
        <v>50</v>
      </c>
      <c r="L23" s="96" t="s">
        <v>41</v>
      </c>
      <c r="M23" s="96" t="s">
        <v>45</v>
      </c>
      <c r="N23" s="96" t="s">
        <v>56</v>
      </c>
      <c r="O23" s="96" t="s">
        <v>48</v>
      </c>
      <c r="P23" s="96" t="s">
        <v>57</v>
      </c>
      <c r="Q23" s="97" t="s">
        <v>43</v>
      </c>
      <c r="R23" s="98" t="s">
        <v>44</v>
      </c>
    </row>
    <row r="24" spans="9:18" ht="29" x14ac:dyDescent="0.35">
      <c r="I24" s="89" t="s">
        <v>63</v>
      </c>
      <c r="J24" s="104">
        <v>744</v>
      </c>
      <c r="K24" s="91">
        <v>500</v>
      </c>
      <c r="L24" s="92">
        <f>(J25-K24)*2.3681</f>
        <v>575.44830000000002</v>
      </c>
      <c r="M24" s="91">
        <v>349.1</v>
      </c>
      <c r="N24" s="91">
        <f>M24*$B$2/10</f>
        <v>394.13389999999998</v>
      </c>
      <c r="O24" s="91">
        <v>359</v>
      </c>
      <c r="P24" s="91">
        <f>O24*$B$2/10</f>
        <v>405.31099999999998</v>
      </c>
      <c r="Q24" s="93">
        <f>(($E$10/COS(RADIANS(0))*N24)+(1/COS(RADIANS(15)*P24)))</f>
        <v>366.6149160882843</v>
      </c>
      <c r="R24" s="94">
        <f>L24*10^3/Q24</f>
        <v>1569.6259883256541</v>
      </c>
    </row>
    <row r="25" spans="9:18" ht="29.5" thickBot="1" x14ac:dyDescent="0.4">
      <c r="I25" s="90" t="s">
        <v>62</v>
      </c>
      <c r="J25" s="88">
        <v>743</v>
      </c>
      <c r="K25" s="51">
        <v>510</v>
      </c>
      <c r="L25" s="52">
        <f>(J25-K25)*2.3681</f>
        <v>551.76729999999998</v>
      </c>
      <c r="M25" s="51">
        <v>349.1</v>
      </c>
      <c r="N25" s="51">
        <f t="shared" ref="N25" si="6">M25*$B$2/10</f>
        <v>394.13389999999998</v>
      </c>
      <c r="O25" s="51">
        <v>359</v>
      </c>
      <c r="P25" s="51">
        <f t="shared" ref="P25" si="7">O25*$B$2/10</f>
        <v>405.31099999999998</v>
      </c>
      <c r="Q25" s="53">
        <f>(($E$10/COS(RADIANS(0))*N25)+(1/COS(RADIANS(15)*P25)))</f>
        <v>366.6149160882843</v>
      </c>
      <c r="R25" s="87">
        <f>L25*10^3/Q25</f>
        <v>1505.0323262546394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3" zoomScaleNormal="100" workbookViewId="0">
      <selection activeCell="J17" sqref="J17:Q21"/>
    </sheetView>
  </sheetViews>
  <sheetFormatPr defaultColWidth="8.54296875" defaultRowHeight="14.5" x14ac:dyDescent="0.35"/>
  <cols>
    <col min="5" max="5" width="12.453125" customWidth="1"/>
    <col min="6" max="6" width="9.08984375" customWidth="1"/>
    <col min="7" max="7" width="11.1796875" customWidth="1"/>
    <col min="10" max="10" width="15.36328125" customWidth="1"/>
    <col min="11" max="11" width="8.7265625" customWidth="1"/>
    <col min="12" max="12" width="8.6328125" customWidth="1"/>
    <col min="13" max="13" width="10.1796875" customWidth="1"/>
    <col min="14" max="14" width="14.6328125" customWidth="1"/>
    <col min="15" max="15" width="18.6328125" bestFit="1" customWidth="1"/>
    <col min="16" max="16" width="10" customWidth="1"/>
    <col min="17" max="17" width="5.26953125" customWidth="1"/>
  </cols>
  <sheetData>
    <row r="1" spans="1:10" ht="15" thickBot="1" x14ac:dyDescent="0.4">
      <c r="A1" s="10" t="s">
        <v>28</v>
      </c>
      <c r="B1" s="10">
        <v>2000</v>
      </c>
      <c r="C1" s="10" t="s">
        <v>29</v>
      </c>
    </row>
    <row r="2" spans="1:10" ht="15" thickBot="1" x14ac:dyDescent="0.4">
      <c r="G2" s="44" t="s">
        <v>42</v>
      </c>
    </row>
    <row r="3" spans="1:10" ht="29" x14ac:dyDescent="0.35">
      <c r="C3" s="16" t="s">
        <v>30</v>
      </c>
      <c r="D3" s="17" t="s">
        <v>31</v>
      </c>
      <c r="E3" s="18" t="s">
        <v>32</v>
      </c>
      <c r="F3" s="17" t="s">
        <v>33</v>
      </c>
      <c r="G3" s="17" t="s">
        <v>34</v>
      </c>
      <c r="H3" s="19" t="s">
        <v>35</v>
      </c>
    </row>
    <row r="4" spans="1:10" x14ac:dyDescent="0.35">
      <c r="C4" s="20" t="s">
        <v>36</v>
      </c>
      <c r="D4" s="12">
        <v>8</v>
      </c>
      <c r="E4" s="13">
        <v>15.999000000000001</v>
      </c>
      <c r="F4" s="14">
        <f>((SQRT(1-(1/E4)^2*SIN(RADIANS(165))^2)+1/E4*COS(RADIANS(165)))/(1+1/E4))^2</f>
        <v>0.78185798881983415</v>
      </c>
      <c r="G4" s="15">
        <f>$B$1*F4</f>
        <v>1563.7159776396684</v>
      </c>
      <c r="H4" s="21">
        <v>633</v>
      </c>
    </row>
    <row r="5" spans="1:10" x14ac:dyDescent="0.35">
      <c r="C5" s="22" t="s">
        <v>37</v>
      </c>
      <c r="D5" s="23">
        <v>14</v>
      </c>
      <c r="E5" s="24">
        <v>28.085000000000001</v>
      </c>
      <c r="F5" s="25">
        <f>((SQRT(1-(1/E5)^2*SIN(RADIANS(165))^2)+1/E5*COS(RADIANS(165)))/(1+1/E5))^2</f>
        <v>0.86930741306534087</v>
      </c>
      <c r="G5" s="26">
        <f>$B$1*F5</f>
        <v>1738.6148261306816</v>
      </c>
      <c r="H5" s="27">
        <v>702</v>
      </c>
    </row>
    <row r="6" spans="1:10" x14ac:dyDescent="0.35">
      <c r="C6" s="28" t="s">
        <v>38</v>
      </c>
      <c r="D6" s="29">
        <v>23</v>
      </c>
      <c r="E6" s="30">
        <v>50.942</v>
      </c>
      <c r="F6" s="25">
        <f>((SQRT(1-(1/E6)^2*SIN(RADIANS(165))^2)+1/E6*COS(RADIANS(165)))/(1+1/E6))^2</f>
        <v>0.9257111865667883</v>
      </c>
      <c r="G6" s="31">
        <f>$B$1*F6</f>
        <v>1851.4223731335767</v>
      </c>
      <c r="H6" s="32">
        <v>752</v>
      </c>
      <c r="I6" s="11"/>
    </row>
    <row r="7" spans="1:10" x14ac:dyDescent="0.35">
      <c r="C7" s="33" t="s">
        <v>39</v>
      </c>
      <c r="D7" s="34">
        <v>41</v>
      </c>
      <c r="E7" s="35">
        <v>92.906000000000006</v>
      </c>
      <c r="F7" s="25">
        <f>((SQRT(1-(1/E7)^2*SIN(RADIANS(165))^2)+1/E7*COS(RADIANS(165)))/(1+1/E7))^2</f>
        <v>0.95856067934676659</v>
      </c>
      <c r="G7" s="36">
        <f>$B$1*F7</f>
        <v>1917.1213586935332</v>
      </c>
      <c r="H7" s="37">
        <v>778</v>
      </c>
    </row>
    <row r="8" spans="1:10" ht="15" thickBot="1" x14ac:dyDescent="0.4">
      <c r="C8" s="38" t="s">
        <v>40</v>
      </c>
      <c r="D8" s="39">
        <v>73</v>
      </c>
      <c r="E8" s="40">
        <v>180.95</v>
      </c>
      <c r="F8" s="41">
        <f>((SQRT(1-(1/E8)^2*SIN(RADIANS(165))^2)+1/E8*COS(RADIANS(165)))/(1+1/E8))^2</f>
        <v>0.97850521298958393</v>
      </c>
      <c r="G8" s="42">
        <f>$B$1*F8</f>
        <v>1957.0104259791678</v>
      </c>
      <c r="H8" s="43">
        <v>796</v>
      </c>
      <c r="J8" s="45"/>
    </row>
    <row r="10" spans="1:10" x14ac:dyDescent="0.35">
      <c r="J10" s="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Runs</vt:lpstr>
      <vt:lpstr>Ta-Nb-V Calib - RBS1 - Alfas</vt:lpstr>
      <vt:lpstr>Ta-Nb-V NEW Calib - RBS1 - Alfa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2022-12-15T15:08:58Z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