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RBS_21Dezembro\"/>
    </mc:Choice>
  </mc:AlternateContent>
  <bookViews>
    <workbookView xWindow="0" yWindow="0" windowWidth="16380" windowHeight="8190" tabRatio="500" activeTab="2"/>
  </bookViews>
  <sheets>
    <sheet name="Runs" sheetId="1" r:id="rId1"/>
    <sheet name="Ta-Nb-V Calib - RBS1 - Alfa" sheetId="4" r:id="rId2"/>
    <sheet name="Ta-Nb-V Calib - RBS1 - Protoe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5" i="4" l="1"/>
  <c r="Q24" i="4"/>
  <c r="L25" i="4"/>
  <c r="L24" i="4"/>
  <c r="Q20" i="4"/>
  <c r="Q19" i="4"/>
  <c r="AJ24" i="3"/>
  <c r="AJ23" i="3"/>
  <c r="AJ19" i="3"/>
  <c r="AJ18" i="3"/>
  <c r="AJ14" i="3"/>
  <c r="AJ13" i="3"/>
  <c r="AJ12" i="3"/>
  <c r="AJ11" i="3"/>
  <c r="Y24" i="3"/>
  <c r="Y23" i="3"/>
  <c r="Y19" i="3"/>
  <c r="Y18" i="3"/>
  <c r="Y14" i="3"/>
  <c r="Y13" i="3"/>
  <c r="Y12" i="3"/>
  <c r="Y11" i="3"/>
  <c r="N24" i="3"/>
  <c r="N23" i="3"/>
  <c r="N19" i="3"/>
  <c r="N18" i="3"/>
  <c r="N14" i="3"/>
  <c r="N13" i="3"/>
  <c r="N12" i="3"/>
  <c r="N11" i="3"/>
  <c r="P15" i="4"/>
  <c r="P14" i="4"/>
  <c r="P13" i="4"/>
  <c r="Q13" i="4" s="1"/>
  <c r="N15" i="4"/>
  <c r="Q15" i="4" s="1"/>
  <c r="R15" i="4" s="1"/>
  <c r="N14" i="4"/>
  <c r="Q14" i="4" s="1"/>
  <c r="N13" i="4"/>
  <c r="L12" i="4"/>
  <c r="AL25" i="4"/>
  <c r="AJ25" i="4"/>
  <c r="AM25" i="4" s="1"/>
  <c r="AH25" i="4"/>
  <c r="AB25" i="4"/>
  <c r="AA25" i="4"/>
  <c r="Y25" i="4"/>
  <c r="W25" i="4"/>
  <c r="AC25" i="4" s="1"/>
  <c r="P25" i="4"/>
  <c r="N25" i="4"/>
  <c r="AL24" i="4"/>
  <c r="AJ24" i="4"/>
  <c r="AM24" i="4" s="1"/>
  <c r="AH24" i="4"/>
  <c r="AA24" i="4"/>
  <c r="Y24" i="4"/>
  <c r="AB24" i="4" s="1"/>
  <c r="W24" i="4"/>
  <c r="P24" i="4"/>
  <c r="N24" i="4"/>
  <c r="AL20" i="4"/>
  <c r="AJ20" i="4"/>
  <c r="AH20" i="4"/>
  <c r="AA20" i="4"/>
  <c r="Y20" i="4"/>
  <c r="AB20" i="4" s="1"/>
  <c r="W20" i="4"/>
  <c r="P20" i="4"/>
  <c r="N20" i="4"/>
  <c r="L20" i="4"/>
  <c r="AL19" i="4"/>
  <c r="AM19" i="4" s="1"/>
  <c r="AJ19" i="4"/>
  <c r="AH19" i="4"/>
  <c r="AA19" i="4"/>
  <c r="Y19" i="4"/>
  <c r="W19" i="4"/>
  <c r="P19" i="4"/>
  <c r="N19" i="4"/>
  <c r="L19" i="4"/>
  <c r="AL15" i="4"/>
  <c r="AJ15" i="4"/>
  <c r="AH15" i="4"/>
  <c r="AA15" i="4"/>
  <c r="Y15" i="4"/>
  <c r="W15" i="4"/>
  <c r="L15" i="4"/>
  <c r="AL14" i="4"/>
  <c r="AJ14" i="4"/>
  <c r="AM14" i="4" s="1"/>
  <c r="AH14" i="4"/>
  <c r="AA14" i="4"/>
  <c r="AB14" i="4" s="1"/>
  <c r="Y14" i="4"/>
  <c r="W14" i="4"/>
  <c r="L14" i="4"/>
  <c r="AL13" i="4"/>
  <c r="AJ13" i="4"/>
  <c r="AM13" i="4" s="1"/>
  <c r="AH13" i="4"/>
  <c r="AA13" i="4"/>
  <c r="Y13" i="4"/>
  <c r="AB13" i="4" s="1"/>
  <c r="W13" i="4"/>
  <c r="AC13" i="4" s="1"/>
  <c r="L13" i="4"/>
  <c r="AL12" i="4"/>
  <c r="AJ12" i="4"/>
  <c r="AH12" i="4"/>
  <c r="AA12" i="4"/>
  <c r="Y12" i="4"/>
  <c r="AB12" i="4" s="1"/>
  <c r="W12" i="4"/>
  <c r="P12" i="4"/>
  <c r="N12" i="4"/>
  <c r="Q12" i="4" s="1"/>
  <c r="AO24" i="3"/>
  <c r="AO23" i="3"/>
  <c r="AO19" i="3"/>
  <c r="AO18" i="3"/>
  <c r="AO14" i="3"/>
  <c r="AO13" i="3"/>
  <c r="AO12" i="3"/>
  <c r="AO11" i="3"/>
  <c r="AD24" i="3"/>
  <c r="AD23" i="3"/>
  <c r="AD19" i="3"/>
  <c r="AD18" i="3"/>
  <c r="AD14" i="3"/>
  <c r="AD13" i="3"/>
  <c r="AD12" i="3"/>
  <c r="AD11" i="3"/>
  <c r="AN24" i="3"/>
  <c r="AL24" i="3"/>
  <c r="AN23" i="3"/>
  <c r="AL23" i="3"/>
  <c r="AN19" i="3"/>
  <c r="AL19" i="3"/>
  <c r="AN18" i="3"/>
  <c r="AL18" i="3"/>
  <c r="AN14" i="3"/>
  <c r="AL14" i="3"/>
  <c r="AN13" i="3"/>
  <c r="AL13" i="3"/>
  <c r="AN12" i="3"/>
  <c r="AL12" i="3"/>
  <c r="AN11" i="3"/>
  <c r="AL11" i="3"/>
  <c r="F9" i="3"/>
  <c r="R20" i="4" l="1"/>
  <c r="R14" i="4"/>
  <c r="R13" i="4"/>
  <c r="R12" i="4"/>
  <c r="AN24" i="4"/>
  <c r="AN25" i="4"/>
  <c r="AM20" i="4"/>
  <c r="AN19" i="4"/>
  <c r="AM15" i="4"/>
  <c r="AM12" i="4"/>
  <c r="AN15" i="4"/>
  <c r="AN12" i="4"/>
  <c r="AN14" i="4"/>
  <c r="AC24" i="4"/>
  <c r="AB19" i="4"/>
  <c r="AC20" i="4"/>
  <c r="AB15" i="4"/>
  <c r="AC14" i="4"/>
  <c r="AC15" i="4"/>
  <c r="R24" i="4"/>
  <c r="R19" i="4"/>
  <c r="AN13" i="4"/>
  <c r="AC19" i="4"/>
  <c r="R25" i="4"/>
  <c r="AC12" i="4"/>
  <c r="AN20" i="4"/>
  <c r="AP24" i="3"/>
  <c r="AP23" i="3"/>
  <c r="AP19" i="3"/>
  <c r="AP14" i="3"/>
  <c r="AP13" i="3"/>
  <c r="AP12" i="3"/>
  <c r="AP11" i="3"/>
  <c r="AP18" i="3"/>
  <c r="AC24" i="3"/>
  <c r="AA24" i="3"/>
  <c r="AC23" i="3"/>
  <c r="AA23" i="3"/>
  <c r="AC19" i="3"/>
  <c r="AA19" i="3"/>
  <c r="AC18" i="3"/>
  <c r="AA18" i="3"/>
  <c r="AC14" i="3"/>
  <c r="AA14" i="3"/>
  <c r="AC13" i="3"/>
  <c r="AA13" i="3"/>
  <c r="AC12" i="3"/>
  <c r="AA12" i="3"/>
  <c r="AC11" i="3"/>
  <c r="AA11" i="3"/>
  <c r="G9" i="3"/>
  <c r="R24" i="3"/>
  <c r="P24" i="3"/>
  <c r="R23" i="3"/>
  <c r="P23" i="3"/>
  <c r="S23" i="3" s="1"/>
  <c r="R19" i="3"/>
  <c r="P19" i="3"/>
  <c r="R18" i="3"/>
  <c r="P18" i="3"/>
  <c r="S18" i="3" s="1"/>
  <c r="R14" i="3"/>
  <c r="P14" i="3"/>
  <c r="R13" i="3"/>
  <c r="P13" i="3"/>
  <c r="R12" i="3"/>
  <c r="P12" i="3"/>
  <c r="R11" i="3"/>
  <c r="P11" i="3"/>
  <c r="S24" i="3" l="1"/>
  <c r="S19" i="3"/>
  <c r="T19" i="3" s="1"/>
  <c r="S13" i="3"/>
  <c r="S12" i="3"/>
  <c r="T12" i="3" s="1"/>
  <c r="S14" i="3"/>
  <c r="AE12" i="3"/>
  <c r="AE14" i="3"/>
  <c r="AE11" i="3"/>
  <c r="T23" i="3"/>
  <c r="AE13" i="3"/>
  <c r="S11" i="3"/>
  <c r="T14" i="3"/>
  <c r="T24" i="3"/>
  <c r="AE19" i="3"/>
  <c r="T13" i="3"/>
  <c r="AE18" i="3"/>
  <c r="AE23" i="3"/>
  <c r="AE24" i="3"/>
  <c r="T11" i="3"/>
  <c r="T18" i="3"/>
  <c r="F10" i="4"/>
  <c r="G10" i="4" s="1"/>
  <c r="E10" i="4"/>
  <c r="E9" i="4"/>
  <c r="F9" i="4" s="1"/>
  <c r="F8" i="4"/>
  <c r="E8" i="4"/>
  <c r="E7" i="4"/>
  <c r="F7" i="4" s="1"/>
  <c r="F6" i="4"/>
  <c r="E6" i="4"/>
  <c r="E5" i="4"/>
  <c r="F5" i="4" s="1"/>
  <c r="F8" i="3" l="1"/>
  <c r="G8" i="3" s="1"/>
  <c r="F7" i="3"/>
  <c r="G7" i="3" s="1"/>
  <c r="F6" i="3"/>
  <c r="G6" i="3" s="1"/>
  <c r="F5" i="3"/>
  <c r="G5" i="3" s="1"/>
  <c r="F4" i="3"/>
  <c r="G4" i="3" s="1"/>
</calcChain>
</file>

<file path=xl/sharedStrings.xml><?xml version="1.0" encoding="utf-8"?>
<sst xmlns="http://schemas.openxmlformats.org/spreadsheetml/2006/main" count="335" uniqueCount="68">
  <si>
    <t>2000 keV</t>
  </si>
  <si>
    <t>4He</t>
  </si>
  <si>
    <t>RBS 23 November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</si>
  <si>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</si>
  <si>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</si>
  <si>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</si>
  <si>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</si>
  <si>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</si>
  <si>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</si>
  <si>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</si>
  <si>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</si>
  <si>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~ 3</t>
  </si>
  <si>
    <t>Large hole</t>
  </si>
  <si>
    <t>'’</t>
  </si>
  <si>
    <t>~5</t>
  </si>
  <si>
    <t>Target 1</t>
  </si>
  <si>
    <t>Formvar</t>
  </si>
  <si>
    <t>corrente medida no porta alvos; provavelmente estavamos a batar apenas no frame</t>
  </si>
  <si>
    <t>estavamos na posição errada, só viamos frame</t>
  </si>
  <si>
    <t>agora vimos C e O mas muito pouco; podemos ter feito um buraco no filme; temos que confirmar no fim</t>
  </si>
  <si>
    <t>Pb 1 – small hole</t>
  </si>
  <si>
    <t>voltamos a medir na FC do fim de linha</t>
  </si>
  <si>
    <t>Pb 2 – small hole</t>
  </si>
  <si>
    <t>H</t>
  </si>
  <si>
    <t>changed to protons</t>
  </si>
  <si>
    <t>~2 floating</t>
  </si>
  <si>
    <t>não estavamos a contar a corrente na FC</t>
  </si>
  <si>
    <t>ganho x2</t>
  </si>
  <si>
    <t xml:space="preserve">E0 = </t>
  </si>
  <si>
    <t>keV</t>
  </si>
  <si>
    <t>Element</t>
  </si>
  <si>
    <t>Z</t>
  </si>
  <si>
    <t>A</t>
  </si>
  <si>
    <t>Surface channel</t>
  </si>
  <si>
    <t>O</t>
  </si>
  <si>
    <t>Si</t>
  </si>
  <si>
    <t>V</t>
  </si>
  <si>
    <t>Nb</t>
  </si>
  <si>
    <t>Ta</t>
  </si>
  <si>
    <t>Delta_E (keV)</t>
  </si>
  <si>
    <t>K * E_0</t>
  </si>
  <si>
    <t>[S] (eV/nm)</t>
  </si>
  <si>
    <t>x (nm)</t>
  </si>
  <si>
    <t>(dE/dx)_in [E_0] (MeV cm^2 / g)</t>
  </si>
  <si>
    <t>Pb</t>
  </si>
  <si>
    <t>g/cm^3</t>
  </si>
  <si>
    <t>(dE/dx)_out [K * E_0] (MeV cm^2 / g)</t>
  </si>
  <si>
    <t>Pb channel in</t>
  </si>
  <si>
    <t>Pb channel out</t>
  </si>
  <si>
    <t>Back Energy (keV) [K * E0]</t>
  </si>
  <si>
    <t>(dE/dx)_in [E_0] (eV/nm)</t>
  </si>
  <si>
    <t>(dE/dx)_out [K * E_0] (eV/nm)</t>
  </si>
  <si>
    <t>Kinematic factor [K]</t>
  </si>
  <si>
    <t xml:space="preserve">Pb density = </t>
  </si>
  <si>
    <t>O channel in</t>
  </si>
  <si>
    <t>O channel out</t>
  </si>
  <si>
    <t>C channel in</t>
  </si>
  <si>
    <t>C channel out</t>
  </si>
  <si>
    <t>21 mm</t>
  </si>
  <si>
    <t>23 mm</t>
  </si>
  <si>
    <t>25 mm</t>
  </si>
  <si>
    <t>27 mm</t>
  </si>
  <si>
    <t>Traget 3</t>
  </si>
  <si>
    <t>55 mm</t>
  </si>
  <si>
    <t>57 mm</t>
  </si>
  <si>
    <t>Target 4</t>
  </si>
  <si>
    <t>65 mm</t>
  </si>
  <si>
    <t>66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</si>
</sst>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0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0070C0"/>
      <name val="Calibri"/>
      <family val="2"/>
    </font>
    <font>
      <b/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7BC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BDDE"/>
        <bgColor rgb="FFDAE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3" fillId="8" borderId="0" xfId="0" applyFont="1" applyFill="1" applyBorder="1"/>
    <xf numFmtId="164" fontId="3" fillId="8" borderId="0" xfId="0" applyNumberFormat="1" applyFont="1" applyFill="1" applyBorder="1"/>
    <xf numFmtId="165" fontId="0" fillId="6" borderId="0" xfId="0" applyNumberFormat="1" applyFill="1" applyBorder="1"/>
    <xf numFmtId="2" fontId="0" fillId="8" borderId="0" xfId="0" applyNumberFormat="1" applyFill="1" applyBorder="1"/>
    <xf numFmtId="0" fontId="3" fillId="8" borderId="9" xfId="0" applyFont="1" applyFill="1" applyBorder="1"/>
    <xf numFmtId="0" fontId="0" fillId="10" borderId="0" xfId="0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0" fontId="0" fillId="10" borderId="9" xfId="0" applyFill="1" applyBorder="1"/>
    <xf numFmtId="0" fontId="0" fillId="12" borderId="0" xfId="0" applyFill="1" applyBorder="1"/>
    <xf numFmtId="164" fontId="0" fillId="12" borderId="0" xfId="0" applyNumberFormat="1" applyFill="1" applyBorder="1"/>
    <xf numFmtId="2" fontId="0" fillId="12" borderId="0" xfId="0" applyNumberFormat="1" applyFill="1" applyBorder="1"/>
    <xf numFmtId="0" fontId="0" fillId="12" borderId="9" xfId="0" applyFill="1" applyBorder="1"/>
    <xf numFmtId="0" fontId="0" fillId="14" borderId="11" xfId="0" applyFill="1" applyBorder="1"/>
    <xf numFmtId="164" fontId="0" fillId="14" borderId="11" xfId="0" applyNumberFormat="1" applyFill="1" applyBorder="1"/>
    <xf numFmtId="2" fontId="0" fillId="14" borderId="11" xfId="0" applyNumberFormat="1" applyFill="1" applyBorder="1"/>
    <xf numFmtId="0" fontId="0" fillId="14" borderId="12" xfId="0" applyFill="1" applyBorder="1"/>
    <xf numFmtId="0" fontId="0" fillId="15" borderId="4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2" fontId="0" fillId="20" borderId="14" xfId="0" applyNumberForma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2" fontId="0" fillId="20" borderId="16" xfId="0" applyNumberFormat="1" applyFill="1" applyBorder="1" applyAlignment="1">
      <alignment horizontal="center" vertical="center" wrapText="1"/>
    </xf>
    <xf numFmtId="166" fontId="0" fillId="20" borderId="14" xfId="0" applyNumberFormat="1" applyFill="1" applyBorder="1" applyAlignment="1">
      <alignment horizontal="center" vertical="center" wrapText="1"/>
    </xf>
    <xf numFmtId="1" fontId="0" fillId="20" borderId="14" xfId="0" applyNumberForma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vertical="center" wrapText="1"/>
    </xf>
    <xf numFmtId="0" fontId="0" fillId="19" borderId="10" xfId="0" applyFill="1" applyBorder="1" applyAlignment="1">
      <alignment horizontal="right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12" xfId="0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0" fillId="6" borderId="0" xfId="0" applyFill="1" applyBorder="1"/>
    <xf numFmtId="164" fontId="0" fillId="6" borderId="0" xfId="0" applyNumberFormat="1" applyFill="1" applyBorder="1"/>
    <xf numFmtId="2" fontId="0" fillId="6" borderId="0" xfId="0" applyNumberFormat="1" applyFill="1" applyBorder="1"/>
    <xf numFmtId="0" fontId="0" fillId="6" borderId="9" xfId="0" applyFill="1" applyBorder="1"/>
    <xf numFmtId="0" fontId="6" fillId="7" borderId="8" xfId="0" applyFont="1" applyFill="1" applyBorder="1" applyAlignment="1">
      <alignment horizontal="center" vertical="center" wrapText="1"/>
    </xf>
    <xf numFmtId="165" fontId="0" fillId="8" borderId="0" xfId="0" applyNumberFormat="1" applyFill="1" applyBorder="1"/>
    <xf numFmtId="0" fontId="5" fillId="9" borderId="8" xfId="0" applyFont="1" applyFill="1" applyBorder="1" applyAlignment="1">
      <alignment horizontal="center" vertical="center" wrapText="1"/>
    </xf>
    <xf numFmtId="165" fontId="0" fillId="10" borderId="0" xfId="0" applyNumberFormat="1" applyFill="1" applyBorder="1"/>
    <xf numFmtId="0" fontId="5" fillId="11" borderId="8" xfId="0" applyFont="1" applyFill="1" applyBorder="1" applyAlignment="1">
      <alignment horizontal="center" vertical="center" wrapText="1"/>
    </xf>
    <xf numFmtId="165" fontId="0" fillId="12" borderId="0" xfId="0" applyNumberFormat="1" applyFill="1" applyBorder="1"/>
    <xf numFmtId="0" fontId="5" fillId="13" borderId="10" xfId="0" applyFont="1" applyFill="1" applyBorder="1" applyAlignment="1">
      <alignment horizontal="center" vertical="center" wrapText="1"/>
    </xf>
    <xf numFmtId="165" fontId="0" fillId="14" borderId="11" xfId="0" applyNumberFormat="1" applyFill="1" applyBorder="1"/>
    <xf numFmtId="166" fontId="0" fillId="20" borderId="16" xfId="0" applyNumberFormat="1" applyFill="1" applyBorder="1" applyAlignment="1">
      <alignment horizontal="center" vertical="center" wrapText="1"/>
    </xf>
    <xf numFmtId="1" fontId="0" fillId="20" borderId="16" xfId="0" applyNumberFormat="1" applyFill="1" applyBorder="1" applyAlignment="1">
      <alignment horizontal="center" vertical="center" wrapText="1"/>
    </xf>
    <xf numFmtId="1" fontId="2" fillId="20" borderId="22" xfId="0" applyNumberFormat="1" applyFont="1" applyFill="1" applyBorder="1" applyAlignment="1">
      <alignment horizontal="center" vertical="center" wrapText="1"/>
    </xf>
    <xf numFmtId="1" fontId="2" fillId="20" borderId="23" xfId="0" applyNumberFormat="1" applyFont="1" applyFill="1" applyBorder="1" applyAlignment="1">
      <alignment horizontal="center" vertical="center" wrapText="1"/>
    </xf>
    <xf numFmtId="0" fontId="0" fillId="20" borderId="24" xfId="0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6" xfId="0" applyFont="1" applyFill="1" applyBorder="1" applyAlignment="1">
      <alignment horizontal="center" vertical="center" wrapText="1"/>
    </xf>
    <xf numFmtId="0" fontId="0" fillId="20" borderId="27" xfId="0" applyFill="1" applyBorder="1" applyAlignment="1">
      <alignment horizontal="center" vertical="center" wrapText="1"/>
    </xf>
    <xf numFmtId="2" fontId="0" fillId="20" borderId="27" xfId="0" applyNumberFormat="1" applyFill="1" applyBorder="1" applyAlignment="1">
      <alignment horizontal="center" vertical="center" wrapText="1"/>
    </xf>
    <xf numFmtId="164" fontId="0" fillId="20" borderId="28" xfId="0" applyNumberFormat="1" applyFill="1" applyBorder="1" applyAlignment="1">
      <alignment horizontal="center" vertical="center" wrapText="1"/>
    </xf>
    <xf numFmtId="1" fontId="2" fillId="20" borderId="29" xfId="0" applyNumberFormat="1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30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20" borderId="15" xfId="0" applyFill="1" applyBorder="1" applyAlignment="1">
      <alignment horizontal="center" vertical="center" wrapText="1"/>
    </xf>
    <xf numFmtId="0" fontId="5" fillId="17" borderId="32" xfId="0" applyFont="1" applyFill="1" applyBorder="1" applyAlignment="1">
      <alignment horizontal="center" vertical="center" wrapText="1"/>
    </xf>
    <xf numFmtId="166" fontId="0" fillId="20" borderId="27" xfId="0" applyNumberFormat="1" applyFill="1" applyBorder="1" applyAlignment="1">
      <alignment horizontal="center" vertical="center" wrapText="1"/>
    </xf>
    <xf numFmtId="1" fontId="0" fillId="20" borderId="27" xfId="0" applyNumberForma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7" borderId="20" xfId="0" applyFill="1" applyBorder="1" applyAlignment="1">
      <alignment horizontal="center" vertical="center" wrapText="1"/>
    </xf>
    <xf numFmtId="165" fontId="0" fillId="18" borderId="20" xfId="0" applyNumberFormat="1" applyFill="1" applyBorder="1" applyAlignment="1">
      <alignment horizontal="center" vertical="center" wrapText="1"/>
    </xf>
    <xf numFmtId="2" fontId="0" fillId="18" borderId="20" xfId="0" applyNumberFormat="1" applyFill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4" fontId="3" fillId="8" borderId="0" xfId="0" applyNumberFormat="1" applyFont="1" applyFill="1" applyBorder="1" applyAlignment="1">
      <alignment horizontal="center" vertical="center" wrapText="1"/>
    </xf>
    <xf numFmtId="165" fontId="0" fillId="6" borderId="0" xfId="0" applyNumberFormat="1" applyFill="1" applyBorder="1" applyAlignment="1">
      <alignment horizontal="center" vertical="center" wrapText="1"/>
    </xf>
    <xf numFmtId="2" fontId="0" fillId="8" borderId="0" xfId="0" applyNumberForma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164" fontId="0" fillId="10" borderId="0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164" fontId="0" fillId="12" borderId="0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164" fontId="0" fillId="14" borderId="11" xfId="0" applyNumberFormat="1" applyFill="1" applyBorder="1" applyAlignment="1">
      <alignment horizontal="center" vertical="center" wrapText="1"/>
    </xf>
    <xf numFmtId="165" fontId="0" fillId="6" borderId="11" xfId="0" applyNumberFormat="1" applyFill="1" applyBorder="1" applyAlignment="1">
      <alignment horizontal="center" vertical="center" wrapText="1"/>
    </xf>
    <xf numFmtId="2" fontId="0" fillId="14" borderId="11" xfId="0" applyNumberFormat="1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64" fontId="0" fillId="6" borderId="0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5" fillId="22" borderId="30" xfId="0" applyFont="1" applyFill="1" applyBorder="1" applyAlignment="1">
      <alignment horizontal="center" vertical="center" wrapText="1"/>
    </xf>
    <xf numFmtId="0" fontId="5" fillId="22" borderId="21" xfId="0" applyFont="1" applyFill="1" applyBorder="1" applyAlignment="1">
      <alignment horizontal="center" vertical="center" wrapText="1"/>
    </xf>
    <xf numFmtId="0" fontId="5" fillId="21" borderId="25" xfId="0" applyFont="1" applyFill="1" applyBorder="1" applyAlignment="1">
      <alignment horizontal="center" vertical="center" wrapText="1"/>
    </xf>
    <xf numFmtId="0" fontId="5" fillId="21" borderId="32" xfId="0" applyFont="1" applyFill="1" applyBorder="1" applyAlignment="1">
      <alignment horizontal="center" vertical="center" wrapText="1"/>
    </xf>
    <xf numFmtId="0" fontId="5" fillId="21" borderId="26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30" xfId="0" applyFont="1" applyFill="1" applyBorder="1" applyAlignment="1">
      <alignment horizontal="center" vertical="center" wrapText="1"/>
    </xf>
    <xf numFmtId="0" fontId="5" fillId="24" borderId="21" xfId="0" applyFont="1" applyFill="1" applyBorder="1" applyAlignment="1">
      <alignment horizontal="center" vertical="center" wrapText="1"/>
    </xf>
    <xf numFmtId="0" fontId="5" fillId="23" borderId="25" xfId="0" applyFont="1" applyFill="1" applyBorder="1" applyAlignment="1">
      <alignment horizontal="center" vertical="center" wrapText="1"/>
    </xf>
    <xf numFmtId="0" fontId="5" fillId="23" borderId="32" xfId="0" applyFont="1" applyFill="1" applyBorder="1" applyAlignment="1">
      <alignment horizontal="center" vertical="center" wrapText="1"/>
    </xf>
    <xf numFmtId="0" fontId="5" fillId="23" borderId="26" xfId="0" applyFont="1" applyFill="1" applyBorder="1" applyAlignment="1">
      <alignment horizontal="center" vertical="center" wrapText="1"/>
    </xf>
    <xf numFmtId="0" fontId="3" fillId="20" borderId="24" xfId="0" applyFont="1" applyFill="1" applyBorder="1" applyAlignment="1">
      <alignment horizontal="center" vertical="center" wrapText="1"/>
    </xf>
    <xf numFmtId="0" fontId="3" fillId="20" borderId="16" xfId="0" applyFont="1" applyFill="1" applyBorder="1" applyAlignment="1">
      <alignment horizontal="center" vertical="center" wrapText="1"/>
    </xf>
    <xf numFmtId="0" fontId="7" fillId="25" borderId="24" xfId="0" applyFont="1" applyFill="1" applyBorder="1" applyAlignment="1">
      <alignment horizontal="center" vertical="center" wrapText="1"/>
    </xf>
    <xf numFmtId="0" fontId="7" fillId="25" borderId="16" xfId="0" applyFont="1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 wrapText="1"/>
    </xf>
    <xf numFmtId="0" fontId="0" fillId="25" borderId="27" xfId="0" applyFill="1" applyBorder="1" applyAlignment="1">
      <alignment horizontal="center" vertical="center" wrapText="1"/>
    </xf>
    <xf numFmtId="1" fontId="2" fillId="25" borderId="29" xfId="0" applyNumberFormat="1" applyFont="1" applyFill="1" applyBorder="1" applyAlignment="1">
      <alignment horizontal="center" vertical="center" wrapText="1"/>
    </xf>
    <xf numFmtId="1" fontId="2" fillId="25" borderId="23" xfId="0" applyNumberFormat="1" applyFont="1" applyFill="1" applyBorder="1" applyAlignment="1">
      <alignment horizontal="center" vertical="center" wrapText="1"/>
    </xf>
    <xf numFmtId="0" fontId="0" fillId="20" borderId="33" xfId="0" applyFill="1" applyBorder="1" applyAlignment="1">
      <alignment horizontal="center" vertical="center" wrapText="1"/>
    </xf>
    <xf numFmtId="164" fontId="0" fillId="20" borderId="34" xfId="0" applyNumberForma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22" borderId="13" xfId="0" applyFont="1" applyFill="1" applyBorder="1" applyAlignment="1">
      <alignment horizontal="center" vertical="center" wrapText="1"/>
    </xf>
    <xf numFmtId="0" fontId="9" fillId="24" borderId="13" xfId="0" applyFont="1" applyFill="1" applyBorder="1" applyAlignment="1">
      <alignment horizontal="center" vertical="center" wrapText="1"/>
    </xf>
    <xf numFmtId="1" fontId="0" fillId="20" borderId="28" xfId="0" applyNumberFormat="1" applyFill="1" applyBorder="1" applyAlignment="1">
      <alignment horizontal="center" vertical="center" wrapText="1"/>
    </xf>
    <xf numFmtId="1" fontId="0" fillId="20" borderId="34" xfId="0" applyNumberForma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7" fillId="20" borderId="24" xfId="0" applyFont="1" applyFill="1" applyBorder="1" applyAlignment="1">
      <alignment horizontal="center" vertical="center" wrapText="1"/>
    </xf>
    <xf numFmtId="0" fontId="7" fillId="20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128398982650083E-2"/>
                  <c:y val="-0.184779397621406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2,3657x + 97,266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Alfa'!$G$5:$G$9</c:f>
              <c:numCache>
                <c:formatCode>General</c:formatCode>
                <c:ptCount val="5"/>
                <c:pt idx="0">
                  <c:v>269</c:v>
                </c:pt>
                <c:pt idx="1">
                  <c:v>437</c:v>
                </c:pt>
                <c:pt idx="2">
                  <c:v>582</c:v>
                </c:pt>
                <c:pt idx="3">
                  <c:v>673</c:v>
                </c:pt>
                <c:pt idx="4">
                  <c:v>732.5</c:v>
                </c:pt>
              </c:numCache>
            </c:numRef>
          </c:xVal>
          <c:yVal>
            <c:numRef>
              <c:f>'Ta-Nb-V Calib - RBS1 - Alfa'!$F$5:$F$9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2929488"/>
        <c:axId val="-852920240"/>
      </c:scatterChart>
      <c:valAx>
        <c:axId val="-8529294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852920240"/>
        <c:crosses val="autoZero"/>
        <c:crossBetween val="midCat"/>
      </c:valAx>
      <c:valAx>
        <c:axId val="-852920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8529294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940884889990416E-2"/>
                  <c:y val="-0.21896777612043217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2,381x + 62,245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0,9992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2927312"/>
        <c:axId val="-852919152"/>
      </c:scatterChart>
      <c:valAx>
        <c:axId val="-8529273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852919152"/>
        <c:crosses val="autoZero"/>
        <c:crossBetween val="midCat"/>
      </c:valAx>
      <c:valAx>
        <c:axId val="-852919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8529273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19300</xdr:rowOff>
    </xdr:from>
    <xdr:to>
      <xdr:col>6</xdr:col>
      <xdr:colOff>177560</xdr:colOff>
      <xdr:row>22</xdr:row>
      <xdr:rowOff>533160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304800</xdr:colOff>
      <xdr:row>2</xdr:row>
      <xdr:rowOff>12700</xdr:rowOff>
    </xdr:from>
    <xdr:to>
      <xdr:col>12</xdr:col>
      <xdr:colOff>616060</xdr:colOff>
      <xdr:row>7</xdr:row>
      <xdr:rowOff>56750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5492750" y="387350"/>
          <a:ext cx="2908410" cy="13394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3580</xdr:colOff>
      <xdr:row>10</xdr:row>
      <xdr:rowOff>12950</xdr:rowOff>
    </xdr:from>
    <xdr:to>
      <xdr:col>8</xdr:col>
      <xdr:colOff>9690</xdr:colOff>
      <xdr:row>21</xdr:row>
      <xdr:rowOff>342660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C21" sqref="C21"/>
    </sheetView>
  </sheetViews>
  <sheetFormatPr defaultColWidth="8.54296875" defaultRowHeight="14.5" x14ac:dyDescent="0.35"/>
  <cols>
    <col min="1" max="1" width="8.26953125" customWidth="1"/>
    <col min="2" max="2" width="4.08984375" customWidth="1"/>
    <col min="3" max="3" width="15.54296875" customWidth="1"/>
    <col min="4" max="4" width="5.453125" customWidth="1"/>
    <col min="5" max="5" width="8.7265625" customWidth="1"/>
    <col min="6" max="6" width="6.6328125" customWidth="1"/>
    <col min="7" max="7" width="20.90625" customWidth="1"/>
    <col min="8" max="8" width="42.81640625" customWidth="1"/>
    <col min="9" max="9" width="14.453125" customWidth="1"/>
    <col min="10" max="10" width="18" customWidth="1"/>
    <col min="11" max="11" width="7.08984375" customWidth="1"/>
  </cols>
  <sheetData>
    <row r="1" spans="1:12" x14ac:dyDescent="0.35">
      <c r="A1" t="s">
        <v>0</v>
      </c>
      <c r="B1" t="s">
        <v>1</v>
      </c>
      <c r="H1" s="1" t="s">
        <v>2</v>
      </c>
    </row>
    <row r="3" spans="1:12" ht="29" x14ac:dyDescent="0.35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spans="1:12" x14ac:dyDescent="0.35">
      <c r="B4">
        <v>1</v>
      </c>
      <c r="C4" t="s">
        <v>10</v>
      </c>
      <c r="D4">
        <v>0</v>
      </c>
      <c r="E4">
        <v>10</v>
      </c>
      <c r="F4">
        <v>20000</v>
      </c>
      <c r="G4" t="s">
        <v>11</v>
      </c>
    </row>
    <row r="5" spans="1:12" x14ac:dyDescent="0.35">
      <c r="B5">
        <v>2</v>
      </c>
      <c r="C5" s="5" t="s">
        <v>12</v>
      </c>
      <c r="D5" s="5" t="s">
        <v>13</v>
      </c>
      <c r="E5">
        <v>21</v>
      </c>
      <c r="F5">
        <v>10000</v>
      </c>
      <c r="G5" t="s">
        <v>14</v>
      </c>
      <c r="H5" t="s">
        <v>15</v>
      </c>
    </row>
    <row r="6" spans="1:12" x14ac:dyDescent="0.35">
      <c r="B6">
        <v>3</v>
      </c>
      <c r="C6" t="s">
        <v>13</v>
      </c>
      <c r="D6" t="s">
        <v>13</v>
      </c>
      <c r="E6">
        <v>23</v>
      </c>
      <c r="F6">
        <v>10000</v>
      </c>
      <c r="G6" t="s">
        <v>14</v>
      </c>
      <c r="H6" t="s">
        <v>15</v>
      </c>
    </row>
    <row r="7" spans="1:12" x14ac:dyDescent="0.35">
      <c r="B7">
        <v>4</v>
      </c>
      <c r="C7" t="s">
        <v>13</v>
      </c>
      <c r="D7" t="s">
        <v>13</v>
      </c>
      <c r="E7">
        <v>25</v>
      </c>
      <c r="F7">
        <v>10000</v>
      </c>
      <c r="H7" t="s">
        <v>15</v>
      </c>
    </row>
    <row r="8" spans="1:12" x14ac:dyDescent="0.35">
      <c r="B8">
        <v>5</v>
      </c>
      <c r="D8" s="5" t="s">
        <v>13</v>
      </c>
      <c r="E8">
        <v>27</v>
      </c>
      <c r="F8">
        <v>10000</v>
      </c>
      <c r="H8" t="s">
        <v>15</v>
      </c>
    </row>
    <row r="9" spans="1:12" x14ac:dyDescent="0.35">
      <c r="B9">
        <v>6</v>
      </c>
      <c r="C9" t="s">
        <v>16</v>
      </c>
      <c r="E9">
        <v>36</v>
      </c>
      <c r="F9">
        <v>4000</v>
      </c>
      <c r="H9" t="s">
        <v>17</v>
      </c>
    </row>
    <row r="10" spans="1:12" x14ac:dyDescent="0.35">
      <c r="B10">
        <v>7</v>
      </c>
      <c r="C10" t="s">
        <v>13</v>
      </c>
      <c r="D10" s="5" t="s">
        <v>13</v>
      </c>
      <c r="E10">
        <v>38</v>
      </c>
      <c r="F10">
        <v>20000</v>
      </c>
      <c r="H10" t="s">
        <v>18</v>
      </c>
    </row>
    <row r="11" spans="1:12" x14ac:dyDescent="0.35">
      <c r="B11">
        <v>8</v>
      </c>
      <c r="C11" t="s">
        <v>13</v>
      </c>
      <c r="D11" t="s">
        <v>13</v>
      </c>
      <c r="E11">
        <v>44</v>
      </c>
      <c r="H11" t="s">
        <v>19</v>
      </c>
      <c r="I11" s="6"/>
      <c r="J11" s="6"/>
      <c r="K11" s="6"/>
      <c r="L11" s="6"/>
    </row>
    <row r="12" spans="1:12" x14ac:dyDescent="0.35">
      <c r="B12">
        <v>9</v>
      </c>
      <c r="C12" t="s">
        <v>13</v>
      </c>
      <c r="D12" s="5" t="s">
        <v>13</v>
      </c>
      <c r="E12">
        <v>46</v>
      </c>
      <c r="I12" s="6"/>
      <c r="J12" s="7"/>
      <c r="K12" s="6"/>
      <c r="L12" s="6"/>
    </row>
    <row r="13" spans="1:12" x14ac:dyDescent="0.35">
      <c r="B13">
        <v>10</v>
      </c>
      <c r="C13" t="s">
        <v>20</v>
      </c>
      <c r="E13">
        <v>55</v>
      </c>
      <c r="F13">
        <v>10000</v>
      </c>
      <c r="H13" t="s">
        <v>21</v>
      </c>
      <c r="I13" s="8"/>
      <c r="J13" s="7"/>
      <c r="K13" s="8"/>
      <c r="L13" s="8"/>
    </row>
    <row r="14" spans="1:12" x14ac:dyDescent="0.35">
      <c r="B14">
        <v>11</v>
      </c>
      <c r="C14" t="s">
        <v>13</v>
      </c>
      <c r="E14">
        <v>57</v>
      </c>
      <c r="F14" t="s">
        <v>13</v>
      </c>
      <c r="I14" s="8"/>
      <c r="J14" s="7"/>
      <c r="K14" s="7"/>
      <c r="L14" s="6"/>
    </row>
    <row r="15" spans="1:12" x14ac:dyDescent="0.35">
      <c r="B15">
        <v>12</v>
      </c>
      <c r="C15" t="s">
        <v>22</v>
      </c>
      <c r="E15">
        <v>66</v>
      </c>
      <c r="F15" t="s">
        <v>13</v>
      </c>
      <c r="I15" s="6"/>
      <c r="J15" s="7"/>
      <c r="K15" s="7"/>
      <c r="L15" s="6"/>
    </row>
    <row r="16" spans="1:12" x14ac:dyDescent="0.35">
      <c r="B16">
        <v>13</v>
      </c>
      <c r="E16">
        <v>68</v>
      </c>
      <c r="F16" t="s">
        <v>13</v>
      </c>
    </row>
    <row r="17" spans="1:12" x14ac:dyDescent="0.35">
      <c r="B17">
        <v>14</v>
      </c>
      <c r="E17">
        <v>65</v>
      </c>
      <c r="F17" t="s">
        <v>13</v>
      </c>
      <c r="I17" s="9"/>
      <c r="L17" s="6"/>
    </row>
    <row r="18" spans="1:12" x14ac:dyDescent="0.35">
      <c r="A18" t="s">
        <v>0</v>
      </c>
      <c r="B18" t="s">
        <v>23</v>
      </c>
      <c r="H18" t="s">
        <v>24</v>
      </c>
    </row>
    <row r="19" spans="1:12" x14ac:dyDescent="0.35">
      <c r="B19">
        <v>15</v>
      </c>
      <c r="C19" t="s">
        <v>22</v>
      </c>
      <c r="E19">
        <v>65</v>
      </c>
      <c r="F19">
        <v>10000</v>
      </c>
      <c r="G19" t="s">
        <v>25</v>
      </c>
    </row>
    <row r="20" spans="1:12" x14ac:dyDescent="0.35">
      <c r="B20">
        <v>16</v>
      </c>
      <c r="C20" t="s">
        <v>10</v>
      </c>
      <c r="D20">
        <v>0</v>
      </c>
      <c r="E20">
        <v>10</v>
      </c>
      <c r="F20">
        <v>10000</v>
      </c>
    </row>
    <row r="21" spans="1:12" x14ac:dyDescent="0.35">
      <c r="B21">
        <v>17</v>
      </c>
      <c r="C21" s="5" t="s">
        <v>12</v>
      </c>
      <c r="D21" t="s">
        <v>13</v>
      </c>
      <c r="E21">
        <v>21</v>
      </c>
      <c r="F21">
        <v>2000</v>
      </c>
      <c r="H21" t="s">
        <v>26</v>
      </c>
    </row>
    <row r="22" spans="1:12" x14ac:dyDescent="0.35">
      <c r="B22">
        <v>18</v>
      </c>
      <c r="C22" t="s">
        <v>13</v>
      </c>
      <c r="D22" t="s">
        <v>13</v>
      </c>
      <c r="E22">
        <v>23</v>
      </c>
      <c r="F22">
        <v>10000</v>
      </c>
    </row>
    <row r="23" spans="1:12" x14ac:dyDescent="0.35">
      <c r="B23">
        <v>19</v>
      </c>
      <c r="C23" t="s">
        <v>13</v>
      </c>
      <c r="D23" t="s">
        <v>13</v>
      </c>
      <c r="E23">
        <v>21</v>
      </c>
      <c r="F23">
        <v>10000</v>
      </c>
    </row>
    <row r="24" spans="1:12" x14ac:dyDescent="0.35">
      <c r="B24">
        <v>20</v>
      </c>
      <c r="C24" t="s">
        <v>13</v>
      </c>
      <c r="D24" t="s">
        <v>13</v>
      </c>
      <c r="E24">
        <v>25</v>
      </c>
      <c r="F24">
        <v>5000</v>
      </c>
    </row>
    <row r="25" spans="1:12" x14ac:dyDescent="0.35">
      <c r="B25">
        <v>21</v>
      </c>
      <c r="C25" t="s">
        <v>13</v>
      </c>
      <c r="D25" t="s">
        <v>13</v>
      </c>
      <c r="E25">
        <v>27</v>
      </c>
      <c r="F25">
        <v>5000</v>
      </c>
    </row>
    <row r="26" spans="1:12" x14ac:dyDescent="0.35">
      <c r="B26">
        <v>22</v>
      </c>
      <c r="C26" t="s">
        <v>16</v>
      </c>
      <c r="D26" t="s">
        <v>13</v>
      </c>
      <c r="E26">
        <v>44</v>
      </c>
    </row>
    <row r="27" spans="1:12" x14ac:dyDescent="0.35">
      <c r="B27">
        <v>23</v>
      </c>
      <c r="C27" t="s">
        <v>16</v>
      </c>
      <c r="D27" t="s">
        <v>13</v>
      </c>
      <c r="E27">
        <v>46</v>
      </c>
      <c r="F27">
        <v>20000</v>
      </c>
    </row>
    <row r="28" spans="1:12" x14ac:dyDescent="0.35">
      <c r="B28">
        <v>24</v>
      </c>
      <c r="C28" t="s">
        <v>20</v>
      </c>
      <c r="D28" t="s">
        <v>13</v>
      </c>
      <c r="E28">
        <v>55</v>
      </c>
      <c r="F28">
        <v>10000</v>
      </c>
    </row>
    <row r="29" spans="1:12" x14ac:dyDescent="0.35">
      <c r="B29">
        <v>25</v>
      </c>
      <c r="C29" t="s">
        <v>13</v>
      </c>
      <c r="D29" t="s">
        <v>13</v>
      </c>
      <c r="E29">
        <v>57</v>
      </c>
      <c r="F29">
        <v>10000</v>
      </c>
    </row>
    <row r="30" spans="1:12" x14ac:dyDescent="0.35">
      <c r="B30">
        <v>26</v>
      </c>
      <c r="C30" t="s">
        <v>22</v>
      </c>
      <c r="D30" t="s">
        <v>13</v>
      </c>
      <c r="E30">
        <v>66</v>
      </c>
      <c r="F30">
        <v>10000</v>
      </c>
    </row>
    <row r="31" spans="1:12" x14ac:dyDescent="0.35">
      <c r="B31">
        <v>27</v>
      </c>
      <c r="C31" t="s">
        <v>13</v>
      </c>
      <c r="D31" t="s">
        <v>13</v>
      </c>
      <c r="E31">
        <v>65</v>
      </c>
      <c r="F31">
        <v>10000</v>
      </c>
    </row>
    <row r="32" spans="1:12" x14ac:dyDescent="0.35">
      <c r="B32">
        <v>28</v>
      </c>
      <c r="C32" t="s">
        <v>13</v>
      </c>
      <c r="E32">
        <v>65</v>
      </c>
      <c r="F32">
        <v>10000</v>
      </c>
      <c r="H32" t="s">
        <v>27</v>
      </c>
    </row>
    <row r="33" spans="2:2" x14ac:dyDescent="0.35">
      <c r="B33" s="5"/>
    </row>
    <row r="34" spans="2:2" x14ac:dyDescent="0.35">
      <c r="B34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zoomScaleNormal="100" workbookViewId="0">
      <selection activeCell="G23" sqref="G23"/>
    </sheetView>
  </sheetViews>
  <sheetFormatPr defaultColWidth="8.54296875" defaultRowHeight="14.5" x14ac:dyDescent="0.35"/>
  <cols>
    <col min="1" max="1" width="13.1796875" bestFit="1" customWidth="1"/>
    <col min="5" max="5" width="12.453125" customWidth="1"/>
    <col min="6" max="6" width="11.81640625" customWidth="1"/>
    <col min="7" max="7" width="11.1796875" customWidth="1"/>
    <col min="9" max="9" width="6.6328125" bestFit="1" customWidth="1"/>
    <col min="10" max="11" width="7.36328125" bestFit="1" customWidth="1"/>
    <col min="12" max="12" width="7.26953125" bestFit="1" customWidth="1"/>
    <col min="13" max="14" width="14.36328125" bestFit="1" customWidth="1"/>
    <col min="15" max="16" width="18.81640625" bestFit="1" customWidth="1"/>
    <col min="17" max="17" width="9.26953125" bestFit="1" customWidth="1"/>
    <col min="18" max="18" width="7.6328125" customWidth="1"/>
    <col min="19" max="19" width="9.26953125" bestFit="1" customWidth="1"/>
    <col min="20" max="20" width="6.6328125" bestFit="1" customWidth="1"/>
    <col min="21" max="22" width="7.36328125" bestFit="1" customWidth="1"/>
    <col min="23" max="23" width="7.26953125" bestFit="1" customWidth="1"/>
    <col min="24" max="25" width="14.36328125" bestFit="1" customWidth="1"/>
    <col min="26" max="27" width="18.81640625" bestFit="1" customWidth="1"/>
    <col min="28" max="28" width="9.36328125" customWidth="1"/>
    <col min="29" max="29" width="6.1796875" bestFit="1" customWidth="1"/>
    <col min="31" max="31" width="6.54296875" bestFit="1" customWidth="1"/>
    <col min="32" max="33" width="7.36328125" bestFit="1" customWidth="1"/>
    <col min="34" max="34" width="7.26953125" bestFit="1" customWidth="1"/>
    <col min="35" max="36" width="14.36328125" bestFit="1" customWidth="1"/>
    <col min="37" max="38" width="18.81640625" bestFit="1" customWidth="1"/>
    <col min="39" max="39" width="9" customWidth="1"/>
    <col min="40" max="40" width="6.1796875" bestFit="1" customWidth="1"/>
  </cols>
  <sheetData>
    <row r="1" spans="1:40" x14ac:dyDescent="0.35">
      <c r="A1" s="37" t="s">
        <v>28</v>
      </c>
      <c r="B1" s="38">
        <v>2000</v>
      </c>
      <c r="C1" s="39" t="s">
        <v>29</v>
      </c>
    </row>
    <row r="2" spans="1:40" ht="15" thickBot="1" x14ac:dyDescent="0.4">
      <c r="A2" s="40" t="s">
        <v>53</v>
      </c>
      <c r="B2" s="41">
        <v>11.31</v>
      </c>
      <c r="C2" s="42" t="s">
        <v>45</v>
      </c>
    </row>
    <row r="3" spans="1:40" ht="15" thickBot="1" x14ac:dyDescent="0.4"/>
    <row r="4" spans="1:40" ht="43.5" x14ac:dyDescent="0.35">
      <c r="B4" s="43" t="s">
        <v>30</v>
      </c>
      <c r="C4" s="44" t="s">
        <v>31</v>
      </c>
      <c r="D4" s="45" t="s">
        <v>32</v>
      </c>
      <c r="E4" s="44" t="s">
        <v>52</v>
      </c>
      <c r="F4" s="44" t="s">
        <v>49</v>
      </c>
      <c r="G4" s="46" t="s">
        <v>33</v>
      </c>
      <c r="O4" s="30"/>
      <c r="P4" s="30"/>
    </row>
    <row r="5" spans="1:40" x14ac:dyDescent="0.35">
      <c r="B5" s="47" t="s">
        <v>34</v>
      </c>
      <c r="C5" s="48">
        <v>8</v>
      </c>
      <c r="D5" s="49">
        <v>15.999000000000001</v>
      </c>
      <c r="E5" s="13">
        <f t="shared" ref="E5:E10" si="0">((SQRT(1-(4.0026/D5)^2*SIN(RADIANS(165))^2)+4.0026/D5*COS(RADIANS(165)))/(1+4.0026/D5))^2</f>
        <v>0.36591870307011926</v>
      </c>
      <c r="F5" s="50">
        <f t="shared" ref="F5:F10" si="1">$B$1*E5</f>
        <v>731.8374061402385</v>
      </c>
      <c r="G5" s="51">
        <v>269</v>
      </c>
      <c r="O5" s="30"/>
    </row>
    <row r="6" spans="1:40" x14ac:dyDescent="0.35">
      <c r="B6" s="52" t="s">
        <v>35</v>
      </c>
      <c r="C6" s="11">
        <v>14</v>
      </c>
      <c r="D6" s="12">
        <v>28.085000000000001</v>
      </c>
      <c r="E6" s="53">
        <f t="shared" si="0"/>
        <v>0.56878025675945543</v>
      </c>
      <c r="F6" s="14">
        <f t="shared" si="1"/>
        <v>1137.560513518911</v>
      </c>
      <c r="G6" s="15">
        <v>437</v>
      </c>
    </row>
    <row r="7" spans="1:40" x14ac:dyDescent="0.35">
      <c r="B7" s="54" t="s">
        <v>36</v>
      </c>
      <c r="C7" s="16">
        <v>23</v>
      </c>
      <c r="D7" s="17">
        <v>50.942</v>
      </c>
      <c r="E7" s="55">
        <f t="shared" si="0"/>
        <v>0.7337544049093524</v>
      </c>
      <c r="F7" s="18">
        <f t="shared" si="1"/>
        <v>1467.5088098187048</v>
      </c>
      <c r="G7" s="19">
        <v>582</v>
      </c>
    </row>
    <row r="8" spans="1:40" x14ac:dyDescent="0.35">
      <c r="B8" s="56" t="s">
        <v>37</v>
      </c>
      <c r="C8" s="20">
        <v>41</v>
      </c>
      <c r="D8" s="21">
        <v>92.906000000000006</v>
      </c>
      <c r="E8" s="57">
        <f t="shared" si="0"/>
        <v>0.84408702273631764</v>
      </c>
      <c r="F8" s="22">
        <f t="shared" si="1"/>
        <v>1688.1740454726353</v>
      </c>
      <c r="G8" s="23">
        <v>673</v>
      </c>
    </row>
    <row r="9" spans="1:40" ht="15" thickBot="1" x14ac:dyDescent="0.4">
      <c r="B9" s="58" t="s">
        <v>38</v>
      </c>
      <c r="C9" s="24">
        <v>73</v>
      </c>
      <c r="D9" s="25">
        <v>180.95</v>
      </c>
      <c r="E9" s="59">
        <f t="shared" si="0"/>
        <v>0.91668930866242726</v>
      </c>
      <c r="F9" s="26">
        <f t="shared" si="1"/>
        <v>1833.3786173248545</v>
      </c>
      <c r="G9" s="27">
        <v>732.5</v>
      </c>
    </row>
    <row r="10" spans="1:40" ht="15" thickBot="1" x14ac:dyDescent="0.4">
      <c r="B10" s="88" t="s">
        <v>44</v>
      </c>
      <c r="C10" s="84">
        <v>82</v>
      </c>
      <c r="D10" s="84">
        <v>207.2</v>
      </c>
      <c r="E10" s="85">
        <f t="shared" si="0"/>
        <v>0.92685011433311859</v>
      </c>
      <c r="F10" s="86">
        <f t="shared" si="1"/>
        <v>1853.7002286662371</v>
      </c>
      <c r="G10" s="87">
        <f>(F10-94.322)/2.3681</f>
        <v>742.94929634147081</v>
      </c>
    </row>
    <row r="11" spans="1:40" ht="44" thickBot="1" x14ac:dyDescent="0.4">
      <c r="I11" s="141" t="s">
        <v>15</v>
      </c>
      <c r="J11" s="123" t="s">
        <v>47</v>
      </c>
      <c r="K11" s="122" t="s">
        <v>48</v>
      </c>
      <c r="L11" s="71" t="s">
        <v>39</v>
      </c>
      <c r="M11" s="122" t="s">
        <v>43</v>
      </c>
      <c r="N11" s="71" t="s">
        <v>50</v>
      </c>
      <c r="O11" s="122" t="s">
        <v>46</v>
      </c>
      <c r="P11" s="71" t="s">
        <v>51</v>
      </c>
      <c r="Q11" s="72" t="s">
        <v>41</v>
      </c>
      <c r="R11" s="73" t="s">
        <v>42</v>
      </c>
      <c r="S11" s="30"/>
      <c r="T11" s="142" t="s">
        <v>15</v>
      </c>
      <c r="U11" s="115" t="s">
        <v>54</v>
      </c>
      <c r="V11" s="116" t="s">
        <v>55</v>
      </c>
      <c r="W11" s="116" t="s">
        <v>39</v>
      </c>
      <c r="X11" s="116" t="s">
        <v>43</v>
      </c>
      <c r="Y11" s="116" t="s">
        <v>50</v>
      </c>
      <c r="Z11" s="116" t="s">
        <v>46</v>
      </c>
      <c r="AA11" s="116" t="s">
        <v>51</v>
      </c>
      <c r="AB11" s="117" t="s">
        <v>41</v>
      </c>
      <c r="AC11" s="118" t="s">
        <v>42</v>
      </c>
      <c r="AD11" s="30"/>
      <c r="AE11" s="143" t="s">
        <v>15</v>
      </c>
      <c r="AF11" s="124" t="s">
        <v>56</v>
      </c>
      <c r="AG11" s="125" t="s">
        <v>57</v>
      </c>
      <c r="AH11" s="125" t="s">
        <v>39</v>
      </c>
      <c r="AI11" s="125" t="s">
        <v>43</v>
      </c>
      <c r="AJ11" s="125" t="s">
        <v>50</v>
      </c>
      <c r="AK11" s="125" t="s">
        <v>46</v>
      </c>
      <c r="AL11" s="125" t="s">
        <v>51</v>
      </c>
      <c r="AM11" s="126" t="s">
        <v>41</v>
      </c>
      <c r="AN11" s="127" t="s">
        <v>42</v>
      </c>
    </row>
    <row r="12" spans="1:40" x14ac:dyDescent="0.35">
      <c r="I12" s="65" t="s">
        <v>58</v>
      </c>
      <c r="J12" s="74">
        <v>728</v>
      </c>
      <c r="K12" s="67">
        <v>582</v>
      </c>
      <c r="L12" s="68">
        <f>(J12-K12)*2.3657</f>
        <v>345.3922</v>
      </c>
      <c r="M12" s="67">
        <v>349.1</v>
      </c>
      <c r="N12" s="77">
        <f>M12*$B$2/10</f>
        <v>394.83210000000003</v>
      </c>
      <c r="O12" s="67">
        <v>359.9</v>
      </c>
      <c r="P12" s="77">
        <f>O12*$B$2/10</f>
        <v>407.04689999999999</v>
      </c>
      <c r="Q12" s="144">
        <f>(($E$10/COS(RADIANS(0))*N12)+(1/COS(RADIANS(15)*P12)))</f>
        <v>366.9821359512066</v>
      </c>
      <c r="R12" s="70">
        <f>L12*10^3/Q12</f>
        <v>941.16897299306925</v>
      </c>
      <c r="S12" s="30"/>
      <c r="T12" s="119" t="s">
        <v>58</v>
      </c>
      <c r="U12" s="135"/>
      <c r="V12" s="136"/>
      <c r="W12" s="68">
        <f>(U12-V12)*2.3681</f>
        <v>0</v>
      </c>
      <c r="X12" s="67"/>
      <c r="Y12" s="77">
        <f>X12*$B$2/10</f>
        <v>0</v>
      </c>
      <c r="Z12" s="67"/>
      <c r="AA12" s="77">
        <f>Z12*$B$2/10</f>
        <v>0</v>
      </c>
      <c r="AB12" s="144">
        <f>(($F$9/COS(RADIANS(0))*Y12)+(1/COS(RADIANS(15)*AA12)))</f>
        <v>1</v>
      </c>
      <c r="AC12" s="137">
        <f>W12*10^3/AB12</f>
        <v>0</v>
      </c>
      <c r="AD12" s="30"/>
      <c r="AE12" s="128" t="s">
        <v>58</v>
      </c>
      <c r="AF12" s="135"/>
      <c r="AG12" s="136"/>
      <c r="AH12" s="68">
        <f>(AF12-AG12)*2.3681</f>
        <v>0</v>
      </c>
      <c r="AI12" s="67"/>
      <c r="AJ12" s="77">
        <f>AI12*$B$2/10</f>
        <v>0</v>
      </c>
      <c r="AK12" s="67"/>
      <c r="AL12" s="77">
        <f>AK12*$B$2/10</f>
        <v>0</v>
      </c>
      <c r="AM12" s="144">
        <f>(($F$9/COS(RADIANS(0))*AJ12)+(1/COS(RADIANS(15)*AL12)))</f>
        <v>1</v>
      </c>
      <c r="AN12" s="137">
        <f>AH12*10^3/AM12</f>
        <v>0</v>
      </c>
    </row>
    <row r="13" spans="1:40" x14ac:dyDescent="0.35">
      <c r="G13" s="10"/>
      <c r="H13" s="10"/>
      <c r="I13" s="76" t="s">
        <v>59</v>
      </c>
      <c r="J13" s="75">
        <v>724</v>
      </c>
      <c r="K13" s="31">
        <v>575</v>
      </c>
      <c r="L13" s="32">
        <f t="shared" ref="L13:L15" si="2">(J13-K13)*2.3681</f>
        <v>352.84690000000001</v>
      </c>
      <c r="M13" s="67">
        <v>349.1</v>
      </c>
      <c r="N13" s="77">
        <f>M13*$B$2/10</f>
        <v>394.83210000000003</v>
      </c>
      <c r="O13" s="67">
        <v>359.9</v>
      </c>
      <c r="P13" s="77">
        <f>O13*$B$2/10</f>
        <v>407.04689999999999</v>
      </c>
      <c r="Q13" s="144">
        <f>(($E$10/COS(RADIANS(0))*N13)+(1/COS(RADIANS(15)*P13)))</f>
        <v>366.9821359512066</v>
      </c>
      <c r="R13" s="70">
        <f>L13*10^3/Q13</f>
        <v>961.48249583166091</v>
      </c>
      <c r="S13" s="30"/>
      <c r="T13" s="120" t="s">
        <v>59</v>
      </c>
      <c r="U13" s="75"/>
      <c r="V13" s="31"/>
      <c r="W13" s="32">
        <f t="shared" ref="W13:W15" si="3">(U13-V13)*2.3681</f>
        <v>0</v>
      </c>
      <c r="X13" s="67"/>
      <c r="Y13" s="35">
        <f t="shared" ref="Y13:Y15" si="4">X13*$B$2/10</f>
        <v>0</v>
      </c>
      <c r="Z13" s="67"/>
      <c r="AA13" s="35">
        <f t="shared" ref="AA13:AA15" si="5">Z13*$B$2/10</f>
        <v>0</v>
      </c>
      <c r="AB13" s="144">
        <f t="shared" ref="AB13:AB15" si="6">(($F$9/COS(RADIANS(0))*Y13)+(1/COS(RADIANS(15)*AA13)))</f>
        <v>1</v>
      </c>
      <c r="AC13" s="62">
        <f>W13*10^3/AB13</f>
        <v>0</v>
      </c>
      <c r="AD13" s="30"/>
      <c r="AE13" s="129" t="s">
        <v>59</v>
      </c>
      <c r="AF13" s="75"/>
      <c r="AG13" s="31"/>
      <c r="AH13" s="32">
        <f t="shared" ref="AH13:AH15" si="7">(AF13-AG13)*2.3681</f>
        <v>0</v>
      </c>
      <c r="AI13" s="67"/>
      <c r="AJ13" s="35">
        <f t="shared" ref="AJ13:AJ15" si="8">AI13*$B$2/10</f>
        <v>0</v>
      </c>
      <c r="AK13" s="67"/>
      <c r="AL13" s="35">
        <f t="shared" ref="AL13:AL15" si="9">AK13*$B$2/10</f>
        <v>0</v>
      </c>
      <c r="AM13" s="144">
        <f>(($F$9/COS(RADIANS(0))*AJ13)+(1/COS(RADIANS(15)*AL13)))</f>
        <v>1</v>
      </c>
      <c r="AN13" s="62">
        <f>AH13*10^3/AM13</f>
        <v>0</v>
      </c>
    </row>
    <row r="14" spans="1:40" x14ac:dyDescent="0.35">
      <c r="I14" s="76" t="s">
        <v>60</v>
      </c>
      <c r="J14" s="75">
        <v>729</v>
      </c>
      <c r="K14" s="31">
        <v>582</v>
      </c>
      <c r="L14" s="32">
        <f t="shared" si="2"/>
        <v>348.11070000000001</v>
      </c>
      <c r="M14" s="67">
        <v>349.1</v>
      </c>
      <c r="N14" s="77">
        <f>M14*$B$2/10</f>
        <v>394.83210000000003</v>
      </c>
      <c r="O14" s="67">
        <v>359.9</v>
      </c>
      <c r="P14" s="77">
        <f>O14*$B$2/10</f>
        <v>407.04689999999999</v>
      </c>
      <c r="Q14" s="144">
        <f>(($E$10/COS(RADIANS(0))*N14)+(1/COS(RADIANS(15)*P14)))</f>
        <v>366.9821359512066</v>
      </c>
      <c r="R14" s="70">
        <f>L14*10^3/Q14</f>
        <v>948.57669051848427</v>
      </c>
      <c r="S14" s="30"/>
      <c r="T14" s="120" t="s">
        <v>60</v>
      </c>
      <c r="U14" s="75"/>
      <c r="V14" s="31"/>
      <c r="W14" s="32">
        <f t="shared" si="3"/>
        <v>0</v>
      </c>
      <c r="X14" s="67"/>
      <c r="Y14" s="35">
        <f t="shared" si="4"/>
        <v>0</v>
      </c>
      <c r="Z14" s="67"/>
      <c r="AA14" s="35">
        <f t="shared" si="5"/>
        <v>0</v>
      </c>
      <c r="AB14" s="144">
        <f t="shared" si="6"/>
        <v>1</v>
      </c>
      <c r="AC14" s="62">
        <f>W14*10^3/AB14</f>
        <v>0</v>
      </c>
      <c r="AD14" s="30"/>
      <c r="AE14" s="129" t="s">
        <v>60</v>
      </c>
      <c r="AF14" s="75"/>
      <c r="AG14" s="31"/>
      <c r="AH14" s="32">
        <f t="shared" si="7"/>
        <v>0</v>
      </c>
      <c r="AI14" s="67"/>
      <c r="AJ14" s="35">
        <f t="shared" si="8"/>
        <v>0</v>
      </c>
      <c r="AK14" s="67"/>
      <c r="AL14" s="35">
        <f t="shared" si="9"/>
        <v>0</v>
      </c>
      <c r="AM14" s="144">
        <f>(($F$9/COS(RADIANS(0))*AJ14)+(1/COS(RADIANS(15)*AL14)))</f>
        <v>1</v>
      </c>
      <c r="AN14" s="62">
        <f>AH14*10^3/AM14</f>
        <v>0</v>
      </c>
    </row>
    <row r="15" spans="1:40" ht="15" thickBot="1" x14ac:dyDescent="0.4">
      <c r="I15" s="66" t="s">
        <v>61</v>
      </c>
      <c r="J15" s="64">
        <v>729</v>
      </c>
      <c r="K15" s="33">
        <v>579</v>
      </c>
      <c r="L15" s="34">
        <f t="shared" si="2"/>
        <v>355.21500000000003</v>
      </c>
      <c r="M15" s="67">
        <v>349.1</v>
      </c>
      <c r="N15" s="77">
        <f>M15*$B$2/10</f>
        <v>394.83210000000003</v>
      </c>
      <c r="O15" s="67">
        <v>359.9</v>
      </c>
      <c r="P15" s="77">
        <f>O15*$B$2/10</f>
        <v>407.04689999999999</v>
      </c>
      <c r="Q15" s="144">
        <f>(($E$10/COS(RADIANS(0))*N15)+(1/COS(RADIANS(15)*P15)))</f>
        <v>366.9821359512066</v>
      </c>
      <c r="R15" s="70">
        <f>L15*10^3/Q15</f>
        <v>967.93539848824935</v>
      </c>
      <c r="S15" s="30"/>
      <c r="T15" s="121" t="s">
        <v>61</v>
      </c>
      <c r="U15" s="64"/>
      <c r="V15" s="33"/>
      <c r="W15" s="34">
        <f t="shared" si="3"/>
        <v>0</v>
      </c>
      <c r="X15" s="139"/>
      <c r="Y15" s="60">
        <f t="shared" si="4"/>
        <v>0</v>
      </c>
      <c r="Z15" s="139"/>
      <c r="AA15" s="60">
        <f t="shared" si="5"/>
        <v>0</v>
      </c>
      <c r="AB15" s="145">
        <f t="shared" si="6"/>
        <v>1</v>
      </c>
      <c r="AC15" s="63">
        <f>W15*10^3/AB15</f>
        <v>0</v>
      </c>
      <c r="AD15" s="30"/>
      <c r="AE15" s="130" t="s">
        <v>61</v>
      </c>
      <c r="AF15" s="64"/>
      <c r="AG15" s="33"/>
      <c r="AH15" s="34">
        <f t="shared" si="7"/>
        <v>0</v>
      </c>
      <c r="AI15" s="139"/>
      <c r="AJ15" s="60">
        <f t="shared" si="8"/>
        <v>0</v>
      </c>
      <c r="AK15" s="139"/>
      <c r="AL15" s="60">
        <f t="shared" si="9"/>
        <v>0</v>
      </c>
      <c r="AM15" s="145">
        <f>(($F$9/COS(RADIANS(0))*AJ15)+(1/COS(RADIANS(15)*AL15)))</f>
        <v>1</v>
      </c>
      <c r="AN15" s="63">
        <f>AH15*10^3/AM15</f>
        <v>0</v>
      </c>
    </row>
    <row r="16" spans="1:40" x14ac:dyDescent="0.35"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9:40" ht="15" thickBot="1" x14ac:dyDescent="0.4"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spans="9:40" ht="44" thickBot="1" x14ac:dyDescent="0.4">
      <c r="I18" s="141" t="s">
        <v>62</v>
      </c>
      <c r="J18" s="123" t="s">
        <v>47</v>
      </c>
      <c r="K18" s="122" t="s">
        <v>48</v>
      </c>
      <c r="L18" s="71" t="s">
        <v>39</v>
      </c>
      <c r="M18" s="122" t="s">
        <v>43</v>
      </c>
      <c r="N18" s="71" t="s">
        <v>50</v>
      </c>
      <c r="O18" s="122" t="s">
        <v>46</v>
      </c>
      <c r="P18" s="71" t="s">
        <v>51</v>
      </c>
      <c r="Q18" s="72" t="s">
        <v>41</v>
      </c>
      <c r="R18" s="73" t="s">
        <v>42</v>
      </c>
      <c r="S18" s="30"/>
      <c r="T18" s="142" t="s">
        <v>62</v>
      </c>
      <c r="U18" s="115" t="s">
        <v>54</v>
      </c>
      <c r="V18" s="116" t="s">
        <v>55</v>
      </c>
      <c r="W18" s="116" t="s">
        <v>39</v>
      </c>
      <c r="X18" s="116" t="s">
        <v>43</v>
      </c>
      <c r="Y18" s="116" t="s">
        <v>50</v>
      </c>
      <c r="Z18" s="116" t="s">
        <v>46</v>
      </c>
      <c r="AA18" s="116" t="s">
        <v>51</v>
      </c>
      <c r="AB18" s="117" t="s">
        <v>41</v>
      </c>
      <c r="AC18" s="118" t="s">
        <v>42</v>
      </c>
      <c r="AD18" s="30"/>
      <c r="AE18" s="143" t="s">
        <v>62</v>
      </c>
      <c r="AF18" s="124" t="s">
        <v>56</v>
      </c>
      <c r="AG18" s="125" t="s">
        <v>57</v>
      </c>
      <c r="AH18" s="125" t="s">
        <v>39</v>
      </c>
      <c r="AI18" s="125" t="s">
        <v>43</v>
      </c>
      <c r="AJ18" s="125" t="s">
        <v>50</v>
      </c>
      <c r="AK18" s="125" t="s">
        <v>46</v>
      </c>
      <c r="AL18" s="125" t="s">
        <v>51</v>
      </c>
      <c r="AM18" s="126" t="s">
        <v>41</v>
      </c>
      <c r="AN18" s="127" t="s">
        <v>42</v>
      </c>
    </row>
    <row r="19" spans="9:40" x14ac:dyDescent="0.35">
      <c r="I19" s="65" t="s">
        <v>63</v>
      </c>
      <c r="J19" s="74">
        <v>686</v>
      </c>
      <c r="K19" s="67">
        <v>553</v>
      </c>
      <c r="L19" s="68">
        <f>(J19-K19)*2.3681</f>
        <v>314.95730000000003</v>
      </c>
      <c r="M19" s="67">
        <v>349.1</v>
      </c>
      <c r="N19" s="67">
        <f>M19*$B$2/10</f>
        <v>394.83210000000003</v>
      </c>
      <c r="O19" s="67">
        <v>359.9</v>
      </c>
      <c r="P19" s="67">
        <f>O19*$B$2/10</f>
        <v>407.04689999999999</v>
      </c>
      <c r="Q19" s="144">
        <f>(($E$10/COS(RADIANS(0))*N19)+(1/COS(RADIANS(15)*P19)))</f>
        <v>366.9821359512066</v>
      </c>
      <c r="R19" s="70">
        <f>L19*10^3/Q19</f>
        <v>858.23605332624777</v>
      </c>
      <c r="S19" s="30"/>
      <c r="T19" s="119" t="s">
        <v>63</v>
      </c>
      <c r="U19" s="74"/>
      <c r="V19" s="67"/>
      <c r="W19" s="68">
        <f>(U19-V19)*2.3681</f>
        <v>0</v>
      </c>
      <c r="X19" s="67"/>
      <c r="Y19" s="77">
        <f>X19*$B$2/10</f>
        <v>0</v>
      </c>
      <c r="Z19" s="67"/>
      <c r="AA19" s="77">
        <f>Z19*$B$2/10</f>
        <v>0</v>
      </c>
      <c r="AB19" s="144">
        <f>(($F$9/COS(RADIANS(0))*Y19)+(1/COS(RADIANS(15)*AA19)))</f>
        <v>1</v>
      </c>
      <c r="AC19" s="70">
        <f>W19*10^3/AB19</f>
        <v>0</v>
      </c>
      <c r="AD19" s="30"/>
      <c r="AE19" s="128" t="s">
        <v>63</v>
      </c>
      <c r="AF19" s="74"/>
      <c r="AG19" s="67"/>
      <c r="AH19" s="68">
        <f>(AF19-AG19)*2.3681</f>
        <v>0</v>
      </c>
      <c r="AI19" s="67"/>
      <c r="AJ19" s="67">
        <f>AI19*$B$2/10</f>
        <v>0</v>
      </c>
      <c r="AK19" s="67"/>
      <c r="AL19" s="77">
        <f>AK19*$B$2/10</f>
        <v>0</v>
      </c>
      <c r="AM19" s="144">
        <f>(($F$9/COS(RADIANS(0))*AJ19)+(1/COS(RADIANS(15)*AL19)))</f>
        <v>1</v>
      </c>
      <c r="AN19" s="70">
        <f>AH19*10^3/AM19</f>
        <v>0</v>
      </c>
    </row>
    <row r="20" spans="9:40" ht="15" thickBot="1" x14ac:dyDescent="0.4">
      <c r="I20" s="66" t="s">
        <v>64</v>
      </c>
      <c r="J20" s="131">
        <v>617</v>
      </c>
      <c r="K20" s="132">
        <v>436</v>
      </c>
      <c r="L20" s="34">
        <f t="shared" ref="L20" si="10">(J20-K20)*2.3681</f>
        <v>428.62610000000001</v>
      </c>
      <c r="M20" s="67">
        <v>349.1</v>
      </c>
      <c r="N20" s="33">
        <f t="shared" ref="N20" si="11">M20*$B$2/10</f>
        <v>394.83210000000003</v>
      </c>
      <c r="O20" s="67">
        <v>359.9</v>
      </c>
      <c r="P20" s="33">
        <f t="shared" ref="P20" si="12">O20*$B$2/10</f>
        <v>407.04689999999999</v>
      </c>
      <c r="Q20" s="144">
        <f>(($E$10/COS(RADIANS(0))*N20)+(1/COS(RADIANS(15)*P20)))</f>
        <v>366.9821359512066</v>
      </c>
      <c r="R20" s="63">
        <f>L20*10^3/Q20</f>
        <v>1167.9753808424875</v>
      </c>
      <c r="S20" s="30"/>
      <c r="T20" s="121" t="s">
        <v>64</v>
      </c>
      <c r="U20" s="133"/>
      <c r="V20" s="134"/>
      <c r="W20" s="34">
        <f t="shared" ref="W20" si="13">(U20-V20)*2.3681</f>
        <v>0</v>
      </c>
      <c r="X20" s="139"/>
      <c r="Y20" s="60">
        <f t="shared" ref="Y20" si="14">X20*$B$2/10</f>
        <v>0</v>
      </c>
      <c r="Z20" s="139"/>
      <c r="AA20" s="60">
        <f t="shared" ref="AA20" si="15">Z20*$B$2/10</f>
        <v>0</v>
      </c>
      <c r="AB20" s="145">
        <f>(($F$9/COS(RADIANS(0))*Y20)+(1/COS(RADIANS(15)*AA20)))</f>
        <v>1</v>
      </c>
      <c r="AC20" s="138">
        <f>W20*10^3/AB20</f>
        <v>0</v>
      </c>
      <c r="AD20" s="30"/>
      <c r="AE20" s="130" t="s">
        <v>64</v>
      </c>
      <c r="AF20" s="133"/>
      <c r="AG20" s="134"/>
      <c r="AH20" s="34">
        <f t="shared" ref="AH20" si="16">(AF20-AG20)*2.3681</f>
        <v>0</v>
      </c>
      <c r="AI20" s="139"/>
      <c r="AJ20" s="33">
        <f t="shared" ref="AJ20" si="17">AI20*$B$2/10</f>
        <v>0</v>
      </c>
      <c r="AK20" s="139"/>
      <c r="AL20" s="60">
        <f t="shared" ref="AL20" si="18">AK20*$B$2/10</f>
        <v>0</v>
      </c>
      <c r="AM20" s="145">
        <f>(($F$9/COS(RADIANS(0))*AJ20)+(1/COS(RADIANS(15)*AL20)))</f>
        <v>1</v>
      </c>
      <c r="AN20" s="138">
        <f>AH20*10^3/AM20</f>
        <v>0</v>
      </c>
    </row>
    <row r="21" spans="9:40" x14ac:dyDescent="0.35"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2" spans="9:40" ht="15" thickBot="1" x14ac:dyDescent="0.4"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</row>
    <row r="23" spans="9:40" ht="44" thickBot="1" x14ac:dyDescent="0.4">
      <c r="I23" s="141" t="s">
        <v>65</v>
      </c>
      <c r="J23" s="123" t="s">
        <v>47</v>
      </c>
      <c r="K23" s="122" t="s">
        <v>48</v>
      </c>
      <c r="L23" s="71" t="s">
        <v>39</v>
      </c>
      <c r="M23" s="122" t="s">
        <v>43</v>
      </c>
      <c r="N23" s="71" t="s">
        <v>50</v>
      </c>
      <c r="O23" s="122" t="s">
        <v>46</v>
      </c>
      <c r="P23" s="71" t="s">
        <v>51</v>
      </c>
      <c r="Q23" s="72" t="s">
        <v>41</v>
      </c>
      <c r="R23" s="73" t="s">
        <v>42</v>
      </c>
      <c r="S23" s="30"/>
      <c r="T23" s="142" t="s">
        <v>65</v>
      </c>
      <c r="U23" s="115" t="s">
        <v>54</v>
      </c>
      <c r="V23" s="116" t="s">
        <v>55</v>
      </c>
      <c r="W23" s="116" t="s">
        <v>39</v>
      </c>
      <c r="X23" s="116" t="s">
        <v>43</v>
      </c>
      <c r="Y23" s="116" t="s">
        <v>50</v>
      </c>
      <c r="Z23" s="116" t="s">
        <v>46</v>
      </c>
      <c r="AA23" s="116" t="s">
        <v>51</v>
      </c>
      <c r="AB23" s="117" t="s">
        <v>41</v>
      </c>
      <c r="AC23" s="118" t="s">
        <v>42</v>
      </c>
      <c r="AD23" s="30"/>
      <c r="AE23" s="143" t="s">
        <v>65</v>
      </c>
      <c r="AF23" s="124" t="s">
        <v>56</v>
      </c>
      <c r="AG23" s="125" t="s">
        <v>57</v>
      </c>
      <c r="AH23" s="125" t="s">
        <v>39</v>
      </c>
      <c r="AI23" s="125" t="s">
        <v>43</v>
      </c>
      <c r="AJ23" s="125" t="s">
        <v>50</v>
      </c>
      <c r="AK23" s="125" t="s">
        <v>46</v>
      </c>
      <c r="AL23" s="125" t="s">
        <v>51</v>
      </c>
      <c r="AM23" s="126" t="s">
        <v>41</v>
      </c>
      <c r="AN23" s="127" t="s">
        <v>42</v>
      </c>
    </row>
    <row r="24" spans="9:40" ht="15" thickBot="1" x14ac:dyDescent="0.4">
      <c r="I24" s="65" t="s">
        <v>66</v>
      </c>
      <c r="J24" s="114">
        <v>717</v>
      </c>
      <c r="K24" s="67">
        <v>587</v>
      </c>
      <c r="L24" s="34">
        <f t="shared" ref="L24:L25" si="19">(J24-K24)*2.3681</f>
        <v>307.85300000000001</v>
      </c>
      <c r="M24" s="67">
        <v>349.1</v>
      </c>
      <c r="N24" s="67">
        <f>M24*$B$2/10</f>
        <v>394.83210000000003</v>
      </c>
      <c r="O24" s="67">
        <v>359.9</v>
      </c>
      <c r="P24" s="67">
        <f>O24*$B$2/10</f>
        <v>407.04689999999999</v>
      </c>
      <c r="Q24" s="144">
        <f>(($E$10/COS(RADIANS(0))*N24)+(1/COS(RADIANS(15)*P24)))</f>
        <v>366.9821359512066</v>
      </c>
      <c r="R24" s="70">
        <f>L24*10^3/Q24</f>
        <v>838.87734535648258</v>
      </c>
      <c r="S24" s="30"/>
      <c r="T24" s="119" t="s">
        <v>66</v>
      </c>
      <c r="U24" s="114"/>
      <c r="V24" s="67"/>
      <c r="W24" s="68">
        <f>(U25-V24)*2.3681</f>
        <v>0</v>
      </c>
      <c r="X24" s="67"/>
      <c r="Y24" s="77">
        <f>X24*$B$2/10</f>
        <v>0</v>
      </c>
      <c r="Z24" s="67"/>
      <c r="AA24" s="77">
        <f>Z24*$B$2/10</f>
        <v>0</v>
      </c>
      <c r="AB24" s="144">
        <f>(($F$9/COS(RADIANS(0))*Y24)+(1/COS(RADIANS(15)*AA24)))</f>
        <v>1</v>
      </c>
      <c r="AC24" s="70">
        <f>W24*10^3/AB24</f>
        <v>0</v>
      </c>
      <c r="AD24" s="30"/>
      <c r="AE24" s="128" t="s">
        <v>66</v>
      </c>
      <c r="AF24" s="114"/>
      <c r="AG24" s="67"/>
      <c r="AH24" s="68">
        <f>(AF25-AG24)*2.3681</f>
        <v>0</v>
      </c>
      <c r="AI24" s="67"/>
      <c r="AJ24" s="67">
        <f>AI24*$B$2/10</f>
        <v>0</v>
      </c>
      <c r="AK24" s="67"/>
      <c r="AL24" s="77">
        <f>AK24*$B$2/10</f>
        <v>0</v>
      </c>
      <c r="AM24" s="144">
        <f>(($F$9/COS(RADIANS(0))*AJ24)+(1/COS(RADIANS(15)*AL24)))</f>
        <v>1</v>
      </c>
      <c r="AN24" s="70">
        <f>AH24*10^3/AM24</f>
        <v>0</v>
      </c>
    </row>
    <row r="25" spans="9:40" ht="15" thickBot="1" x14ac:dyDescent="0.4">
      <c r="I25" s="66" t="s">
        <v>67</v>
      </c>
      <c r="J25" s="64">
        <v>717</v>
      </c>
      <c r="K25" s="33">
        <v>586</v>
      </c>
      <c r="L25" s="34">
        <f t="shared" si="19"/>
        <v>310.22110000000004</v>
      </c>
      <c r="M25" s="67">
        <v>349.1</v>
      </c>
      <c r="N25" s="33">
        <f t="shared" ref="N25" si="20">M25*$B$2/10</f>
        <v>394.83210000000003</v>
      </c>
      <c r="O25" s="67">
        <v>359.9</v>
      </c>
      <c r="P25" s="33">
        <f t="shared" ref="P25" si="21">O25*$B$2/10</f>
        <v>407.04689999999999</v>
      </c>
      <c r="Q25" s="144">
        <f>(($E$10/COS(RADIANS(0))*N25)+(1/COS(RADIANS(15)*P25)))</f>
        <v>366.9821359512066</v>
      </c>
      <c r="R25" s="63">
        <f>L25*10^3/Q25</f>
        <v>845.33024801307101</v>
      </c>
      <c r="S25" s="30"/>
      <c r="T25" s="121" t="s">
        <v>67</v>
      </c>
      <c r="U25" s="64"/>
      <c r="V25" s="33"/>
      <c r="W25" s="34">
        <f>(U25-V25)*2.3681</f>
        <v>0</v>
      </c>
      <c r="X25" s="139"/>
      <c r="Y25" s="60">
        <f t="shared" ref="Y25" si="22">X25*$B$2/10</f>
        <v>0</v>
      </c>
      <c r="Z25" s="139"/>
      <c r="AA25" s="60">
        <f t="shared" ref="AA25" si="23">Z25*$B$2/10</f>
        <v>0</v>
      </c>
      <c r="AB25" s="145">
        <f>(($F$9/COS(RADIANS(0))*Y25)+(1/COS(RADIANS(15)*AA25)))</f>
        <v>1</v>
      </c>
      <c r="AC25" s="63">
        <f>W25*10^3/AB25</f>
        <v>0</v>
      </c>
      <c r="AD25" s="30"/>
      <c r="AE25" s="130" t="s">
        <v>67</v>
      </c>
      <c r="AF25" s="64"/>
      <c r="AG25" s="33"/>
      <c r="AH25" s="34">
        <f>(AF25-AG25)*2.3681</f>
        <v>0</v>
      </c>
      <c r="AI25" s="139"/>
      <c r="AJ25" s="33">
        <f t="shared" ref="AJ25" si="24">AI25*$B$2/10</f>
        <v>0</v>
      </c>
      <c r="AK25" s="139"/>
      <c r="AL25" s="60">
        <f t="shared" ref="AL25" si="25">AK25*$B$2/10</f>
        <v>0</v>
      </c>
      <c r="AM25" s="145">
        <f>(($F$9/COS(RADIANS(0))*AJ25)+(1/COS(RADIANS(15)*AL25)))</f>
        <v>1</v>
      </c>
      <c r="AN25" s="63">
        <f>AH25*10^3/AM25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topLeftCell="K9" zoomScaleNormal="100" workbookViewId="0">
      <selection activeCell="W23" sqref="W23:X24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08984375" customWidth="1"/>
    <col min="7" max="7" width="12" bestFit="1" customWidth="1"/>
    <col min="10" max="10" width="15.36328125" customWidth="1"/>
    <col min="11" max="11" width="6.6328125" bestFit="1" customWidth="1"/>
    <col min="12" max="12" width="7.36328125" bestFit="1" customWidth="1"/>
    <col min="13" max="13" width="10" bestFit="1" customWidth="1"/>
    <col min="14" max="14" width="7.26953125" bestFit="1" customWidth="1"/>
    <col min="15" max="16" width="14.36328125" bestFit="1" customWidth="1"/>
    <col min="17" max="18" width="18.81640625" bestFit="1" customWidth="1"/>
    <col min="19" max="19" width="7.81640625" bestFit="1" customWidth="1"/>
    <col min="22" max="22" width="6.6328125" bestFit="1" customWidth="1"/>
    <col min="23" max="24" width="7.36328125" bestFit="1" customWidth="1"/>
    <col min="25" max="25" width="7.26953125" bestFit="1" customWidth="1"/>
    <col min="26" max="27" width="14.36328125" bestFit="1" customWidth="1"/>
    <col min="28" max="28" width="18.81640625" customWidth="1"/>
    <col min="29" max="29" width="18.81640625" bestFit="1" customWidth="1"/>
    <col min="30" max="30" width="7.81640625" bestFit="1" customWidth="1"/>
    <col min="31" max="31" width="6.26953125" customWidth="1"/>
    <col min="33" max="33" width="6.6328125" bestFit="1" customWidth="1"/>
    <col min="34" max="35" width="7.36328125" bestFit="1" customWidth="1"/>
    <col min="37" max="38" width="14.36328125" bestFit="1" customWidth="1"/>
    <col min="39" max="40" width="18.81640625" bestFit="1" customWidth="1"/>
    <col min="41" max="41" width="7.81640625" bestFit="1" customWidth="1"/>
    <col min="42" max="42" width="6.1796875" bestFit="1" customWidth="1"/>
  </cols>
  <sheetData>
    <row r="1" spans="1:42" ht="15" thickBot="1" x14ac:dyDescent="0.4">
      <c r="A1" s="80" t="s">
        <v>28</v>
      </c>
      <c r="B1" s="38">
        <v>2000</v>
      </c>
      <c r="C1" s="81" t="s">
        <v>29</v>
      </c>
    </row>
    <row r="2" spans="1:42" ht="29.5" thickBot="1" x14ac:dyDescent="0.4">
      <c r="A2" s="82" t="s">
        <v>53</v>
      </c>
      <c r="B2" s="41">
        <v>11.31</v>
      </c>
      <c r="C2" s="83" t="s">
        <v>45</v>
      </c>
      <c r="G2" s="28" t="s">
        <v>40</v>
      </c>
    </row>
    <row r="3" spans="1:42" ht="29.5" thickBot="1" x14ac:dyDescent="0.4">
      <c r="C3" s="111" t="s">
        <v>30</v>
      </c>
      <c r="D3" s="112" t="s">
        <v>31</v>
      </c>
      <c r="E3" s="112" t="s">
        <v>32</v>
      </c>
      <c r="F3" s="112" t="s">
        <v>52</v>
      </c>
      <c r="G3" s="112" t="s">
        <v>49</v>
      </c>
      <c r="H3" s="113" t="s">
        <v>33</v>
      </c>
    </row>
    <row r="4" spans="1:42" x14ac:dyDescent="0.35">
      <c r="C4" s="47" t="s">
        <v>34</v>
      </c>
      <c r="D4" s="107">
        <v>8</v>
      </c>
      <c r="E4" s="108">
        <v>15.999000000000001</v>
      </c>
      <c r="F4" s="91">
        <f t="shared" ref="F4:F9" si="0">((SQRT(1-(1/E4)^2*SIN(RADIANS(165))^2)+1/E4*COS(RADIANS(165)))/(1+1/E4))^2</f>
        <v>0.78185798881983415</v>
      </c>
      <c r="G4" s="109">
        <f>$B$1*F4</f>
        <v>1563.7159776396684</v>
      </c>
      <c r="H4" s="110"/>
    </row>
    <row r="5" spans="1:42" x14ac:dyDescent="0.35">
      <c r="C5" s="52" t="s">
        <v>35</v>
      </c>
      <c r="D5" s="89">
        <v>14</v>
      </c>
      <c r="E5" s="90">
        <v>28.085000000000001</v>
      </c>
      <c r="F5" s="91">
        <f t="shared" si="0"/>
        <v>0.86930741306534087</v>
      </c>
      <c r="G5" s="92">
        <f>$B$1*F5</f>
        <v>1738.6148261306816</v>
      </c>
      <c r="H5" s="93"/>
    </row>
    <row r="6" spans="1:42" x14ac:dyDescent="0.35">
      <c r="C6" s="54" t="s">
        <v>36</v>
      </c>
      <c r="D6" s="94">
        <v>23</v>
      </c>
      <c r="E6" s="95">
        <v>50.942</v>
      </c>
      <c r="F6" s="91">
        <f t="shared" si="0"/>
        <v>0.9257111865667883</v>
      </c>
      <c r="G6" s="96">
        <f>$B$1*F6</f>
        <v>1851.4223731335767</v>
      </c>
      <c r="H6" s="97"/>
      <c r="I6" s="10"/>
    </row>
    <row r="7" spans="1:42" x14ac:dyDescent="0.35">
      <c r="C7" s="56" t="s">
        <v>37</v>
      </c>
      <c r="D7" s="98">
        <v>41</v>
      </c>
      <c r="E7" s="99">
        <v>92.906000000000006</v>
      </c>
      <c r="F7" s="91">
        <f t="shared" si="0"/>
        <v>0.95856067934676659</v>
      </c>
      <c r="G7" s="100">
        <f>$B$1*F7</f>
        <v>1917.1213586935332</v>
      </c>
      <c r="H7" s="101"/>
    </row>
    <row r="8" spans="1:42" ht="15" thickBot="1" x14ac:dyDescent="0.4">
      <c r="C8" s="58" t="s">
        <v>38</v>
      </c>
      <c r="D8" s="102">
        <v>73</v>
      </c>
      <c r="E8" s="103">
        <v>180.95</v>
      </c>
      <c r="F8" s="104">
        <f t="shared" si="0"/>
        <v>0.97850521298958393</v>
      </c>
      <c r="G8" s="105">
        <f>$B$1*F8</f>
        <v>1957.0104259791678</v>
      </c>
      <c r="H8" s="106"/>
      <c r="J8" s="29"/>
    </row>
    <row r="9" spans="1:42" ht="15" thickBot="1" x14ac:dyDescent="0.4">
      <c r="C9" s="88" t="s">
        <v>44</v>
      </c>
      <c r="D9" s="84">
        <v>82</v>
      </c>
      <c r="E9" s="84">
        <v>207.2</v>
      </c>
      <c r="F9" s="85">
        <f t="shared" si="0"/>
        <v>0.9812026480871997</v>
      </c>
      <c r="G9" s="86">
        <f t="shared" ref="G9" si="1">$B$1*F9</f>
        <v>1962.4052961743994</v>
      </c>
      <c r="H9" s="146"/>
    </row>
    <row r="10" spans="1:42" ht="44" thickBot="1" x14ac:dyDescent="0.4">
      <c r="J10" s="5"/>
      <c r="K10" s="141" t="s">
        <v>15</v>
      </c>
      <c r="L10" s="123" t="s">
        <v>47</v>
      </c>
      <c r="M10" s="122" t="s">
        <v>48</v>
      </c>
      <c r="N10" s="71" t="s">
        <v>39</v>
      </c>
      <c r="O10" s="122" t="s">
        <v>43</v>
      </c>
      <c r="P10" s="71" t="s">
        <v>50</v>
      </c>
      <c r="Q10" s="122" t="s">
        <v>46</v>
      </c>
      <c r="R10" s="71" t="s">
        <v>51</v>
      </c>
      <c r="S10" s="72" t="s">
        <v>41</v>
      </c>
      <c r="T10" s="73" t="s">
        <v>42</v>
      </c>
      <c r="V10" s="142" t="s">
        <v>15</v>
      </c>
      <c r="W10" s="115" t="s">
        <v>54</v>
      </c>
      <c r="X10" s="116" t="s">
        <v>55</v>
      </c>
      <c r="Y10" s="116" t="s">
        <v>39</v>
      </c>
      <c r="Z10" s="116" t="s">
        <v>43</v>
      </c>
      <c r="AA10" s="116" t="s">
        <v>50</v>
      </c>
      <c r="AB10" s="116" t="s">
        <v>46</v>
      </c>
      <c r="AC10" s="116" t="s">
        <v>51</v>
      </c>
      <c r="AD10" s="117" t="s">
        <v>41</v>
      </c>
      <c r="AE10" s="118" t="s">
        <v>42</v>
      </c>
      <c r="AG10" s="143" t="s">
        <v>15</v>
      </c>
      <c r="AH10" s="124" t="s">
        <v>56</v>
      </c>
      <c r="AI10" s="125" t="s">
        <v>57</v>
      </c>
      <c r="AJ10" s="125" t="s">
        <v>39</v>
      </c>
      <c r="AK10" s="125" t="s">
        <v>43</v>
      </c>
      <c r="AL10" s="125" t="s">
        <v>50</v>
      </c>
      <c r="AM10" s="125" t="s">
        <v>46</v>
      </c>
      <c r="AN10" s="125" t="s">
        <v>51</v>
      </c>
      <c r="AO10" s="126" t="s">
        <v>41</v>
      </c>
      <c r="AP10" s="127" t="s">
        <v>42</v>
      </c>
    </row>
    <row r="11" spans="1:42" x14ac:dyDescent="0.35">
      <c r="K11" s="65" t="s">
        <v>58</v>
      </c>
      <c r="L11" s="74"/>
      <c r="M11" s="67"/>
      <c r="N11" s="68">
        <f>(L11-M11)*2.381</f>
        <v>0</v>
      </c>
      <c r="O11" s="67"/>
      <c r="P11" s="77">
        <f>O11*$B$2/10</f>
        <v>0</v>
      </c>
      <c r="Q11" s="67"/>
      <c r="R11" s="78">
        <f>Q11*$B$2/10</f>
        <v>0</v>
      </c>
      <c r="S11" s="69">
        <f>(($F$9/COS(RADIANS(0))*P11)+(1/COS(RADIANS(15)*R11)))</f>
        <v>1</v>
      </c>
      <c r="T11" s="70">
        <f>N11*10^3/S11</f>
        <v>0</v>
      </c>
      <c r="V11" s="119" t="s">
        <v>58</v>
      </c>
      <c r="W11" s="74"/>
      <c r="X11" s="67"/>
      <c r="Y11" s="68">
        <f>(W11-X11)*2.381</f>
        <v>0</v>
      </c>
      <c r="Z11" s="67">
        <v>133.5</v>
      </c>
      <c r="AA11" s="77">
        <f>Z11*$B$2/10</f>
        <v>150.98849999999999</v>
      </c>
      <c r="AB11" s="67">
        <v>135.30000000000001</v>
      </c>
      <c r="AC11" s="78">
        <f>AB11*$B$2/10</f>
        <v>153.02430000000001</v>
      </c>
      <c r="AD11" s="69">
        <f>(($F$9/COS(RADIANS(0))*AA11)+(1/COS(RADIANS(15)*AC11)))</f>
        <v>146.74501411526421</v>
      </c>
      <c r="AE11" s="137">
        <f>Y11*10^3/AD11</f>
        <v>0</v>
      </c>
      <c r="AG11" s="128" t="s">
        <v>58</v>
      </c>
      <c r="AH11" s="135"/>
      <c r="AI11" s="136"/>
      <c r="AJ11" s="68">
        <f>(AH11-AI11)*2.381</f>
        <v>0</v>
      </c>
      <c r="AK11" s="67">
        <v>139.5</v>
      </c>
      <c r="AL11" s="77">
        <f>AK11*$B$2/10</f>
        <v>157.77450000000002</v>
      </c>
      <c r="AM11" s="67">
        <v>141.5</v>
      </c>
      <c r="AN11" s="78">
        <f>AM11*$B$2/10</f>
        <v>160.03649999999999</v>
      </c>
      <c r="AO11" s="69">
        <f>(($F$9/COS(RADIANS(0))*AL11)+(1/COS(RADIANS(15)*AN11)))</f>
        <v>152.7750043830697</v>
      </c>
      <c r="AP11" s="137">
        <f>AJ11*10^3/AO11</f>
        <v>0</v>
      </c>
    </row>
    <row r="12" spans="1:42" x14ac:dyDescent="0.35">
      <c r="K12" s="76" t="s">
        <v>59</v>
      </c>
      <c r="L12" s="75"/>
      <c r="M12" s="31"/>
      <c r="N12" s="68">
        <f t="shared" ref="N12:N14" si="2">(L12-M12)*2.381</f>
        <v>0</v>
      </c>
      <c r="O12" s="67"/>
      <c r="P12" s="35">
        <f t="shared" ref="P12:P14" si="3">O12*$B$2/10</f>
        <v>0</v>
      </c>
      <c r="Q12" s="67"/>
      <c r="R12" s="36">
        <f t="shared" ref="R12:R14" si="4">Q12*$B$2/10</f>
        <v>0</v>
      </c>
      <c r="S12" s="69">
        <f t="shared" ref="S12:S14" si="5">(($F$9/COS(RADIANS(0))*P12)+(1/COS(RADIANS(15)*R12)))</f>
        <v>1</v>
      </c>
      <c r="T12" s="62">
        <f>N12*10^3/S12</f>
        <v>0</v>
      </c>
      <c r="V12" s="120" t="s">
        <v>59</v>
      </c>
      <c r="W12" s="75"/>
      <c r="X12" s="31"/>
      <c r="Y12" s="68">
        <f>(W12-X12)*2.381</f>
        <v>0</v>
      </c>
      <c r="Z12" s="67">
        <v>133.5</v>
      </c>
      <c r="AA12" s="35">
        <f t="shared" ref="AA12:AA14" si="6">Z12*$B$2/10</f>
        <v>150.98849999999999</v>
      </c>
      <c r="AB12" s="67">
        <v>135.30000000000001</v>
      </c>
      <c r="AC12" s="36">
        <f t="shared" ref="AC12:AC14" si="7">AB12*$B$2/10</f>
        <v>153.02430000000001</v>
      </c>
      <c r="AD12" s="69">
        <f t="shared" ref="AD12:AD14" si="8">(($F$9/COS(RADIANS(0))*AA12)+(1/COS(RADIANS(15)*AC12)))</f>
        <v>146.74501411526421</v>
      </c>
      <c r="AE12" s="62">
        <f>Y12*10^3/AD12</f>
        <v>0</v>
      </c>
      <c r="AG12" s="129" t="s">
        <v>59</v>
      </c>
      <c r="AH12" s="75">
        <v>579</v>
      </c>
      <c r="AI12" s="31">
        <v>573</v>
      </c>
      <c r="AJ12" s="68">
        <f t="shared" ref="AJ12:AJ14" si="9">(AH12-AI12)*2.381</f>
        <v>14.285999999999998</v>
      </c>
      <c r="AK12" s="67">
        <v>139.5</v>
      </c>
      <c r="AL12" s="35">
        <f t="shared" ref="AL12:AL14" si="10">AK12*$B$2/10</f>
        <v>157.77450000000002</v>
      </c>
      <c r="AM12" s="67">
        <v>141.5</v>
      </c>
      <c r="AN12" s="36">
        <f t="shared" ref="AN12:AN14" si="11">AM12*$B$2/10</f>
        <v>160.03649999999999</v>
      </c>
      <c r="AO12" s="69">
        <f>(($F$9/COS(RADIANS(0))*AL12)+(1/COS(RADIANS(15)*AN12)))</f>
        <v>152.7750043830697</v>
      </c>
      <c r="AP12" s="62">
        <f>AJ12*10^3/AO12</f>
        <v>93.51006113656608</v>
      </c>
    </row>
    <row r="13" spans="1:42" x14ac:dyDescent="0.35">
      <c r="K13" s="76" t="s">
        <v>60</v>
      </c>
      <c r="L13" s="75"/>
      <c r="M13" s="31"/>
      <c r="N13" s="68">
        <f t="shared" si="2"/>
        <v>0</v>
      </c>
      <c r="O13" s="67"/>
      <c r="P13" s="35">
        <f t="shared" si="3"/>
        <v>0</v>
      </c>
      <c r="Q13" s="67"/>
      <c r="R13" s="36">
        <f t="shared" si="4"/>
        <v>0</v>
      </c>
      <c r="S13" s="69">
        <f t="shared" si="5"/>
        <v>1</v>
      </c>
      <c r="T13" s="62">
        <f>N13*10^3/S13</f>
        <v>0</v>
      </c>
      <c r="V13" s="120" t="s">
        <v>60</v>
      </c>
      <c r="W13" s="75"/>
      <c r="X13" s="31"/>
      <c r="Y13" s="68">
        <f>(W13-X13)*2.381</f>
        <v>0</v>
      </c>
      <c r="Z13" s="67">
        <v>133.5</v>
      </c>
      <c r="AA13" s="35">
        <f t="shared" si="6"/>
        <v>150.98849999999999</v>
      </c>
      <c r="AB13" s="67">
        <v>135.30000000000001</v>
      </c>
      <c r="AC13" s="36">
        <f t="shared" si="7"/>
        <v>153.02430000000001</v>
      </c>
      <c r="AD13" s="69">
        <f t="shared" si="8"/>
        <v>146.74501411526421</v>
      </c>
      <c r="AE13" s="62">
        <f>Y13*10^3/AD13</f>
        <v>0</v>
      </c>
      <c r="AG13" s="129" t="s">
        <v>60</v>
      </c>
      <c r="AH13" s="75">
        <v>581</v>
      </c>
      <c r="AI13" s="31">
        <v>574</v>
      </c>
      <c r="AJ13" s="68">
        <f t="shared" si="9"/>
        <v>16.666999999999998</v>
      </c>
      <c r="AK13" s="67">
        <v>139.5</v>
      </c>
      <c r="AL13" s="35">
        <f t="shared" si="10"/>
        <v>157.77450000000002</v>
      </c>
      <c r="AM13" s="67">
        <v>141.5</v>
      </c>
      <c r="AN13" s="36">
        <f t="shared" si="11"/>
        <v>160.03649999999999</v>
      </c>
      <c r="AO13" s="69">
        <f>(($F$9/COS(RADIANS(0))*AL13)+(1/COS(RADIANS(15)*AN13)))</f>
        <v>152.7750043830697</v>
      </c>
      <c r="AP13" s="62">
        <f>AJ13*10^3/AO13</f>
        <v>109.09507132599374</v>
      </c>
    </row>
    <row r="14" spans="1:42" ht="15" thickBot="1" x14ac:dyDescent="0.4">
      <c r="K14" s="66" t="s">
        <v>61</v>
      </c>
      <c r="L14" s="64"/>
      <c r="M14" s="33"/>
      <c r="N14" s="68">
        <f t="shared" si="2"/>
        <v>0</v>
      </c>
      <c r="O14" s="139"/>
      <c r="P14" s="60">
        <f t="shared" si="3"/>
        <v>0</v>
      </c>
      <c r="Q14" s="139"/>
      <c r="R14" s="61">
        <f t="shared" si="4"/>
        <v>0</v>
      </c>
      <c r="S14" s="140">
        <f t="shared" si="5"/>
        <v>1</v>
      </c>
      <c r="T14" s="63">
        <f>N14*10^3/S14</f>
        <v>0</v>
      </c>
      <c r="V14" s="121" t="s">
        <v>61</v>
      </c>
      <c r="W14" s="64"/>
      <c r="X14" s="33"/>
      <c r="Y14" s="68">
        <f>(W14-X14)*2.381</f>
        <v>0</v>
      </c>
      <c r="Z14" s="139">
        <v>133.5</v>
      </c>
      <c r="AA14" s="60">
        <f t="shared" si="6"/>
        <v>150.98849999999999</v>
      </c>
      <c r="AB14" s="139">
        <v>135.30000000000001</v>
      </c>
      <c r="AC14" s="61">
        <f t="shared" si="7"/>
        <v>153.02430000000001</v>
      </c>
      <c r="AD14" s="140">
        <f t="shared" si="8"/>
        <v>146.74501411526421</v>
      </c>
      <c r="AE14" s="63">
        <f>Y14*10^3/AD14</f>
        <v>0</v>
      </c>
      <c r="AG14" s="130" t="s">
        <v>61</v>
      </c>
      <c r="AH14" s="64">
        <v>580</v>
      </c>
      <c r="AI14" s="33">
        <v>573</v>
      </c>
      <c r="AJ14" s="68">
        <f t="shared" si="9"/>
        <v>16.666999999999998</v>
      </c>
      <c r="AK14" s="139">
        <v>139.5</v>
      </c>
      <c r="AL14" s="60">
        <f t="shared" si="10"/>
        <v>157.77450000000002</v>
      </c>
      <c r="AM14" s="139">
        <v>141.5</v>
      </c>
      <c r="AN14" s="61">
        <f t="shared" si="11"/>
        <v>160.03649999999999</v>
      </c>
      <c r="AO14" s="140">
        <f>(($F$9/COS(RADIANS(0))*AL14)+(1/COS(RADIANS(15)*AN14)))</f>
        <v>152.7750043830697</v>
      </c>
      <c r="AP14" s="63">
        <f>AJ14*10^3/AO14</f>
        <v>109.09507132599374</v>
      </c>
    </row>
    <row r="15" spans="1:42" x14ac:dyDescent="0.35"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</row>
    <row r="16" spans="1:42" ht="15" thickBot="1" x14ac:dyDescent="0.4"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</row>
    <row r="17" spans="11:42" ht="44" thickBot="1" x14ac:dyDescent="0.4">
      <c r="K17" s="141" t="s">
        <v>62</v>
      </c>
      <c r="L17" s="123" t="s">
        <v>47</v>
      </c>
      <c r="M17" s="122" t="s">
        <v>48</v>
      </c>
      <c r="N17" s="71" t="s">
        <v>39</v>
      </c>
      <c r="O17" s="122" t="s">
        <v>43</v>
      </c>
      <c r="P17" s="71" t="s">
        <v>50</v>
      </c>
      <c r="Q17" s="122" t="s">
        <v>46</v>
      </c>
      <c r="R17" s="71" t="s">
        <v>51</v>
      </c>
      <c r="S17" s="72" t="s">
        <v>41</v>
      </c>
      <c r="T17" s="73" t="s">
        <v>42</v>
      </c>
      <c r="V17" s="142" t="s">
        <v>62</v>
      </c>
      <c r="W17" s="115" t="s">
        <v>54</v>
      </c>
      <c r="X17" s="116" t="s">
        <v>55</v>
      </c>
      <c r="Y17" s="116" t="s">
        <v>39</v>
      </c>
      <c r="Z17" s="116" t="s">
        <v>43</v>
      </c>
      <c r="AA17" s="116" t="s">
        <v>50</v>
      </c>
      <c r="AB17" s="116" t="s">
        <v>46</v>
      </c>
      <c r="AC17" s="116" t="s">
        <v>51</v>
      </c>
      <c r="AD17" s="117" t="s">
        <v>41</v>
      </c>
      <c r="AE17" s="118" t="s">
        <v>42</v>
      </c>
      <c r="AG17" s="143" t="s">
        <v>62</v>
      </c>
      <c r="AH17" s="124" t="s">
        <v>56</v>
      </c>
      <c r="AI17" s="125" t="s">
        <v>57</v>
      </c>
      <c r="AJ17" s="125" t="s">
        <v>39</v>
      </c>
      <c r="AK17" s="125" t="s">
        <v>43</v>
      </c>
      <c r="AL17" s="125" t="s">
        <v>50</v>
      </c>
      <c r="AM17" s="125" t="s">
        <v>46</v>
      </c>
      <c r="AN17" s="125" t="s">
        <v>51</v>
      </c>
      <c r="AO17" s="126" t="s">
        <v>41</v>
      </c>
      <c r="AP17" s="127" t="s">
        <v>42</v>
      </c>
    </row>
    <row r="18" spans="11:42" x14ac:dyDescent="0.35">
      <c r="K18" s="65" t="s">
        <v>63</v>
      </c>
      <c r="L18" s="74"/>
      <c r="M18" s="67"/>
      <c r="N18" s="68">
        <f>(L18-M18)*2.381</f>
        <v>0</v>
      </c>
      <c r="O18" s="67"/>
      <c r="P18" s="67">
        <f>O18*$B$2/10</f>
        <v>0</v>
      </c>
      <c r="Q18" s="67"/>
      <c r="R18" s="67">
        <f>Q18*$B$2/10</f>
        <v>0</v>
      </c>
      <c r="S18" s="69">
        <f t="shared" ref="S18:S19" si="12">(($F$9/COS(RADIANS(0))*P18)+(1/COS(RADIANS(15)*R18)))</f>
        <v>1</v>
      </c>
      <c r="T18" s="70">
        <f>N18*10^3/S18</f>
        <v>0</v>
      </c>
      <c r="V18" s="119" t="s">
        <v>63</v>
      </c>
      <c r="W18" s="74"/>
      <c r="X18" s="67"/>
      <c r="Y18" s="68">
        <f t="shared" ref="Y18:Y19" si="13">(W18-X18)*2.381</f>
        <v>0</v>
      </c>
      <c r="Z18" s="67">
        <v>133.5</v>
      </c>
      <c r="AA18" s="67">
        <f>Z18*$B$2/10</f>
        <v>150.98849999999999</v>
      </c>
      <c r="AB18" s="67">
        <v>135.30000000000001</v>
      </c>
      <c r="AC18" s="67">
        <f>AB18*$B$2/10</f>
        <v>153.02430000000001</v>
      </c>
      <c r="AD18" s="69">
        <f>(($F$9/COS(RADIANS(0))*AA18)+(1/COS(RADIANS(15)*AC18)))</f>
        <v>146.74501411526421</v>
      </c>
      <c r="AE18" s="70">
        <f>Y18*10^3/AD18</f>
        <v>0</v>
      </c>
      <c r="AG18" s="128" t="s">
        <v>63</v>
      </c>
      <c r="AH18" s="74">
        <v>580</v>
      </c>
      <c r="AI18" s="67">
        <v>571</v>
      </c>
      <c r="AJ18" s="68">
        <f t="shared" ref="AJ18:AJ19" si="14">(AH18-AI18)*2.381</f>
        <v>21.428999999999998</v>
      </c>
      <c r="AK18" s="67">
        <v>139.5</v>
      </c>
      <c r="AL18" s="67">
        <f>AK18*$B$2/10</f>
        <v>157.77450000000002</v>
      </c>
      <c r="AM18" s="67">
        <v>141.5</v>
      </c>
      <c r="AN18" s="67">
        <f>AM18*$B$2/10</f>
        <v>160.03649999999999</v>
      </c>
      <c r="AO18" s="69">
        <f>(($F$9/COS(RADIANS(0))*AL18)+(1/COS(RADIANS(15)*AN18)))</f>
        <v>152.7750043830697</v>
      </c>
      <c r="AP18" s="70">
        <f>AJ18*10^3/AO18</f>
        <v>140.26509170484914</v>
      </c>
    </row>
    <row r="19" spans="11:42" ht="15" thickBot="1" x14ac:dyDescent="0.4">
      <c r="K19" s="66" t="s">
        <v>64</v>
      </c>
      <c r="L19" s="131"/>
      <c r="M19" s="132"/>
      <c r="N19" s="68">
        <f>(L19-M19)*2.381</f>
        <v>0</v>
      </c>
      <c r="O19" s="139"/>
      <c r="P19" s="33">
        <f t="shared" ref="P19" si="15">O19*$B$2/10</f>
        <v>0</v>
      </c>
      <c r="Q19" s="139"/>
      <c r="R19" s="33">
        <f t="shared" ref="R19" si="16">Q19*$B$2/10</f>
        <v>0</v>
      </c>
      <c r="S19" s="140">
        <f t="shared" si="12"/>
        <v>1</v>
      </c>
      <c r="T19" s="63">
        <f>N19*10^3/S19</f>
        <v>0</v>
      </c>
      <c r="V19" s="121" t="s">
        <v>64</v>
      </c>
      <c r="W19" s="147"/>
      <c r="X19" s="148"/>
      <c r="Y19" s="68">
        <f t="shared" si="13"/>
        <v>0</v>
      </c>
      <c r="Z19" s="139">
        <v>133.5</v>
      </c>
      <c r="AA19" s="33">
        <f t="shared" ref="AA19" si="17">Z19*$B$2/10</f>
        <v>150.98849999999999</v>
      </c>
      <c r="AB19" s="139">
        <v>135.30000000000001</v>
      </c>
      <c r="AC19" s="33">
        <f t="shared" ref="AC19" si="18">AB19*$B$2/10</f>
        <v>153.02430000000001</v>
      </c>
      <c r="AD19" s="140">
        <f>(($F$9/COS(RADIANS(0))*AA19)+(1/COS(RADIANS(15)*AC19)))</f>
        <v>146.74501411526421</v>
      </c>
      <c r="AE19" s="138">
        <f>Y19*10^3/AD19</f>
        <v>0</v>
      </c>
      <c r="AG19" s="130" t="s">
        <v>64</v>
      </c>
      <c r="AH19" s="133">
        <v>579</v>
      </c>
      <c r="AI19" s="134"/>
      <c r="AJ19" s="68">
        <f t="shared" si="14"/>
        <v>1378.5989999999999</v>
      </c>
      <c r="AK19" s="139">
        <v>139.5</v>
      </c>
      <c r="AL19" s="33">
        <f t="shared" ref="AL19" si="19">AK19*$B$2/10</f>
        <v>157.77450000000002</v>
      </c>
      <c r="AM19" s="139">
        <v>141.5</v>
      </c>
      <c r="AN19" s="33">
        <f t="shared" ref="AN19" si="20">AM19*$B$2/10</f>
        <v>160.03649999999999</v>
      </c>
      <c r="AO19" s="140">
        <f>(($F$9/COS(RADIANS(0))*AL19)+(1/COS(RADIANS(15)*AN19)))</f>
        <v>152.7750043830697</v>
      </c>
      <c r="AP19" s="138">
        <f>AJ19*10^3/AO19</f>
        <v>9023.7208996786285</v>
      </c>
    </row>
    <row r="20" spans="11:42" x14ac:dyDescent="0.35"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</row>
    <row r="21" spans="11:42" ht="15" thickBot="1" x14ac:dyDescent="0.4"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</row>
    <row r="22" spans="11:42" ht="44" thickBot="1" x14ac:dyDescent="0.4">
      <c r="K22" s="141" t="s">
        <v>65</v>
      </c>
      <c r="L22" s="123" t="s">
        <v>47</v>
      </c>
      <c r="M22" s="122" t="s">
        <v>48</v>
      </c>
      <c r="N22" s="71" t="s">
        <v>39</v>
      </c>
      <c r="O22" s="122" t="s">
        <v>43</v>
      </c>
      <c r="P22" s="71" t="s">
        <v>50</v>
      </c>
      <c r="Q22" s="122" t="s">
        <v>46</v>
      </c>
      <c r="R22" s="71" t="s">
        <v>51</v>
      </c>
      <c r="S22" s="72" t="s">
        <v>41</v>
      </c>
      <c r="T22" s="73" t="s">
        <v>42</v>
      </c>
      <c r="V22" s="142" t="s">
        <v>65</v>
      </c>
      <c r="W22" s="115" t="s">
        <v>54</v>
      </c>
      <c r="X22" s="116" t="s">
        <v>55</v>
      </c>
      <c r="Y22" s="116" t="s">
        <v>39</v>
      </c>
      <c r="Z22" s="116" t="s">
        <v>43</v>
      </c>
      <c r="AA22" s="116" t="s">
        <v>50</v>
      </c>
      <c r="AB22" s="116" t="s">
        <v>46</v>
      </c>
      <c r="AC22" s="116" t="s">
        <v>51</v>
      </c>
      <c r="AD22" s="117" t="s">
        <v>41</v>
      </c>
      <c r="AE22" s="118" t="s">
        <v>42</v>
      </c>
      <c r="AG22" s="143" t="s">
        <v>65</v>
      </c>
      <c r="AH22" s="124" t="s">
        <v>56</v>
      </c>
      <c r="AI22" s="125" t="s">
        <v>57</v>
      </c>
      <c r="AJ22" s="125" t="s">
        <v>39</v>
      </c>
      <c r="AK22" s="125" t="s">
        <v>43</v>
      </c>
      <c r="AL22" s="125" t="s">
        <v>50</v>
      </c>
      <c r="AM22" s="125" t="s">
        <v>46</v>
      </c>
      <c r="AN22" s="125" t="s">
        <v>51</v>
      </c>
      <c r="AO22" s="126" t="s">
        <v>41</v>
      </c>
      <c r="AP22" s="127" t="s">
        <v>42</v>
      </c>
    </row>
    <row r="23" spans="11:42" x14ac:dyDescent="0.35">
      <c r="K23" s="65" t="s">
        <v>66</v>
      </c>
      <c r="L23" s="79"/>
      <c r="M23" s="67"/>
      <c r="N23" s="68">
        <f>(L23-M23)*2.381</f>
        <v>0</v>
      </c>
      <c r="O23" s="67"/>
      <c r="P23" s="67">
        <f>O23*$B$2/10</f>
        <v>0</v>
      </c>
      <c r="Q23" s="67"/>
      <c r="R23" s="67">
        <f>Q23*$B$2/10</f>
        <v>0</v>
      </c>
      <c r="S23" s="69">
        <f t="shared" ref="S23:S24" si="21">(($F$9/COS(RADIANS(0))*P23)+(1/COS(RADIANS(15)*R23)))</f>
        <v>1</v>
      </c>
      <c r="T23" s="70">
        <f>N23*10^3/S23</f>
        <v>0</v>
      </c>
      <c r="V23" s="119" t="s">
        <v>66</v>
      </c>
      <c r="W23" s="114"/>
      <c r="X23" s="67"/>
      <c r="Y23" s="68">
        <f t="shared" ref="Y23:Y24" si="22">(W23-X23)*2.381</f>
        <v>0</v>
      </c>
      <c r="Z23" s="67">
        <v>133.5</v>
      </c>
      <c r="AA23" s="67">
        <f>Z23*$B$2/10</f>
        <v>150.98849999999999</v>
      </c>
      <c r="AB23" s="67">
        <v>135.30000000000001</v>
      </c>
      <c r="AC23" s="67">
        <f>AB23*$B$2/10</f>
        <v>153.02430000000001</v>
      </c>
      <c r="AD23" s="69">
        <f>(($F$9/COS(RADIANS(0))*AA23)+(1/COS(RADIANS(15)*AC23)))</f>
        <v>146.74501411526421</v>
      </c>
      <c r="AE23" s="70">
        <f>Y23*10^3/AD23</f>
        <v>0</v>
      </c>
      <c r="AG23" s="128" t="s">
        <v>66</v>
      </c>
      <c r="AH23" s="114">
        <v>580</v>
      </c>
      <c r="AI23" s="67">
        <v>575</v>
      </c>
      <c r="AJ23" s="68">
        <f t="shared" ref="AJ23:AJ24" si="23">(AH23-AI23)*2.381</f>
        <v>11.904999999999999</v>
      </c>
      <c r="AK23" s="67">
        <v>139.5</v>
      </c>
      <c r="AL23" s="67">
        <f>AK23*$B$2/10</f>
        <v>157.77450000000002</v>
      </c>
      <c r="AM23" s="67">
        <v>141.5</v>
      </c>
      <c r="AN23" s="67">
        <f>AM23*$B$2/10</f>
        <v>160.03649999999999</v>
      </c>
      <c r="AO23" s="69">
        <f>(($F$9/COS(RADIANS(0))*AL23)+(1/COS(RADIANS(15)*AN23)))</f>
        <v>152.7750043830697</v>
      </c>
      <c r="AP23" s="70">
        <f>AJ23*10^3/AO23</f>
        <v>77.925050947138402</v>
      </c>
    </row>
    <row r="24" spans="11:42" ht="15" thickBot="1" x14ac:dyDescent="0.4">
      <c r="K24" s="66" t="s">
        <v>67</v>
      </c>
      <c r="L24" s="64"/>
      <c r="M24" s="33"/>
      <c r="N24" s="68">
        <f>(L24-M24)*2.381</f>
        <v>0</v>
      </c>
      <c r="O24" s="139"/>
      <c r="P24" s="33">
        <f t="shared" ref="P24" si="24">O24*$B$2/10</f>
        <v>0</v>
      </c>
      <c r="Q24" s="139"/>
      <c r="R24" s="33">
        <f t="shared" ref="R24" si="25">Q24*$B$2/10</f>
        <v>0</v>
      </c>
      <c r="S24" s="140">
        <f t="shared" si="21"/>
        <v>1</v>
      </c>
      <c r="T24" s="63">
        <f>N24*10^3/S24</f>
        <v>0</v>
      </c>
      <c r="V24" s="121" t="s">
        <v>67</v>
      </c>
      <c r="W24" s="64"/>
      <c r="X24" s="33"/>
      <c r="Y24" s="68">
        <f t="shared" si="22"/>
        <v>0</v>
      </c>
      <c r="Z24" s="139">
        <v>133.5</v>
      </c>
      <c r="AA24" s="33">
        <f t="shared" ref="AA24" si="26">Z24*$B$2/10</f>
        <v>150.98849999999999</v>
      </c>
      <c r="AB24" s="139">
        <v>135.30000000000001</v>
      </c>
      <c r="AC24" s="33">
        <f t="shared" ref="AC24" si="27">AB24*$B$2/10</f>
        <v>153.02430000000001</v>
      </c>
      <c r="AD24" s="140">
        <f>(($F$9/COS(RADIANS(0))*AA24)+(1/COS(RADIANS(15)*AC24)))</f>
        <v>146.74501411526421</v>
      </c>
      <c r="AE24" s="63">
        <f>Y24*10^3/AD24</f>
        <v>0</v>
      </c>
      <c r="AG24" s="130" t="s">
        <v>67</v>
      </c>
      <c r="AH24" s="64">
        <v>580</v>
      </c>
      <c r="AI24" s="33">
        <v>573</v>
      </c>
      <c r="AJ24" s="68">
        <f t="shared" si="23"/>
        <v>16.666999999999998</v>
      </c>
      <c r="AK24" s="139">
        <v>139.5</v>
      </c>
      <c r="AL24" s="33">
        <f t="shared" ref="AL24" si="28">AK24*$B$2/10</f>
        <v>157.77450000000002</v>
      </c>
      <c r="AM24" s="139">
        <v>141.5</v>
      </c>
      <c r="AN24" s="33">
        <f t="shared" ref="AN24" si="29">AM24*$B$2/10</f>
        <v>160.03649999999999</v>
      </c>
      <c r="AO24" s="140">
        <f>(($F$9/COS(RADIANS(0))*AL24)+(1/COS(RADIANS(15)*AN24)))</f>
        <v>152.7750043830697</v>
      </c>
      <c r="AP24" s="63">
        <f>AJ24*10^3/AO24</f>
        <v>109.09507132599374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 - RBS1 - Alfa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2022-12-21T00:04:32Z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