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ISOLDE\Gold_n_Lead\"/>
    </mc:Choice>
  </mc:AlternateContent>
  <bookViews>
    <workbookView xWindow="0" yWindow="0" windowWidth="16380" windowHeight="8190" tabRatio="500" activeTab="1"/>
  </bookViews>
  <sheets>
    <sheet name="Alphas" sheetId="1" r:id="rId1"/>
    <sheet name="Calib 8 ago_v1" sheetId="2" r:id="rId2"/>
  </sheets>
  <definedNames>
    <definedName name="a">Alphas!$M$2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6" i="2" l="1"/>
  <c r="R5" i="2"/>
  <c r="R4" i="2"/>
  <c r="R3" i="2"/>
  <c r="R2" i="2"/>
  <c r="N6" i="2"/>
  <c r="N5" i="2"/>
  <c r="N4" i="2"/>
  <c r="U4" i="2" s="1"/>
  <c r="N3" i="2"/>
  <c r="U3" i="2" s="1"/>
  <c r="N2" i="2"/>
  <c r="U2" i="2" s="1"/>
  <c r="J6" i="2"/>
  <c r="J5" i="2"/>
  <c r="J4" i="2"/>
  <c r="J3" i="2"/>
  <c r="S3" i="2" s="1"/>
  <c r="J2" i="2"/>
  <c r="S2" i="2" s="1"/>
  <c r="K6" i="2"/>
  <c r="K5" i="2"/>
  <c r="K4" i="2"/>
  <c r="K3" i="2"/>
  <c r="K2" i="2"/>
  <c r="T6" i="2"/>
  <c r="T5" i="2"/>
  <c r="T4" i="2"/>
  <c r="T3" i="2"/>
  <c r="S6" i="2"/>
  <c r="S5" i="2"/>
  <c r="S4" i="2"/>
  <c r="T2" i="2"/>
  <c r="P6" i="2"/>
  <c r="Q6" i="2" s="1"/>
  <c r="U6" i="2"/>
  <c r="P5" i="2"/>
  <c r="Q5" i="2" s="1"/>
  <c r="U5" i="2"/>
  <c r="P4" i="2"/>
  <c r="Q4" i="2" s="1"/>
  <c r="P3" i="2"/>
  <c r="Q3" i="2" s="1"/>
  <c r="P2" i="2"/>
  <c r="Q2" i="2" s="1"/>
  <c r="H26" i="1"/>
  <c r="I25" i="1" s="1"/>
  <c r="G27" i="1" s="1"/>
  <c r="I24" i="1"/>
  <c r="I26" i="1" s="1"/>
  <c r="L15" i="1"/>
  <c r="L11" i="1"/>
  <c r="L10" i="1"/>
  <c r="L9" i="1"/>
  <c r="L7" i="1"/>
  <c r="L5" i="1"/>
  <c r="L3" i="1"/>
</calcChain>
</file>

<file path=xl/sharedStrings.xml><?xml version="1.0" encoding="utf-8"?>
<sst xmlns="http://schemas.openxmlformats.org/spreadsheetml/2006/main" count="128" uniqueCount="108">
  <si>
    <t>Nuclide</t>
  </si>
  <si>
    <t>E alpha (keV)</t>
  </si>
  <si>
    <t>Branch (%)</t>
  </si>
  <si>
    <t>T 1/2</t>
  </si>
  <si>
    <t>T 1/2 (s)</t>
  </si>
  <si>
    <t>Alphas from 232U (68.9 y 4)</t>
  </si>
  <si>
    <t>Alphas from 228Th (1.9116 y 16)</t>
  </si>
  <si>
    <t>Alphas from 224Ra (3.66 d 4)</t>
  </si>
  <si>
    <t>Alphas from 220Rn (55.6 s 1)</t>
  </si>
  <si>
    <t>232U</t>
  </si>
  <si>
    <t>68,9 y</t>
  </si>
  <si>
    <t xml:space="preserve">Ea (keV)     </t>
  </si>
  <si>
    <t xml:space="preserve">Ia (%)    </t>
  </si>
  <si>
    <t>Ia (%)</t>
  </si>
  <si>
    <t xml:space="preserve">4460.94(calc)  </t>
  </si>
  <si>
    <t xml:space="preserve">3.9E-6 9 </t>
  </si>
  <si>
    <t xml:space="preserve">0.038 6 </t>
  </si>
  <si>
    <t xml:space="preserve">0.0030 5 </t>
  </si>
  <si>
    <t xml:space="preserve">0.114 17 </t>
  </si>
  <si>
    <t>228Th</t>
  </si>
  <si>
    <t>1,9116 y</t>
  </si>
  <si>
    <t xml:space="preserve">4502.80(calc)  </t>
  </si>
  <si>
    <t xml:space="preserve">2.1E-5 2 </t>
  </si>
  <si>
    <t xml:space="preserve">0.227 7 </t>
  </si>
  <si>
    <t xml:space="preserve">0.0076 10 </t>
  </si>
  <si>
    <t xml:space="preserve">6288.08 10  </t>
  </si>
  <si>
    <t>99.886 17</t>
  </si>
  <si>
    <t xml:space="preserve">4810.04(calc)  </t>
  </si>
  <si>
    <t xml:space="preserve">5.6E-5 3 </t>
  </si>
  <si>
    <t xml:space="preserve">0.420 10 </t>
  </si>
  <si>
    <t xml:space="preserve">0.0073 </t>
  </si>
  <si>
    <t>224Ra</t>
  </si>
  <si>
    <t>3,66 d</t>
  </si>
  <si>
    <t xml:space="preserve">4931.04(calc)  </t>
  </si>
  <si>
    <t xml:space="preserve">4.8E-5 4 </t>
  </si>
  <si>
    <t xml:space="preserve">5340.36 15  </t>
  </si>
  <si>
    <t xml:space="preserve">27.2 10 </t>
  </si>
  <si>
    <t xml:space="preserve">5448.6 12  </t>
  </si>
  <si>
    <t xml:space="preserve">5.06 4 </t>
  </si>
  <si>
    <t xml:space="preserve">4948.63(calc)  </t>
  </si>
  <si>
    <t xml:space="preserve">5.1E-5 5 </t>
  </si>
  <si>
    <t xml:space="preserve">5423.15 22  </t>
  </si>
  <si>
    <t>72.2 11</t>
  </si>
  <si>
    <t xml:space="preserve">5685.37 15  </t>
  </si>
  <si>
    <t xml:space="preserve">94.92 4 </t>
  </si>
  <si>
    <t>220Rn</t>
  </si>
  <si>
    <t>55,6 s</t>
  </si>
  <si>
    <t xml:space="preserve">4997.94(calc)  </t>
  </si>
  <si>
    <t xml:space="preserve">0.00616 8 </t>
  </si>
  <si>
    <t>216Po</t>
  </si>
  <si>
    <t>0,145 s</t>
  </si>
  <si>
    <t xml:space="preserve">5139.0 20  </t>
  </si>
  <si>
    <t xml:space="preserve">0.30 2 </t>
  </si>
  <si>
    <t>212Bi</t>
  </si>
  <si>
    <t>60,55 m</t>
  </si>
  <si>
    <t xml:space="preserve">5263.36 9  </t>
  </si>
  <si>
    <t xml:space="preserve">31.55 23 </t>
  </si>
  <si>
    <t xml:space="preserve">5320.12 14  </t>
  </si>
  <si>
    <t xml:space="preserve">68.15 23 </t>
  </si>
  <si>
    <t>Alphas from 216Po (0.145 s 2)</t>
  </si>
  <si>
    <t>Alphas from 212Bi (60.55 m 6)</t>
  </si>
  <si>
    <t>Alphas from 212Po (0.299 us 2)</t>
  </si>
  <si>
    <t>212Po</t>
  </si>
  <si>
    <t>0,299 us</t>
  </si>
  <si>
    <t xml:space="preserve">0.0019 3 </t>
  </si>
  <si>
    <t xml:space="preserve">5302 2  </t>
  </si>
  <si>
    <t xml:space="preserve">0.00011 1 </t>
  </si>
  <si>
    <t xml:space="preserve">8784.37 7  </t>
  </si>
  <si>
    <t xml:space="preserve">6778.3 5  </t>
  </si>
  <si>
    <t>99.9981 3</t>
  </si>
  <si>
    <t xml:space="preserve">0.001 </t>
  </si>
  <si>
    <t xml:space="preserve">0.014 </t>
  </si>
  <si>
    <t xml:space="preserve">1.19 </t>
  </si>
  <si>
    <t xml:space="preserve">0.165 </t>
  </si>
  <si>
    <t xml:space="preserve">1.78 </t>
  </si>
  <si>
    <t>Bi alfa mean energy</t>
  </si>
  <si>
    <t xml:space="preserve">6050.78 3  </t>
  </si>
  <si>
    <t xml:space="preserve">69.91 15 </t>
  </si>
  <si>
    <t>(keV)</t>
  </si>
  <si>
    <t>Intensity (%)</t>
  </si>
  <si>
    <t>Norm. Intensity (%)</t>
  </si>
  <si>
    <t xml:space="preserve">6089.88 3  </t>
  </si>
  <si>
    <t xml:space="preserve">27.12 14 </t>
  </si>
  <si>
    <t># peak</t>
  </si>
  <si>
    <t>ROI Down</t>
  </si>
  <si>
    <t>ROI Up</t>
  </si>
  <si>
    <t>Total integral</t>
  </si>
  <si>
    <t>Net Integral</t>
  </si>
  <si>
    <t>Centroid</t>
  </si>
  <si>
    <t>Max.</t>
  </si>
  <si>
    <t>Sigma</t>
  </si>
  <si>
    <t>FWHM</t>
  </si>
  <si>
    <t>Sigma (keV)</t>
  </si>
  <si>
    <t>E alpha calib (keV)</t>
  </si>
  <si>
    <t>E calib 2 (keV)</t>
  </si>
  <si>
    <t>dEcalib2 (keV)</t>
  </si>
  <si>
    <t>E (keV) =</t>
  </si>
  <si>
    <t>* Channel +</t>
  </si>
  <si>
    <t>Com incertezas nos canais</t>
  </si>
  <si>
    <t>Calib 2</t>
  </si>
  <si>
    <t>TIME OF</t>
  </si>
  <si>
    <t>AQUI.</t>
  </si>
  <si>
    <t>10028 s</t>
  </si>
  <si>
    <t>+-</t>
  </si>
  <si>
    <t>Sigma/E =</t>
  </si>
  <si>
    <t>* 1/sqrt€ +</t>
  </si>
  <si>
    <t>R = sigma/E (MeV)</t>
  </si>
  <si>
    <t>1/sqrt(E) (MeV)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</si>
</sst>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E+00"/>
    <numFmt numFmtId="165" formatCode="0.0000"/>
    <numFmt numFmtId="166" formatCode="0.000"/>
    <numFmt numFmtId="167" formatCode="0.0000000"/>
    <numFmt numFmtId="168" formatCode="0.000000"/>
  </numFmts>
  <fonts count="7" x14ac:knownFonts="1"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A9D18E"/>
        <bgColor rgb="FFBFBFBF"/>
      </patternFill>
    </fill>
    <fill>
      <patternFill patternType="solid">
        <fgColor rgb="FFBF819E"/>
        <bgColor rgb="FFF8A6BF"/>
      </patternFill>
    </fill>
    <fill>
      <patternFill patternType="solid">
        <fgColor rgb="FFE2F0D9"/>
        <bgColor rgb="FFCFE7F5"/>
      </patternFill>
    </fill>
    <fill>
      <patternFill patternType="solid">
        <fgColor rgb="FFFFFFD7"/>
        <bgColor rgb="FFFFF5CE"/>
      </patternFill>
    </fill>
    <fill>
      <patternFill patternType="solid">
        <fgColor rgb="FFFFFFA6"/>
        <bgColor rgb="FFFFF5CE"/>
      </patternFill>
    </fill>
    <fill>
      <patternFill patternType="solid">
        <fgColor rgb="FFFFFF6D"/>
        <bgColor rgb="FFFFFFA6"/>
      </patternFill>
    </fill>
    <fill>
      <patternFill patternType="solid">
        <fgColor rgb="FFFFF5CE"/>
        <bgColor rgb="FFFFF2CC"/>
      </patternFill>
    </fill>
    <fill>
      <patternFill patternType="solid">
        <fgColor rgb="FFFFE994"/>
        <bgColor rgb="FFFFDBB6"/>
      </patternFill>
    </fill>
    <fill>
      <patternFill patternType="solid">
        <fgColor rgb="FFFFDE59"/>
        <bgColor rgb="FFFFD320"/>
      </patternFill>
    </fill>
    <fill>
      <patternFill patternType="solid">
        <fgColor rgb="FFFFDBB6"/>
        <bgColor rgb="FFFBE5D6"/>
      </patternFill>
    </fill>
    <fill>
      <patternFill patternType="solid">
        <fgColor rgb="FFFFFF00"/>
        <bgColor rgb="FFFFD320"/>
      </patternFill>
    </fill>
    <fill>
      <patternFill patternType="solid">
        <fgColor rgb="FFFF950E"/>
        <bgColor rgb="FFFFC000"/>
      </patternFill>
    </fill>
    <fill>
      <patternFill patternType="solid">
        <fgColor rgb="FFFFC000"/>
        <bgColor rgb="FFFFD320"/>
      </patternFill>
    </fill>
    <fill>
      <patternFill patternType="solid">
        <fgColor rgb="FFF03E75"/>
        <bgColor rgb="FFC9211E"/>
      </patternFill>
    </fill>
    <fill>
      <patternFill patternType="solid">
        <fgColor rgb="FFFFD320"/>
        <bgColor rgb="FFFFC000"/>
      </patternFill>
    </fill>
    <fill>
      <patternFill patternType="solid">
        <fgColor rgb="FF00FF00"/>
        <bgColor rgb="FF3DEB3D"/>
      </patternFill>
    </fill>
    <fill>
      <patternFill patternType="solid">
        <fgColor rgb="FF3DEB3D"/>
        <bgColor rgb="FF00FF00"/>
      </patternFill>
    </fill>
    <fill>
      <patternFill patternType="solid">
        <fgColor rgb="FFCCFFFF"/>
        <bgColor rgb="FFCFE7F5"/>
      </patternFill>
    </fill>
    <fill>
      <patternFill patternType="solid">
        <fgColor rgb="FFCFE7F5"/>
        <bgColor rgb="FFD9D9D9"/>
      </patternFill>
    </fill>
    <fill>
      <patternFill patternType="solid">
        <fgColor rgb="FFFFF2CC"/>
        <bgColor rgb="FFFFF5CE"/>
      </patternFill>
    </fill>
    <fill>
      <patternFill patternType="solid">
        <fgColor rgb="FFF8A6BF"/>
        <bgColor rgb="FFBFBFBF"/>
      </patternFill>
    </fill>
  </fills>
  <borders count="13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ont="1"/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164" fontId="0" fillId="4" borderId="7" xfId="0" applyNumberForma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wrapText="1"/>
    </xf>
    <xf numFmtId="0" fontId="0" fillId="6" borderId="0" xfId="0" applyFont="1" applyFill="1" applyAlignment="1">
      <alignment horizontal="center" wrapText="1"/>
    </xf>
    <xf numFmtId="0" fontId="0" fillId="7" borderId="0" xfId="0" applyFont="1" applyFill="1" applyAlignment="1">
      <alignment horizontal="center" wrapText="1"/>
    </xf>
    <xf numFmtId="0" fontId="0" fillId="8" borderId="0" xfId="0" applyFont="1" applyFill="1" applyAlignment="1">
      <alignment horizontal="center" wrapText="1"/>
    </xf>
    <xf numFmtId="0" fontId="0" fillId="4" borderId="0" xfId="0" applyFill="1" applyAlignment="1">
      <alignment horizontal="center" vertical="center" wrapText="1"/>
    </xf>
    <xf numFmtId="0" fontId="0" fillId="4" borderId="7" xfId="0" applyFill="1" applyBorder="1" applyAlignment="1">
      <alignment horizontal="right" vertical="center" wrapText="1"/>
    </xf>
    <xf numFmtId="0" fontId="1" fillId="8" borderId="0" xfId="0" applyFont="1" applyFill="1" applyAlignment="1">
      <alignment horizontal="center" wrapText="1"/>
    </xf>
    <xf numFmtId="164" fontId="0" fillId="4" borderId="7" xfId="0" applyNumberFormat="1" applyFill="1" applyBorder="1" applyAlignment="1">
      <alignment horizontal="right" vertical="center" wrapText="1"/>
    </xf>
    <xf numFmtId="0" fontId="1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164" fontId="0" fillId="4" borderId="11" xfId="0" applyNumberFormat="1" applyFill="1" applyBorder="1" applyAlignment="1">
      <alignment horizontal="right" vertical="center" wrapText="1"/>
    </xf>
    <xf numFmtId="0" fontId="1" fillId="5" borderId="0" xfId="0" applyFont="1" applyFill="1" applyAlignment="1">
      <alignment horizontal="center" wrapText="1"/>
    </xf>
    <xf numFmtId="0" fontId="0" fillId="9" borderId="0" xfId="0" applyFont="1" applyFill="1" applyAlignment="1">
      <alignment horizontal="center" wrapText="1"/>
    </xf>
    <xf numFmtId="0" fontId="0" fillId="10" borderId="0" xfId="0" applyFont="1" applyFill="1" applyAlignment="1">
      <alignment horizontal="center" wrapText="1"/>
    </xf>
    <xf numFmtId="0" fontId="0" fillId="11" borderId="0" xfId="0" applyFont="1" applyFill="1" applyAlignment="1">
      <alignment horizontal="center" wrapText="1"/>
    </xf>
    <xf numFmtId="0" fontId="1" fillId="11" borderId="0" xfId="0" applyFont="1" applyFill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" wrapText="1"/>
    </xf>
    <xf numFmtId="0" fontId="0" fillId="12" borderId="1" xfId="0" applyFont="1" applyFill="1" applyBorder="1" applyAlignment="1">
      <alignment horizontal="center" wrapText="1"/>
    </xf>
    <xf numFmtId="0" fontId="0" fillId="1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13" borderId="0" xfId="0" applyFont="1" applyFill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14" borderId="0" xfId="0" applyFont="1" applyFill="1" applyAlignment="1">
      <alignment horizontal="center" vertical="center" wrapText="1"/>
    </xf>
    <xf numFmtId="0" fontId="3" fillId="15" borderId="0" xfId="0" applyFont="1" applyFill="1" applyAlignment="1">
      <alignment horizontal="center" vertical="center" wrapText="1"/>
    </xf>
    <xf numFmtId="0" fontId="4" fillId="16" borderId="12" xfId="0" applyFont="1" applyFill="1" applyBorder="1" applyAlignment="1">
      <alignment horizontal="center" vertical="center" wrapText="1"/>
    </xf>
    <xf numFmtId="0" fontId="4" fillId="17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9" borderId="12" xfId="0" applyFont="1" applyFill="1" applyBorder="1" applyAlignment="1">
      <alignment horizontal="center" vertical="center" wrapText="1"/>
    </xf>
    <xf numFmtId="0" fontId="4" fillId="20" borderId="12" xfId="0" applyFont="1" applyFill="1" applyBorder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166" fontId="0" fillId="0" borderId="0" xfId="0" applyNumberFormat="1"/>
    <xf numFmtId="2" fontId="0" fillId="21" borderId="0" xfId="0" applyNumberFormat="1" applyFill="1"/>
    <xf numFmtId="167" fontId="0" fillId="22" borderId="0" xfId="0" applyNumberFormat="1" applyFill="1"/>
    <xf numFmtId="168" fontId="0" fillId="22" borderId="0" xfId="0" applyNumberFormat="1" applyFill="1"/>
    <xf numFmtId="2" fontId="0" fillId="4" borderId="0" xfId="0" applyNumberFormat="1" applyFill="1" applyAlignment="1">
      <alignment horizontal="center" vertical="center" wrapText="1"/>
    </xf>
    <xf numFmtId="0" fontId="5" fillId="21" borderId="0" xfId="0" applyFont="1" applyFill="1" applyAlignment="1">
      <alignment horizontal="center" vertical="center" wrapText="1"/>
    </xf>
    <xf numFmtId="0" fontId="3" fillId="14" borderId="0" xfId="0" applyFont="1" applyFill="1"/>
    <xf numFmtId="0" fontId="0" fillId="12" borderId="0" xfId="0" applyFont="1" applyFill="1"/>
    <xf numFmtId="0" fontId="0" fillId="0" borderId="0" xfId="0" applyFont="1" applyAlignment="1">
      <alignment horizontal="right"/>
    </xf>
    <xf numFmtId="0" fontId="0" fillId="2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FFF5CE"/>
      <rgbColor rgb="FF800080"/>
      <rgbColor rgb="FF008080"/>
      <rgbColor rgb="FFBFBFBF"/>
      <rgbColor rgb="FFFFF2CC"/>
      <rgbColor rgb="FF5B9BD5"/>
      <rgbColor rgb="FFF03E75"/>
      <rgbColor rgb="FFFFFFD7"/>
      <rgbColor rgb="FFCCFFFF"/>
      <rgbColor rgb="FF660066"/>
      <rgbColor rgb="FFFFE994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FE7F5"/>
      <rgbColor rgb="FFE2F0D9"/>
      <rgbColor rgb="FFFFFFA6"/>
      <rgbColor rgb="FFA9D18E"/>
      <rgbColor rgb="FFF8A6BF"/>
      <rgbColor rgb="FFFBE5D6"/>
      <rgbColor rgb="FFFFDBB6"/>
      <rgbColor rgb="FF3366FF"/>
      <rgbColor rgb="FF3DEB3D"/>
      <rgbColor rgb="FFFFDE59"/>
      <rgbColor rgb="FFFFC000"/>
      <rgbColor rgb="FFFF950E"/>
      <rgbColor rgb="FFFFFF6D"/>
      <rgbColor rgb="FF595959"/>
      <rgbColor rgb="FFBF819E"/>
      <rgbColor rgb="FF003366"/>
      <rgbColor rgb="FF70AD47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Calibration E vs Ch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E vs Ch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'Calib 8 ago_v1'!$G$2:$G$6</c:f>
              <c:numCache>
                <c:formatCode>General</c:formatCode>
                <c:ptCount val="5"/>
                <c:pt idx="0">
                  <c:v>1939</c:v>
                </c:pt>
                <c:pt idx="1">
                  <c:v>1491</c:v>
                </c:pt>
                <c:pt idx="2">
                  <c:v>1383</c:v>
                </c:pt>
                <c:pt idx="3">
                  <c:v>1328</c:v>
                </c:pt>
                <c:pt idx="4">
                  <c:v>1246</c:v>
                </c:pt>
              </c:numCache>
            </c:numRef>
          </c:xVal>
          <c:yVal>
            <c:numRef>
              <c:f>'Calib 8 ago_v1'!$M$2:$M$6</c:f>
              <c:numCache>
                <c:formatCode>General</c:formatCode>
                <c:ptCount val="5"/>
                <c:pt idx="0">
                  <c:v>8784.3700000000008</c:v>
                </c:pt>
                <c:pt idx="1">
                  <c:v>6778.3</c:v>
                </c:pt>
                <c:pt idx="2">
                  <c:v>6288.08</c:v>
                </c:pt>
                <c:pt idx="3" formatCode="0.00">
                  <c:v>6061.7084963413399</c:v>
                </c:pt>
                <c:pt idx="4">
                  <c:v>5685.37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129360"/>
        <c:axId val="1580129904"/>
      </c:scatterChart>
      <c:valAx>
        <c:axId val="15801293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580129904"/>
        <c:crosses val="autoZero"/>
        <c:crossBetween val="midCat"/>
      </c:valAx>
      <c:valAx>
        <c:axId val="15801299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5801293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Resolução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4"/>
            <c:bubble3D val="0"/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'Calib 8 ago_v1'!$T$2:$T$6</c:f>
              <c:numCache>
                <c:formatCode>0.000000</c:formatCode>
                <c:ptCount val="5"/>
                <c:pt idx="0">
                  <c:v>0.33739969833423611</c:v>
                </c:pt>
                <c:pt idx="1">
                  <c:v>0.38409584294877042</c:v>
                </c:pt>
                <c:pt idx="2">
                  <c:v>0.39878698020940273</c:v>
                </c:pt>
                <c:pt idx="3">
                  <c:v>0.40616498082144353</c:v>
                </c:pt>
                <c:pt idx="4">
                  <c:v>0.41939247443586286</c:v>
                </c:pt>
              </c:numCache>
            </c:numRef>
          </c:xVal>
          <c:yVal>
            <c:numRef>
              <c:f>'Calib 8 ago_v1'!$S$2:$S$6</c:f>
              <c:numCache>
                <c:formatCode>0.0000000</c:formatCode>
                <c:ptCount val="5"/>
                <c:pt idx="0">
                  <c:v>3.1225733888713704E-3</c:v>
                </c:pt>
                <c:pt idx="1">
                  <c:v>4.7740642934069018E-3</c:v>
                </c:pt>
                <c:pt idx="2">
                  <c:v>5.2175290390707504E-3</c:v>
                </c:pt>
                <c:pt idx="3">
                  <c:v>4.8947982269204144E-3</c:v>
                </c:pt>
                <c:pt idx="4">
                  <c:v>5.7627595037789969E-3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128272"/>
        <c:axId val="1580136976"/>
      </c:scatterChart>
      <c:valAx>
        <c:axId val="15801282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1/sqrt(E)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580136976"/>
        <c:crossesAt val="0"/>
        <c:crossBetween val="midCat"/>
      </c:valAx>
      <c:valAx>
        <c:axId val="15801369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R = sigma/E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580128272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105480</xdr:colOff>
      <xdr:row>0</xdr:row>
      <xdr:rowOff>82080</xdr:rowOff>
    </xdr:from>
    <xdr:to>
      <xdr:col>4</xdr:col>
      <xdr:colOff>71640</xdr:colOff>
      <xdr:row>17</xdr:row>
      <xdr:rowOff>30960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5480" y="82080"/>
          <a:ext cx="2691360" cy="3835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518400</xdr:colOff>
      <xdr:row>11</xdr:row>
      <xdr:rowOff>80280</xdr:rowOff>
    </xdr:from>
    <xdr:to>
      <xdr:col>8</xdr:col>
      <xdr:colOff>212040</xdr:colOff>
      <xdr:row>26</xdr:row>
      <xdr:rowOff>68760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587880</xdr:colOff>
      <xdr:row>9</xdr:row>
      <xdr:rowOff>88200</xdr:rowOff>
    </xdr:from>
    <xdr:to>
      <xdr:col>23</xdr:col>
      <xdr:colOff>204120</xdr:colOff>
      <xdr:row>23</xdr:row>
      <xdr:rowOff>89280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497160</xdr:colOff>
      <xdr:row>27</xdr:row>
      <xdr:rowOff>41400</xdr:rowOff>
    </xdr:from>
    <xdr:to>
      <xdr:col>9</xdr:col>
      <xdr:colOff>70</xdr:colOff>
      <xdr:row>48</xdr:row>
      <xdr:rowOff>141840</xdr:rowOff>
    </xdr:to>
    <xdr:pic>
      <xdr:nvPicPr>
        <xdr:cNvPr id="4" name="Image 2"/>
        <xdr:cNvPicPr/>
      </xdr:nvPicPr>
      <xdr:blipFill>
        <a:blip xmlns:r="http://schemas.openxmlformats.org/officeDocument/2006/relationships" r:embed="rId3"/>
        <a:stretch/>
      </xdr:blipFill>
      <xdr:spPr>
        <a:xfrm>
          <a:off x="497160" y="5335920"/>
          <a:ext cx="5607720" cy="3967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W27"/>
  <sheetViews>
    <sheetView zoomScaleNormal="100" workbookViewId="0">
      <selection activeCell="H7" sqref="H7"/>
    </sheetView>
  </sheetViews>
  <sheetFormatPr defaultColWidth="8.54296875" defaultRowHeight="14.5" x14ac:dyDescent="0.35"/>
  <cols>
    <col min="5" max="5" width="3.6328125" customWidth="1"/>
    <col min="6" max="6" width="11.54296875" customWidth="1"/>
    <col min="10" max="12" width="10.1796875" customWidth="1"/>
    <col min="13" max="13" width="15.81640625" customWidth="1"/>
    <col min="14" max="14" width="10.1796875" customWidth="1"/>
    <col min="15" max="15" width="17.1796875" customWidth="1"/>
    <col min="16" max="16" width="10.1796875" customWidth="1"/>
    <col min="17" max="17" width="17" customWidth="1"/>
    <col min="18" max="18" width="10.08984375" customWidth="1"/>
    <col min="19" max="19" width="15.1796875" customWidth="1"/>
    <col min="20" max="20" width="10.1796875" customWidth="1"/>
    <col min="21" max="21" width="10.90625" customWidth="1"/>
    <col min="22" max="22" width="15.90625" customWidth="1"/>
    <col min="23" max="23" width="10.08984375" customWidth="1"/>
    <col min="24" max="24" width="17.26953125" customWidth="1"/>
    <col min="25" max="25" width="10.54296875" customWidth="1"/>
    <col min="26" max="26" width="17.1796875" customWidth="1"/>
    <col min="28" max="28" width="2.453125" customWidth="1"/>
    <col min="29" max="29" width="10.90625" customWidth="1"/>
    <col min="30" max="30" width="9.08984375" customWidth="1"/>
  </cols>
  <sheetData>
    <row r="1" spans="8:23" x14ac:dyDescent="0.35">
      <c r="U1" s="1"/>
      <c r="V1" s="1"/>
      <c r="W1" s="1"/>
    </row>
    <row r="2" spans="8:23" ht="29" x14ac:dyDescent="0.35">
      <c r="H2" s="2" t="s">
        <v>0</v>
      </c>
      <c r="I2" s="3" t="s">
        <v>1</v>
      </c>
      <c r="J2" s="4" t="s">
        <v>2</v>
      </c>
      <c r="K2" s="5" t="s">
        <v>3</v>
      </c>
      <c r="L2" s="6" t="s">
        <v>4</v>
      </c>
      <c r="M2" s="7" t="s">
        <v>5</v>
      </c>
      <c r="N2" s="7"/>
      <c r="O2" s="7" t="s">
        <v>6</v>
      </c>
      <c r="P2" s="7"/>
      <c r="Q2" s="7" t="s">
        <v>7</v>
      </c>
      <c r="R2" s="7"/>
      <c r="S2" s="7" t="s">
        <v>8</v>
      </c>
      <c r="T2" s="7"/>
    </row>
    <row r="3" spans="8:23" x14ac:dyDescent="0.35">
      <c r="H3" s="8" t="s">
        <v>9</v>
      </c>
      <c r="I3" s="9">
        <v>5320.12</v>
      </c>
      <c r="J3" s="10">
        <v>68.150000000000006</v>
      </c>
      <c r="K3" s="11" t="s">
        <v>10</v>
      </c>
      <c r="L3" s="12">
        <f>68.9*365.25*24*3600</f>
        <v>2174318640</v>
      </c>
      <c r="M3" s="13" t="s">
        <v>11</v>
      </c>
      <c r="N3" s="13" t="s">
        <v>12</v>
      </c>
      <c r="O3" s="14" t="s">
        <v>11</v>
      </c>
      <c r="P3" s="14" t="s">
        <v>12</v>
      </c>
      <c r="Q3" s="15" t="s">
        <v>11</v>
      </c>
      <c r="R3" s="15" t="s">
        <v>12</v>
      </c>
      <c r="S3" s="16" t="s">
        <v>11</v>
      </c>
      <c r="T3" s="16" t="s">
        <v>13</v>
      </c>
    </row>
    <row r="4" spans="8:23" x14ac:dyDescent="0.35">
      <c r="H4" s="8"/>
      <c r="I4" s="9">
        <v>5263.36</v>
      </c>
      <c r="J4" s="10">
        <v>31.55</v>
      </c>
      <c r="K4" s="17"/>
      <c r="L4" s="18"/>
      <c r="M4" s="13" t="s">
        <v>14</v>
      </c>
      <c r="N4" s="13" t="s">
        <v>15</v>
      </c>
      <c r="O4" s="14">
        <v>5138</v>
      </c>
      <c r="P4" s="14" t="s">
        <v>16</v>
      </c>
      <c r="Q4" s="15">
        <v>5034</v>
      </c>
      <c r="R4" s="15" t="s">
        <v>17</v>
      </c>
      <c r="S4" s="16">
        <v>5747</v>
      </c>
      <c r="T4" s="16" t="s">
        <v>18</v>
      </c>
    </row>
    <row r="5" spans="8:23" x14ac:dyDescent="0.35">
      <c r="H5" s="8" t="s">
        <v>19</v>
      </c>
      <c r="I5" s="9">
        <v>5423.15</v>
      </c>
      <c r="J5" s="10">
        <v>72.2</v>
      </c>
      <c r="K5" s="11" t="s">
        <v>20</v>
      </c>
      <c r="L5" s="12">
        <f>1.9116*365.25*24*3600</f>
        <v>60325508.159999996</v>
      </c>
      <c r="M5" s="13" t="s">
        <v>21</v>
      </c>
      <c r="N5" s="13" t="s">
        <v>22</v>
      </c>
      <c r="O5" s="14">
        <v>5173</v>
      </c>
      <c r="P5" s="14" t="s">
        <v>23</v>
      </c>
      <c r="Q5" s="15">
        <v>5051</v>
      </c>
      <c r="R5" s="15" t="s">
        <v>24</v>
      </c>
      <c r="S5" s="19" t="s">
        <v>25</v>
      </c>
      <c r="T5" s="19" t="s">
        <v>26</v>
      </c>
    </row>
    <row r="6" spans="8:23" x14ac:dyDescent="0.35">
      <c r="H6" s="8"/>
      <c r="I6" s="9">
        <v>5340.36</v>
      </c>
      <c r="J6" s="10">
        <v>27.2</v>
      </c>
      <c r="K6" s="11"/>
      <c r="L6" s="20"/>
      <c r="M6" s="13" t="s">
        <v>27</v>
      </c>
      <c r="N6" s="13" t="s">
        <v>28</v>
      </c>
      <c r="O6" s="14">
        <v>5211</v>
      </c>
      <c r="P6" s="14" t="s">
        <v>29</v>
      </c>
      <c r="Q6" s="15">
        <v>5161</v>
      </c>
      <c r="R6" s="15" t="s">
        <v>30</v>
      </c>
      <c r="S6" s="16"/>
      <c r="T6" s="16"/>
    </row>
    <row r="7" spans="8:23" x14ac:dyDescent="0.35">
      <c r="H7" s="8" t="s">
        <v>31</v>
      </c>
      <c r="I7" s="9">
        <v>5685.37</v>
      </c>
      <c r="J7" s="10">
        <v>94.92</v>
      </c>
      <c r="K7" s="11" t="s">
        <v>32</v>
      </c>
      <c r="L7" s="20">
        <f>3.66*24*3600</f>
        <v>316224</v>
      </c>
      <c r="M7" s="13" t="s">
        <v>33</v>
      </c>
      <c r="N7" s="13" t="s">
        <v>34</v>
      </c>
      <c r="O7" s="21" t="s">
        <v>35</v>
      </c>
      <c r="P7" s="21" t="s">
        <v>36</v>
      </c>
      <c r="Q7" s="22" t="s">
        <v>37</v>
      </c>
      <c r="R7" s="22" t="s">
        <v>38</v>
      </c>
      <c r="S7" s="16"/>
      <c r="T7" s="16"/>
    </row>
    <row r="8" spans="8:23" x14ac:dyDescent="0.35">
      <c r="H8" s="23"/>
      <c r="I8" s="24">
        <v>5448.6</v>
      </c>
      <c r="J8" s="25">
        <v>5.0599999999999996</v>
      </c>
      <c r="K8" s="26"/>
      <c r="L8" s="27"/>
      <c r="M8" s="13" t="s">
        <v>39</v>
      </c>
      <c r="N8" s="13" t="s">
        <v>40</v>
      </c>
      <c r="O8" s="21" t="s">
        <v>41</v>
      </c>
      <c r="P8" s="21" t="s">
        <v>42</v>
      </c>
      <c r="Q8" s="22" t="s">
        <v>43</v>
      </c>
      <c r="R8" s="22" t="s">
        <v>44</v>
      </c>
      <c r="S8" s="16"/>
      <c r="T8" s="16"/>
    </row>
    <row r="9" spans="8:23" x14ac:dyDescent="0.35">
      <c r="H9" s="8" t="s">
        <v>45</v>
      </c>
      <c r="I9" s="9">
        <v>6288.08</v>
      </c>
      <c r="J9" s="10">
        <v>99.885999999999996</v>
      </c>
      <c r="K9" s="11" t="s">
        <v>46</v>
      </c>
      <c r="L9" s="12">
        <f>55.6</f>
        <v>55.6</v>
      </c>
      <c r="M9" s="13" t="s">
        <v>47</v>
      </c>
      <c r="N9" s="13" t="s">
        <v>48</v>
      </c>
      <c r="O9" s="14"/>
      <c r="P9" s="14"/>
      <c r="Q9" s="15"/>
      <c r="R9" s="15"/>
      <c r="S9" s="16"/>
      <c r="T9" s="16"/>
    </row>
    <row r="10" spans="8:23" x14ac:dyDescent="0.35">
      <c r="H10" s="8" t="s">
        <v>49</v>
      </c>
      <c r="I10" s="9">
        <v>6778.3</v>
      </c>
      <c r="J10" s="10">
        <v>99.998099999999994</v>
      </c>
      <c r="K10" s="17" t="s">
        <v>50</v>
      </c>
      <c r="L10" s="18">
        <f>0.145</f>
        <v>0.14499999999999999</v>
      </c>
      <c r="M10" s="13" t="s">
        <v>51</v>
      </c>
      <c r="N10" s="13" t="s">
        <v>52</v>
      </c>
      <c r="O10" s="14"/>
      <c r="P10" s="14"/>
      <c r="Q10" s="15"/>
      <c r="R10" s="15"/>
      <c r="S10" s="16"/>
      <c r="T10" s="16"/>
    </row>
    <row r="11" spans="8:23" x14ac:dyDescent="0.35">
      <c r="H11" s="8" t="s">
        <v>53</v>
      </c>
      <c r="I11" s="9">
        <v>6050.78</v>
      </c>
      <c r="J11" s="10">
        <v>69.91</v>
      </c>
      <c r="K11" s="11" t="s">
        <v>54</v>
      </c>
      <c r="L11" s="12">
        <f>60.55*365.25/12*24*3600</f>
        <v>159234390</v>
      </c>
      <c r="M11" s="28" t="s">
        <v>55</v>
      </c>
      <c r="N11" s="28" t="s">
        <v>56</v>
      </c>
      <c r="O11" s="14"/>
      <c r="P11" s="14"/>
      <c r="Q11" s="15"/>
      <c r="R11" s="15"/>
      <c r="S11" s="16"/>
      <c r="T11" s="16"/>
    </row>
    <row r="12" spans="8:23" x14ac:dyDescent="0.35">
      <c r="H12" s="8"/>
      <c r="I12" s="9">
        <v>6089.88</v>
      </c>
      <c r="J12" s="10">
        <v>27.12</v>
      </c>
      <c r="K12" s="11"/>
      <c r="L12" s="20"/>
      <c r="M12" s="28" t="s">
        <v>57</v>
      </c>
      <c r="N12" s="28" t="s">
        <v>58</v>
      </c>
      <c r="O12" s="14"/>
      <c r="P12" s="14"/>
      <c r="Q12" s="15"/>
      <c r="R12" s="15"/>
      <c r="S12" s="16"/>
      <c r="T12" s="16"/>
    </row>
    <row r="13" spans="8:23" x14ac:dyDescent="0.35">
      <c r="H13" s="8"/>
      <c r="I13" s="9">
        <v>5768</v>
      </c>
      <c r="J13" s="10">
        <v>1.78</v>
      </c>
      <c r="K13" s="11"/>
      <c r="L13" s="20"/>
    </row>
    <row r="14" spans="8:23" ht="29" x14ac:dyDescent="0.35">
      <c r="H14" s="23"/>
      <c r="I14" s="24">
        <v>5607</v>
      </c>
      <c r="J14" s="25">
        <v>1.19</v>
      </c>
      <c r="K14" s="26"/>
      <c r="L14" s="27"/>
      <c r="M14" s="7" t="s">
        <v>59</v>
      </c>
      <c r="N14" s="7"/>
      <c r="O14" s="7" t="s">
        <v>60</v>
      </c>
      <c r="P14" s="7"/>
      <c r="Q14" s="7" t="s">
        <v>61</v>
      </c>
      <c r="R14" s="7"/>
    </row>
    <row r="15" spans="8:23" x14ac:dyDescent="0.35">
      <c r="H15" s="8" t="s">
        <v>62</v>
      </c>
      <c r="I15" s="9">
        <v>8784.3700000000008</v>
      </c>
      <c r="J15" s="10">
        <v>100</v>
      </c>
      <c r="K15" s="11" t="s">
        <v>63</v>
      </c>
      <c r="L15" s="12">
        <f>0.000000299</f>
        <v>2.9900000000000002E-7</v>
      </c>
      <c r="M15" s="29" t="s">
        <v>11</v>
      </c>
      <c r="N15" s="29" t="s">
        <v>12</v>
      </c>
      <c r="O15" s="30" t="s">
        <v>11</v>
      </c>
      <c r="P15" s="30" t="s">
        <v>12</v>
      </c>
      <c r="Q15" s="31" t="s">
        <v>11</v>
      </c>
      <c r="R15" s="31" t="s">
        <v>12</v>
      </c>
    </row>
    <row r="16" spans="8:23" x14ac:dyDescent="0.35">
      <c r="H16" s="8"/>
      <c r="I16" s="9"/>
      <c r="J16" s="10"/>
      <c r="K16" s="17"/>
      <c r="L16" s="18"/>
      <c r="M16" s="29">
        <v>5985</v>
      </c>
      <c r="N16" s="29" t="s">
        <v>64</v>
      </c>
      <c r="O16" s="30" t="s">
        <v>65</v>
      </c>
      <c r="P16" s="30" t="s">
        <v>66</v>
      </c>
      <c r="Q16" s="32" t="s">
        <v>67</v>
      </c>
      <c r="R16" s="32">
        <v>100</v>
      </c>
    </row>
    <row r="17" spans="6:18" x14ac:dyDescent="0.35">
      <c r="H17" s="8"/>
      <c r="I17" s="9"/>
      <c r="J17" s="10"/>
      <c r="K17" s="11"/>
      <c r="L17" s="12"/>
      <c r="M17" s="33" t="s">
        <v>68</v>
      </c>
      <c r="N17" s="33" t="s">
        <v>69</v>
      </c>
      <c r="O17" s="30">
        <v>5345</v>
      </c>
      <c r="P17" s="30" t="s">
        <v>70</v>
      </c>
      <c r="Q17" s="31"/>
      <c r="R17" s="31"/>
    </row>
    <row r="18" spans="6:18" x14ac:dyDescent="0.35">
      <c r="H18" s="8"/>
      <c r="I18" s="9"/>
      <c r="J18" s="10"/>
      <c r="K18" s="11"/>
      <c r="L18" s="20"/>
      <c r="M18" s="29"/>
      <c r="N18" s="29"/>
      <c r="O18" s="30">
        <v>5481</v>
      </c>
      <c r="P18" s="30" t="s">
        <v>71</v>
      </c>
      <c r="Q18" s="31"/>
      <c r="R18" s="31"/>
    </row>
    <row r="19" spans="6:18" x14ac:dyDescent="0.35">
      <c r="H19" s="8"/>
      <c r="I19" s="9"/>
      <c r="J19" s="10"/>
      <c r="K19" s="11"/>
      <c r="L19" s="20"/>
      <c r="M19" s="29"/>
      <c r="N19" s="29"/>
      <c r="O19" s="34">
        <v>5607</v>
      </c>
      <c r="P19" s="34" t="s">
        <v>72</v>
      </c>
      <c r="Q19" s="31"/>
      <c r="R19" s="31"/>
    </row>
    <row r="20" spans="6:18" x14ac:dyDescent="0.35">
      <c r="M20" s="29"/>
      <c r="N20" s="29"/>
      <c r="O20" s="30">
        <v>5626</v>
      </c>
      <c r="P20" s="30" t="s">
        <v>73</v>
      </c>
      <c r="Q20" s="31"/>
      <c r="R20" s="31"/>
    </row>
    <row r="21" spans="6:18" x14ac:dyDescent="0.35">
      <c r="M21" s="29"/>
      <c r="N21" s="29"/>
      <c r="O21" s="34">
        <v>5768</v>
      </c>
      <c r="P21" s="34" t="s">
        <v>74</v>
      </c>
      <c r="Q21" s="31"/>
      <c r="R21" s="31"/>
    </row>
    <row r="22" spans="6:18" ht="32" customHeight="1" x14ac:dyDescent="0.35">
      <c r="F22" s="35" t="s">
        <v>75</v>
      </c>
      <c r="G22" s="36"/>
      <c r="H22" s="37"/>
      <c r="I22" s="38"/>
      <c r="M22" s="29"/>
      <c r="N22" s="29"/>
      <c r="O22" s="34" t="s">
        <v>76</v>
      </c>
      <c r="P22" s="34" t="s">
        <v>77</v>
      </c>
      <c r="Q22" s="31"/>
      <c r="R22" s="31"/>
    </row>
    <row r="23" spans="6:18" ht="43.5" x14ac:dyDescent="0.35">
      <c r="F23" s="39"/>
      <c r="G23" s="40" t="s">
        <v>78</v>
      </c>
      <c r="H23" s="41" t="s">
        <v>79</v>
      </c>
      <c r="I23" s="42" t="s">
        <v>80</v>
      </c>
      <c r="M23" s="29"/>
      <c r="N23" s="29"/>
      <c r="O23" s="34" t="s">
        <v>81</v>
      </c>
      <c r="P23" s="34" t="s">
        <v>82</v>
      </c>
      <c r="Q23" s="31"/>
      <c r="R23" s="31"/>
    </row>
    <row r="24" spans="6:18" x14ac:dyDescent="0.35">
      <c r="F24" s="43" t="s">
        <v>53</v>
      </c>
      <c r="G24" s="10">
        <v>6050.78</v>
      </c>
      <c r="H24" s="10">
        <v>69.91</v>
      </c>
      <c r="I24" s="44">
        <f>H24/$H$26*100</f>
        <v>72.049881479954649</v>
      </c>
      <c r="M24" s="29"/>
      <c r="N24" s="29"/>
      <c r="O24" s="30"/>
      <c r="P24" s="30"/>
      <c r="Q24" s="31"/>
      <c r="R24" s="31"/>
    </row>
    <row r="25" spans="6:18" x14ac:dyDescent="0.35">
      <c r="F25" s="43"/>
      <c r="G25" s="10">
        <v>6089.88</v>
      </c>
      <c r="H25" s="10">
        <v>27.12</v>
      </c>
      <c r="I25" s="44">
        <f>H25/$H$26*100</f>
        <v>27.950118520045347</v>
      </c>
    </row>
    <row r="26" spans="6:18" x14ac:dyDescent="0.35">
      <c r="F26" s="39"/>
      <c r="G26" s="40"/>
      <c r="H26" s="40">
        <f>SUM(H24:H25)</f>
        <v>97.03</v>
      </c>
      <c r="I26" s="44">
        <f>SUM(I24:I25)</f>
        <v>100</v>
      </c>
    </row>
    <row r="27" spans="6:18" x14ac:dyDescent="0.35">
      <c r="F27" s="45"/>
      <c r="G27" s="46">
        <f>(G24*I24+G25*I25)/100</f>
        <v>6061.7084963413372</v>
      </c>
      <c r="H27" s="47"/>
      <c r="I27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topLeftCell="G1" zoomScaleNormal="100" workbookViewId="0">
      <selection activeCell="R2" sqref="R2:R6"/>
    </sheetView>
  </sheetViews>
  <sheetFormatPr defaultColWidth="8.54296875" defaultRowHeight="14.5" x14ac:dyDescent="0.35"/>
  <cols>
    <col min="10" max="10" width="10" customWidth="1"/>
    <col min="11" max="11" width="14.1796875" customWidth="1"/>
    <col min="12" max="12" width="11.54296875" customWidth="1"/>
    <col min="14" max="14" width="10.453125" customWidth="1"/>
    <col min="16" max="16" width="8.1796875" customWidth="1"/>
    <col min="18" max="18" width="10.26953125" customWidth="1"/>
    <col min="19" max="19" width="10.7265625" customWidth="1"/>
    <col min="20" max="20" width="9.6328125" customWidth="1"/>
  </cols>
  <sheetData>
    <row r="1" spans="1:21" ht="29.5" thickBot="1" x14ac:dyDescent="0.4">
      <c r="A1" s="49" t="s">
        <v>83</v>
      </c>
      <c r="B1" s="50" t="s">
        <v>84</v>
      </c>
      <c r="C1" s="50" t="s">
        <v>85</v>
      </c>
      <c r="D1" s="50" t="s">
        <v>86</v>
      </c>
      <c r="E1" s="50" t="s">
        <v>87</v>
      </c>
      <c r="F1" s="50" t="s">
        <v>88</v>
      </c>
      <c r="G1" s="50" t="s">
        <v>89</v>
      </c>
      <c r="H1" s="50" t="s">
        <v>90</v>
      </c>
      <c r="I1" s="50" t="s">
        <v>91</v>
      </c>
      <c r="J1" s="51" t="s">
        <v>92</v>
      </c>
      <c r="L1" s="52" t="s">
        <v>0</v>
      </c>
      <c r="M1" s="52" t="s">
        <v>1</v>
      </c>
      <c r="N1" s="41" t="s">
        <v>93</v>
      </c>
      <c r="P1" s="53" t="s">
        <v>94</v>
      </c>
      <c r="Q1" s="53" t="s">
        <v>95</v>
      </c>
      <c r="S1" s="54" t="s">
        <v>106</v>
      </c>
      <c r="T1" s="54" t="s">
        <v>107</v>
      </c>
    </row>
    <row r="2" spans="1:21" ht="15" thickBot="1" x14ac:dyDescent="0.4">
      <c r="A2" s="55">
        <v>1</v>
      </c>
      <c r="B2" s="56">
        <v>1910</v>
      </c>
      <c r="C2" s="57">
        <v>1950</v>
      </c>
      <c r="D2" s="58">
        <v>51254</v>
      </c>
      <c r="E2" s="59">
        <v>45821.5</v>
      </c>
      <c r="F2" s="58">
        <v>1936.37</v>
      </c>
      <c r="G2" s="59">
        <v>1939</v>
      </c>
      <c r="H2" s="58">
        <v>6.12</v>
      </c>
      <c r="I2" s="59">
        <v>14.41</v>
      </c>
      <c r="J2" s="60">
        <f>H2*$K$9/1000</f>
        <v>2.7429840000000004E-2</v>
      </c>
      <c r="K2" s="61">
        <f>((H2*$K$10/1000)*2+($M$10/1000)*2)*0.5</f>
        <v>8.1983360000000005E-2</v>
      </c>
      <c r="L2" s="8" t="s">
        <v>62</v>
      </c>
      <c r="M2" s="10">
        <v>8784.3700000000008</v>
      </c>
      <c r="N2">
        <f>F2*$K$9/1000+$M$9/1000</f>
        <v>8.5736663400000008</v>
      </c>
      <c r="P2" s="62">
        <f>$K$9*F2+$M$9</f>
        <v>8573.6663399999998</v>
      </c>
      <c r="Q2" s="62">
        <f>P2-M2</f>
        <v>-210.70366000000104</v>
      </c>
      <c r="R2">
        <f>K2/(M2/1000)</f>
        <v>9.332867354175654E-3</v>
      </c>
      <c r="S2" s="63">
        <f>J2/(M2/1000)</f>
        <v>3.1225733888713704E-3</v>
      </c>
      <c r="T2" s="64">
        <f>1/SQRT((M2/1000))</f>
        <v>0.33739969833423611</v>
      </c>
      <c r="U2">
        <f t="shared" ref="T2:U6" si="0">1/SQRT(N2)</f>
        <v>0.3415204475574205</v>
      </c>
    </row>
    <row r="3" spans="1:21" ht="15" thickBot="1" x14ac:dyDescent="0.4">
      <c r="A3" s="55">
        <v>2</v>
      </c>
      <c r="B3" s="56">
        <v>1460</v>
      </c>
      <c r="C3" s="57">
        <v>1510</v>
      </c>
      <c r="D3" s="58">
        <v>81328</v>
      </c>
      <c r="E3" s="59">
        <v>78268</v>
      </c>
      <c r="F3" s="58">
        <v>1488.93</v>
      </c>
      <c r="G3" s="59">
        <v>1491</v>
      </c>
      <c r="H3" s="58">
        <v>7.22</v>
      </c>
      <c r="I3" s="59">
        <v>17.010000000000002</v>
      </c>
      <c r="J3" s="60">
        <f t="shared" ref="J3:J6" si="1">H3*$K$9/1000</f>
        <v>3.236004E-2</v>
      </c>
      <c r="K3" s="61">
        <f t="shared" ref="K3:K6" si="2">((H3*$K$10/1000)*2+($M$10/1000)*2)*0.5</f>
        <v>8.2041660000000016E-2</v>
      </c>
      <c r="L3" s="8" t="s">
        <v>49</v>
      </c>
      <c r="M3" s="10">
        <v>6778.3</v>
      </c>
      <c r="N3">
        <f t="shared" ref="N3:N6" si="3">F3*$K$9/1000+$M$9/1000</f>
        <v>6.5682402600000005</v>
      </c>
      <c r="P3" s="62">
        <f>$K$9*F3+$M$9</f>
        <v>6568.2402600000005</v>
      </c>
      <c r="Q3" s="62">
        <f>P3-M3</f>
        <v>-210.05973999999969</v>
      </c>
      <c r="R3">
        <f t="shared" ref="R3:R6" si="4">K3/(M3/1000)</f>
        <v>1.2103574642609506E-2</v>
      </c>
      <c r="S3" s="63">
        <f t="shared" ref="S3:S6" si="5">J3/(M3/1000)</f>
        <v>4.7740642934069018E-3</v>
      </c>
      <c r="T3" s="64">
        <f t="shared" ref="T3:T6" si="6">1/SQRT((M3/1000))</f>
        <v>0.38409584294877042</v>
      </c>
      <c r="U3">
        <f t="shared" si="0"/>
        <v>0.39018941591302314</v>
      </c>
    </row>
    <row r="4" spans="1:21" ht="15" thickBot="1" x14ac:dyDescent="0.4">
      <c r="A4" s="55">
        <v>3</v>
      </c>
      <c r="B4" s="56">
        <v>1350</v>
      </c>
      <c r="C4" s="57">
        <v>1400</v>
      </c>
      <c r="D4" s="58">
        <v>82136</v>
      </c>
      <c r="E4" s="59">
        <v>77903</v>
      </c>
      <c r="F4" s="58">
        <v>1379.44</v>
      </c>
      <c r="G4" s="59">
        <v>1383</v>
      </c>
      <c r="H4" s="58">
        <v>7.32</v>
      </c>
      <c r="I4" s="59">
        <v>17.239999999999998</v>
      </c>
      <c r="J4" s="60">
        <f t="shared" si="1"/>
        <v>3.2808240000000002E-2</v>
      </c>
      <c r="K4" s="61">
        <f t="shared" si="2"/>
        <v>8.2046960000000016E-2</v>
      </c>
      <c r="L4" s="8" t="s">
        <v>45</v>
      </c>
      <c r="M4" s="10">
        <v>6288.08</v>
      </c>
      <c r="N4">
        <f t="shared" si="3"/>
        <v>6.07750608</v>
      </c>
      <c r="P4" s="62">
        <f>$K$9*F4+$M$9</f>
        <v>6077.5060800000001</v>
      </c>
      <c r="Q4" s="62">
        <f>P4-M4</f>
        <v>-210.57391999999982</v>
      </c>
      <c r="R4">
        <f t="shared" si="4"/>
        <v>1.3048014656302086E-2</v>
      </c>
      <c r="S4" s="63">
        <f t="shared" si="5"/>
        <v>5.2175290390707504E-3</v>
      </c>
      <c r="T4" s="64">
        <f t="shared" si="6"/>
        <v>0.39878698020940273</v>
      </c>
      <c r="U4">
        <f t="shared" si="0"/>
        <v>0.40563675425566198</v>
      </c>
    </row>
    <row r="5" spans="1:21" ht="15" thickBot="1" x14ac:dyDescent="0.4">
      <c r="A5" s="55">
        <v>4</v>
      </c>
      <c r="B5" s="56">
        <v>1310</v>
      </c>
      <c r="C5" s="57">
        <v>1345</v>
      </c>
      <c r="D5" s="58">
        <v>28227</v>
      </c>
      <c r="E5" s="59">
        <v>19119</v>
      </c>
      <c r="F5" s="58">
        <v>1328.67</v>
      </c>
      <c r="G5" s="59">
        <v>1328</v>
      </c>
      <c r="H5" s="58">
        <v>6.62</v>
      </c>
      <c r="I5" s="59">
        <v>15.6</v>
      </c>
      <c r="J5" s="60">
        <f t="shared" si="1"/>
        <v>2.967084E-2</v>
      </c>
      <c r="K5" s="61">
        <f t="shared" si="2"/>
        <v>8.2009860000000004E-2</v>
      </c>
      <c r="L5" s="8" t="s">
        <v>53</v>
      </c>
      <c r="M5" s="65">
        <v>6061.7084963413399</v>
      </c>
      <c r="N5">
        <f t="shared" si="3"/>
        <v>5.8499549400000008</v>
      </c>
      <c r="P5" s="62">
        <f>$K$9*F5+$M$9</f>
        <v>5849.9549400000005</v>
      </c>
      <c r="Q5" s="62">
        <f>P5-M5</f>
        <v>-211.75355634133939</v>
      </c>
      <c r="R5">
        <f t="shared" si="4"/>
        <v>1.352916591906368E-2</v>
      </c>
      <c r="S5" s="63">
        <f t="shared" si="5"/>
        <v>4.8947982269204144E-3</v>
      </c>
      <c r="T5" s="64">
        <f t="shared" si="6"/>
        <v>0.40616498082144353</v>
      </c>
      <c r="U5">
        <f t="shared" si="0"/>
        <v>0.41345070761571706</v>
      </c>
    </row>
    <row r="6" spans="1:21" ht="15" thickBot="1" x14ac:dyDescent="0.4">
      <c r="A6" s="55">
        <v>5</v>
      </c>
      <c r="B6" s="56">
        <v>1220</v>
      </c>
      <c r="C6" s="57">
        <v>1265</v>
      </c>
      <c r="D6" s="58">
        <v>79587</v>
      </c>
      <c r="E6" s="59">
        <v>72480</v>
      </c>
      <c r="F6" s="58">
        <v>1244.8399999999999</v>
      </c>
      <c r="G6" s="59">
        <v>1246</v>
      </c>
      <c r="H6" s="58">
        <v>7.31</v>
      </c>
      <c r="I6" s="59">
        <v>17.21</v>
      </c>
      <c r="J6" s="60">
        <f t="shared" si="1"/>
        <v>3.2763419999999994E-2</v>
      </c>
      <c r="K6" s="61">
        <f t="shared" si="2"/>
        <v>8.2046430000000004E-2</v>
      </c>
      <c r="L6" s="8" t="s">
        <v>31</v>
      </c>
      <c r="M6" s="10">
        <v>5685.37</v>
      </c>
      <c r="N6">
        <f t="shared" si="3"/>
        <v>5.4742288800000001</v>
      </c>
      <c r="P6" s="62">
        <f>$K$9*F6+$M$9</f>
        <v>5474.2288799999997</v>
      </c>
      <c r="Q6" s="62">
        <f>P6-M6</f>
        <v>-211.14112000000023</v>
      </c>
      <c r="R6">
        <f t="shared" si="4"/>
        <v>1.4431150479212436E-2</v>
      </c>
      <c r="S6" s="63">
        <f t="shared" si="5"/>
        <v>5.7627595037789969E-3</v>
      </c>
      <c r="T6" s="64">
        <f t="shared" si="6"/>
        <v>0.41939247443586286</v>
      </c>
      <c r="U6">
        <f t="shared" si="0"/>
        <v>0.42740394283589689</v>
      </c>
    </row>
    <row r="9" spans="1:21" x14ac:dyDescent="0.35">
      <c r="J9" s="66" t="s">
        <v>96</v>
      </c>
      <c r="K9" s="66">
        <v>4.4820000000000002</v>
      </c>
      <c r="L9" s="66" t="s">
        <v>97</v>
      </c>
      <c r="M9" s="66">
        <v>-105.14400000000001</v>
      </c>
      <c r="O9" t="s">
        <v>98</v>
      </c>
      <c r="R9" s="67" t="s">
        <v>99</v>
      </c>
    </row>
    <row r="10" spans="1:21" x14ac:dyDescent="0.35">
      <c r="B10" s="68" t="s">
        <v>100</v>
      </c>
      <c r="C10" s="68" t="s">
        <v>101</v>
      </c>
      <c r="D10" s="68" t="s">
        <v>102</v>
      </c>
      <c r="J10" s="69" t="s">
        <v>103</v>
      </c>
      <c r="K10">
        <v>5.2999999999999999E-2</v>
      </c>
      <c r="L10" s="69" t="s">
        <v>103</v>
      </c>
      <c r="M10">
        <v>81.659000000000006</v>
      </c>
    </row>
    <row r="12" spans="1:21" x14ac:dyDescent="0.35">
      <c r="J12" s="70" t="s">
        <v>104</v>
      </c>
      <c r="K12" s="70">
        <v>0.2989</v>
      </c>
      <c r="L12" s="70" t="s">
        <v>105</v>
      </c>
      <c r="M12" s="70">
        <v>-1.6000000000000001E-3</v>
      </c>
    </row>
    <row r="17" spans="13:13" x14ac:dyDescent="0.35">
      <c r="M17" s="71"/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Alphas</vt:lpstr>
      <vt:lpstr>Calib 8 ago_v1</vt:lpstr>
      <vt:lpstr>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29</cp:revision>
  <dcterms:created xsi:type="dcterms:W3CDTF">2022-06-02T20:21:04Z</dcterms:created>
  <dcterms:modified xsi:type="dcterms:W3CDTF">2022-09-02T10:18:53Z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