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7Setembro\"/>
    </mc:Choice>
  </mc:AlternateContent>
  <bookViews>
    <workbookView xWindow="0" yWindow="0" windowWidth="19180" windowHeight="7260" activeTab="2"/>
  </bookViews>
  <sheets>
    <sheet name="Runs" sheetId="2" r:id="rId1"/>
    <sheet name="Ta-Nb-V Calib. ERD" sheetId="3" r:id="rId2"/>
    <sheet name="YbGeSiO Calib. ERD" sheetId="4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G8" i="3"/>
  <c r="G7" i="3"/>
  <c r="G6" i="3"/>
  <c r="G5" i="3"/>
  <c r="G4" i="3"/>
  <c r="F5" i="3"/>
  <c r="F6" i="3"/>
  <c r="F7" i="3"/>
  <c r="F8" i="3"/>
  <c r="F4" i="3"/>
  <c r="F7" i="4"/>
  <c r="G7" i="4" s="1"/>
  <c r="F6" i="4"/>
  <c r="G6" i="4" s="1"/>
  <c r="F5" i="4"/>
  <c r="G5" i="4" s="1"/>
  <c r="F4" i="4"/>
  <c r="G4" i="4" s="1"/>
  <c r="J4" i="2"/>
  <c r="J3" i="2" l="1"/>
  <c r="K4" i="2"/>
  <c r="K3" i="2"/>
</calcChain>
</file>

<file path=xl/sharedStrings.xml><?xml version="1.0" encoding="utf-8"?>
<sst xmlns="http://schemas.openxmlformats.org/spreadsheetml/2006/main" count="75" uniqueCount="41">
  <si>
    <t>Run</t>
  </si>
  <si>
    <t>Charge</t>
  </si>
  <si>
    <t>Target</t>
  </si>
  <si>
    <t>Current (nA)</t>
  </si>
  <si>
    <t>4He</t>
  </si>
  <si>
    <t>Angle</t>
  </si>
  <si>
    <t>Position (mm)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</si>
  <si>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</si>
  <si>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</si>
  <si>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</si>
  <si>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</si>
  <si>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</si>
  <si>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</si>
  <si>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</si>
  <si>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</si>
  <si>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</si>
  <si>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</si>
  <si>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</si>
  <si>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</si>
  <si>
    <t>V</t>
  </si>
  <si>
    <t>Nb</t>
  </si>
  <si>
    <t>Ta</t>
  </si>
  <si>
    <t xml:space="preserve">E0 = </t>
  </si>
  <si>
    <t>keV</t>
  </si>
  <si>
    <t>Si</t>
  </si>
  <si>
    <t>O</t>
  </si>
  <si>
    <t>Surface channel</t>
  </si>
  <si>
    <t>Ge</t>
  </si>
  <si>
    <t>Yb</t>
  </si>
  <si>
    <t>Z</t>
  </si>
  <si>
    <t>ug/cm2</t>
  </si>
  <si>
    <t>10^15atms/cm2</t>
  </si>
  <si>
    <t>C</t>
  </si>
  <si>
    <t>Au</t>
  </si>
  <si>
    <t>2000 keV</t>
  </si>
  <si>
    <t>Element</t>
  </si>
  <si>
    <t>A</t>
  </si>
  <si>
    <t>kinematic factor</t>
  </si>
  <si>
    <t>Back Energy (keV)</t>
  </si>
  <si>
    <t>Effective energy</t>
  </si>
  <si>
    <t>Kinematic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</si>
</sst>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Font="1"/>
    <xf numFmtId="164" fontId="0" fillId="4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0" fontId="1" fillId="8" borderId="0" xfId="0" applyFont="1" applyFill="1"/>
    <xf numFmtId="2" fontId="0" fillId="0" borderId="0" xfId="0" applyNumberFormat="1"/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8" borderId="0" xfId="0" applyFill="1"/>
    <xf numFmtId="170" fontId="0" fillId="7" borderId="0" xfId="0" applyNumberFormat="1" applyFill="1"/>
    <xf numFmtId="2" fontId="0" fillId="7" borderId="0" xfId="0" applyNumberFormat="1" applyFill="1"/>
    <xf numFmtId="0" fontId="2" fillId="12" borderId="0" xfId="0" applyFont="1" applyFill="1"/>
    <xf numFmtId="0" fontId="2" fillId="13" borderId="0" xfId="0" applyFont="1" applyFill="1"/>
    <xf numFmtId="170" fontId="2" fillId="13" borderId="0" xfId="0" applyNumberFormat="1" applyFont="1" applyFill="1"/>
    <xf numFmtId="164" fontId="0" fillId="13" borderId="0" xfId="0" applyNumberFormat="1" applyFill="1"/>
    <xf numFmtId="2" fontId="2" fillId="13" borderId="0" xfId="0" applyNumberFormat="1" applyFont="1" applyFill="1"/>
    <xf numFmtId="0" fontId="0" fillId="14" borderId="0" xfId="0" applyFill="1"/>
    <xf numFmtId="170" fontId="0" fillId="5" borderId="0" xfId="0" applyNumberFormat="1" applyFill="1"/>
    <xf numFmtId="2" fontId="0" fillId="5" borderId="0" xfId="0" applyNumberFormat="1" applyFill="1"/>
    <xf numFmtId="0" fontId="0" fillId="15" borderId="0" xfId="0" applyFill="1"/>
    <xf numFmtId="170" fontId="0" fillId="4" borderId="0" xfId="0" applyNumberFormat="1" applyFill="1"/>
    <xf numFmtId="2" fontId="0" fillId="4" borderId="0" xfId="0" applyNumberFormat="1" applyFill="1"/>
    <xf numFmtId="0" fontId="0" fillId="16" borderId="0" xfId="0" applyFill="1"/>
    <xf numFmtId="0" fontId="0" fillId="3" borderId="0" xfId="0" applyFill="1"/>
    <xf numFmtId="170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Calib.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13347207620845E-3"/>
                  <c:y val="-0.1617050691244239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'Ta-Nb-V Calib. ERD'!$H$4:$H$8</c:f>
              <c:numCache>
                <c:formatCode>General</c:formatCode>
                <c:ptCount val="5"/>
                <c:pt idx="0">
                  <c:v>262</c:v>
                </c:pt>
                <c:pt idx="1">
                  <c:v>426</c:v>
                </c:pt>
                <c:pt idx="2">
                  <c:v>567</c:v>
                </c:pt>
                <c:pt idx="3">
                  <c:v>656</c:v>
                </c:pt>
                <c:pt idx="4">
                  <c:v>714</c:v>
                </c:pt>
              </c:numCache>
            </c:numRef>
          </c:xVal>
          <c:yVal>
            <c:numRef>
              <c:f>'Ta-Nb-V Calib. ERD'!$G$4:$G$8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347152"/>
        <c:axId val="1151350416"/>
      </c:scatterChart>
      <c:valAx>
        <c:axId val="11513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350416"/>
        <c:crosses val="autoZero"/>
        <c:crossBetween val="midCat"/>
      </c:valAx>
      <c:valAx>
        <c:axId val="11513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13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YbGeSiO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67672616620133E-2"/>
                  <c:y val="-0.1624806794983960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'YbGeSiO Calib. ERD'!$H$4:$H$7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 ERD'!$G$4:$G$7</c:f>
              <c:numCache>
                <c:formatCode>0.00</c:formatCode>
                <c:ptCount val="4"/>
                <c:pt idx="0">
                  <c:v>554.3668351512307</c:v>
                </c:pt>
                <c:pt idx="1">
                  <c:v>861.70208899057502</c:v>
                </c:pt>
                <c:pt idx="2">
                  <c:v>1219.5840354861748</c:v>
                </c:pt>
                <c:pt idx="3">
                  <c:v>1383.2783211434773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596464"/>
        <c:axId val="1346600272"/>
      </c:scatterChart>
      <c:valAx>
        <c:axId val="13465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6600272"/>
        <c:crosses val="autoZero"/>
        <c:crossBetween val="midCat"/>
      </c:valAx>
      <c:valAx>
        <c:axId val="13466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65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82550</xdr:rowOff>
    </xdr:from>
    <xdr:to>
      <xdr:col>17</xdr:col>
      <xdr:colOff>447675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311149</xdr:colOff>
      <xdr:row>8</xdr:row>
      <xdr:rowOff>127000</xdr:rowOff>
    </xdr:from>
    <xdr:to>
      <xdr:col>8</xdr:col>
      <xdr:colOff>31750</xdr:colOff>
      <xdr:row>29</xdr:row>
      <xdr:rowOff>50704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54" t="11423" r="11556" b="9490"/>
        <a:stretch/>
      </xdr:blipFill>
      <xdr:spPr>
        <a:xfrm>
          <a:off x="311149" y="1784350"/>
          <a:ext cx="5029201" cy="3790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346075</xdr:colOff>
      <xdr:row>1</xdr:row>
      <xdr:rowOff>165100</xdr:rowOff>
    </xdr:from>
    <xdr:to>
      <xdr:col>16</xdr:col>
      <xdr:colOff>250825</xdr:colOff>
      <xdr:row>15</xdr:row>
      <xdr:rowOff>146050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5" sqref="J5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5.5429687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42.81640625" customWidth="1"/>
    <col min="9" max="9" width="14.453125" customWidth="1"/>
    <col min="10" max="10" width="14.26953125" bestFit="1" customWidth="1"/>
    <col min="11" max="11" width="7.08984375" bestFit="1" customWidth="1"/>
  </cols>
  <sheetData>
    <row r="1" spans="1:12" ht="15" thickBot="1" x14ac:dyDescent="0.4">
      <c r="A1" t="s">
        <v>34</v>
      </c>
      <c r="B1" t="s">
        <v>4</v>
      </c>
    </row>
    <row r="2" spans="1:12" ht="15" thickBot="1" x14ac:dyDescent="0.4">
      <c r="J2" s="14" t="s">
        <v>31</v>
      </c>
      <c r="K2" s="15" t="s">
        <v>30</v>
      </c>
      <c r="L2" s="16"/>
    </row>
    <row r="3" spans="1:12" ht="29.5" thickBot="1" x14ac:dyDescent="0.4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" t="s">
        <v>7</v>
      </c>
      <c r="J3" s="17">
        <f>0.00001*6.022E+23*19.3/196.967/1000000000000000</f>
        <v>590.07143328577899</v>
      </c>
      <c r="K3" s="18">
        <f>0.00001*19.3*1000000</f>
        <v>193.00000000000003</v>
      </c>
      <c r="L3" s="19" t="s">
        <v>33</v>
      </c>
    </row>
    <row r="4" spans="1:12" ht="15" thickBot="1" x14ac:dyDescent="0.4">
      <c r="B4">
        <v>1</v>
      </c>
      <c r="C4" t="s">
        <v>10</v>
      </c>
      <c r="D4">
        <v>0</v>
      </c>
      <c r="E4">
        <v>61</v>
      </c>
      <c r="F4">
        <v>20000</v>
      </c>
      <c r="G4" t="s">
        <v>11</v>
      </c>
      <c r="H4" t="s">
        <v>16</v>
      </c>
      <c r="J4" s="20">
        <f>0.000014*6.022E+23*2.7/12.011/1000000000000000</f>
        <v>1895.1927399883441</v>
      </c>
      <c r="K4" s="21">
        <f>0.000016*3.52*1000000</f>
        <v>56.319999999999993</v>
      </c>
      <c r="L4" s="22" t="s">
        <v>32</v>
      </c>
    </row>
    <row r="5" spans="1:12" x14ac:dyDescent="0.35">
      <c r="B5">
        <v>2</v>
      </c>
      <c r="C5" s="4" t="s">
        <v>8</v>
      </c>
      <c r="D5" s="4" t="s">
        <v>17</v>
      </c>
      <c r="E5" t="s">
        <v>8</v>
      </c>
      <c r="F5" t="s">
        <v>8</v>
      </c>
      <c r="G5" t="s">
        <v>8</v>
      </c>
      <c r="H5" t="s">
        <v>12</v>
      </c>
    </row>
    <row r="6" spans="1:12" x14ac:dyDescent="0.35">
      <c r="B6">
        <v>3</v>
      </c>
      <c r="C6" t="s">
        <v>13</v>
      </c>
      <c r="D6">
        <v>0</v>
      </c>
      <c r="E6">
        <v>50</v>
      </c>
      <c r="F6">
        <v>20000</v>
      </c>
      <c r="G6" t="s">
        <v>8</v>
      </c>
    </row>
    <row r="7" spans="1:12" x14ac:dyDescent="0.35">
      <c r="B7">
        <v>4</v>
      </c>
      <c r="C7" t="s">
        <v>14</v>
      </c>
      <c r="D7">
        <v>0</v>
      </c>
      <c r="E7">
        <v>37</v>
      </c>
      <c r="F7" t="s">
        <v>8</v>
      </c>
      <c r="G7" t="s">
        <v>8</v>
      </c>
      <c r="H7" t="s">
        <v>15</v>
      </c>
    </row>
    <row r="8" spans="1:12" x14ac:dyDescent="0.35">
      <c r="B8">
        <v>5</v>
      </c>
      <c r="C8" t="s">
        <v>8</v>
      </c>
      <c r="D8" s="4" t="s">
        <v>17</v>
      </c>
      <c r="E8" t="s">
        <v>8</v>
      </c>
      <c r="F8" t="s">
        <v>8</v>
      </c>
      <c r="G8" t="s">
        <v>8</v>
      </c>
    </row>
    <row r="9" spans="1:12" x14ac:dyDescent="0.35">
      <c r="B9">
        <v>6</v>
      </c>
      <c r="C9" t="s">
        <v>18</v>
      </c>
      <c r="D9">
        <v>0</v>
      </c>
      <c r="E9">
        <v>24</v>
      </c>
      <c r="F9" t="s">
        <v>8</v>
      </c>
      <c r="G9" t="s">
        <v>8</v>
      </c>
    </row>
    <row r="10" spans="1:12" x14ac:dyDescent="0.35">
      <c r="B10">
        <v>7</v>
      </c>
      <c r="C10" t="s">
        <v>8</v>
      </c>
      <c r="D10" s="4" t="s">
        <v>17</v>
      </c>
      <c r="E10" t="s">
        <v>8</v>
      </c>
      <c r="F10" t="s">
        <v>8</v>
      </c>
      <c r="G10" t="s">
        <v>8</v>
      </c>
    </row>
    <row r="11" spans="1:12" x14ac:dyDescent="0.35">
      <c r="B11">
        <v>8</v>
      </c>
      <c r="C11" t="s">
        <v>9</v>
      </c>
      <c r="D11">
        <v>0</v>
      </c>
      <c r="E11">
        <v>10</v>
      </c>
      <c r="F11" t="s">
        <v>8</v>
      </c>
      <c r="G11" t="s">
        <v>8</v>
      </c>
    </row>
    <row r="12" spans="1:12" x14ac:dyDescent="0.35">
      <c r="B12">
        <v>9</v>
      </c>
      <c r="C12" t="s">
        <v>8</v>
      </c>
      <c r="D12" s="4" t="s">
        <v>17</v>
      </c>
      <c r="E12">
        <v>10</v>
      </c>
      <c r="F12" t="s">
        <v>8</v>
      </c>
      <c r="G12" t="s">
        <v>8</v>
      </c>
    </row>
    <row r="13" spans="1:12" x14ac:dyDescent="0.35">
      <c r="B13">
        <v>10</v>
      </c>
    </row>
    <row r="14" spans="1:12" x14ac:dyDescent="0.35">
      <c r="B14">
        <v>11</v>
      </c>
    </row>
    <row r="15" spans="1:12" x14ac:dyDescent="0.35">
      <c r="B15">
        <v>12</v>
      </c>
    </row>
    <row r="16" spans="1:12" x14ac:dyDescent="0.35">
      <c r="B16">
        <v>13</v>
      </c>
    </row>
    <row r="17" spans="2:2" x14ac:dyDescent="0.35">
      <c r="B1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5" sqref="I15"/>
    </sheetView>
  </sheetViews>
  <sheetFormatPr defaultRowHeight="14.5" x14ac:dyDescent="0.35"/>
  <cols>
    <col min="5" max="5" width="12.453125" bestFit="1" customWidth="1"/>
    <col min="7" max="7" width="11.1796875" customWidth="1"/>
    <col min="16" max="16" width="10" bestFit="1" customWidth="1"/>
  </cols>
  <sheetData>
    <row r="1" spans="1:10" x14ac:dyDescent="0.35">
      <c r="A1" s="12" t="s">
        <v>22</v>
      </c>
      <c r="B1" s="12">
        <v>2000</v>
      </c>
      <c r="C1" s="12" t="s">
        <v>23</v>
      </c>
    </row>
    <row r="3" spans="1:10" ht="29" x14ac:dyDescent="0.35">
      <c r="C3" s="23" t="s">
        <v>35</v>
      </c>
      <c r="D3" s="23" t="s">
        <v>29</v>
      </c>
      <c r="E3" s="24" t="s">
        <v>36</v>
      </c>
      <c r="F3" s="23" t="s">
        <v>37</v>
      </c>
      <c r="G3" s="23" t="s">
        <v>38</v>
      </c>
      <c r="H3" s="23" t="s">
        <v>26</v>
      </c>
      <c r="I3" s="23" t="s">
        <v>39</v>
      </c>
    </row>
    <row r="4" spans="1:10" x14ac:dyDescent="0.35">
      <c r="C4" s="25" t="s">
        <v>25</v>
      </c>
      <c r="D4" s="7">
        <v>8</v>
      </c>
      <c r="E4" s="26">
        <v>15.999000000000001</v>
      </c>
      <c r="F4" s="11">
        <f>((SQRT(1-(4.0026/E4)^2*SIN(RADIANS(165))^2)+4.0026/E4*COS(RADIANS(165)))/(1+4.0026/E4))^2</f>
        <v>0.36591870307011926</v>
      </c>
      <c r="G4" s="27">
        <f>B1*F4</f>
        <v>731.8374061402385</v>
      </c>
      <c r="H4" s="7">
        <v>262</v>
      </c>
    </row>
    <row r="5" spans="1:10" x14ac:dyDescent="0.35">
      <c r="C5" s="28" t="s">
        <v>24</v>
      </c>
      <c r="D5" s="29">
        <v>14</v>
      </c>
      <c r="E5" s="30">
        <v>28.085000000000001</v>
      </c>
      <c r="F5" s="31">
        <f t="shared" ref="F5:F8" si="0">((SQRT(1-(4.0026/E5)^2*SIN(RADIANS(165))^2)+4.0026/E5*COS(RADIANS(165)))/(1+4.0026/E5))^2</f>
        <v>0.56878025675945543</v>
      </c>
      <c r="G5" s="32">
        <f>2000*F5</f>
        <v>1137.560513518911</v>
      </c>
      <c r="H5" s="29">
        <v>426</v>
      </c>
    </row>
    <row r="6" spans="1:10" x14ac:dyDescent="0.35">
      <c r="C6" s="33" t="s">
        <v>19</v>
      </c>
      <c r="D6" s="6">
        <v>23</v>
      </c>
      <c r="E6" s="34">
        <v>50.942</v>
      </c>
      <c r="F6" s="10">
        <f t="shared" si="0"/>
        <v>0.7337544049093524</v>
      </c>
      <c r="G6" s="35">
        <f>2000*F6</f>
        <v>1467.5088098187048</v>
      </c>
      <c r="H6" s="6">
        <v>567</v>
      </c>
      <c r="I6" s="13">
        <f>G6</f>
        <v>1467.5088098187048</v>
      </c>
    </row>
    <row r="7" spans="1:10" x14ac:dyDescent="0.35">
      <c r="C7" s="36" t="s">
        <v>20</v>
      </c>
      <c r="D7" s="5">
        <v>41</v>
      </c>
      <c r="E7" s="37">
        <v>92.906000000000006</v>
      </c>
      <c r="F7" s="9">
        <f t="shared" si="0"/>
        <v>0.84408702273631764</v>
      </c>
      <c r="G7" s="38">
        <f>2000*F7</f>
        <v>1688.1740454726353</v>
      </c>
      <c r="H7" s="5">
        <v>656</v>
      </c>
    </row>
    <row r="8" spans="1:10" x14ac:dyDescent="0.35">
      <c r="C8" s="39" t="s">
        <v>21</v>
      </c>
      <c r="D8" s="40">
        <v>73</v>
      </c>
      <c r="E8" s="41">
        <v>180.95</v>
      </c>
      <c r="F8" s="42">
        <f t="shared" si="0"/>
        <v>0.91668930866242726</v>
      </c>
      <c r="G8" s="43">
        <f>2000*F8</f>
        <v>1833.3786173248545</v>
      </c>
      <c r="H8" s="40">
        <v>714</v>
      </c>
    </row>
    <row r="10" spans="1:10" x14ac:dyDescent="0.35">
      <c r="J10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3" sqref="F13"/>
    </sheetView>
  </sheetViews>
  <sheetFormatPr defaultRowHeight="14.5" x14ac:dyDescent="0.35"/>
  <cols>
    <col min="6" max="6" width="9.08984375" customWidth="1"/>
    <col min="7" max="7" width="10.81640625" customWidth="1"/>
  </cols>
  <sheetData>
    <row r="1" spans="1:8" x14ac:dyDescent="0.35">
      <c r="A1" s="12" t="s">
        <v>22</v>
      </c>
      <c r="B1" s="12">
        <v>2000</v>
      </c>
      <c r="C1" s="12" t="s">
        <v>23</v>
      </c>
    </row>
    <row r="2" spans="1:8" x14ac:dyDescent="0.35">
      <c r="A2" t="s">
        <v>4</v>
      </c>
      <c r="B2">
        <v>4.0026000000000002</v>
      </c>
    </row>
    <row r="3" spans="1:8" ht="29" x14ac:dyDescent="0.35">
      <c r="C3" s="23" t="s">
        <v>35</v>
      </c>
      <c r="D3" s="23" t="s">
        <v>29</v>
      </c>
      <c r="E3" s="24" t="s">
        <v>36</v>
      </c>
      <c r="F3" s="23" t="s">
        <v>40</v>
      </c>
      <c r="G3" s="23" t="s">
        <v>38</v>
      </c>
      <c r="H3" s="23" t="s">
        <v>26</v>
      </c>
    </row>
    <row r="4" spans="1:8" x14ac:dyDescent="0.35">
      <c r="C4" s="25" t="s">
        <v>25</v>
      </c>
      <c r="D4" s="7">
        <v>8</v>
      </c>
      <c r="E4" s="26">
        <v>15.999000000000001</v>
      </c>
      <c r="F4" s="11">
        <f>((SQRT(1-(4.0026/E4)^2*SIN(RADIANS(165))^2)+4.0026/E4*COS(RADIANS(165)))/(1+4.0026/E4))^2</f>
        <v>0.36591870307011926</v>
      </c>
      <c r="G4" s="27">
        <f>1515*F4</f>
        <v>554.3668351512307</v>
      </c>
      <c r="H4" s="7">
        <v>261</v>
      </c>
    </row>
    <row r="5" spans="1:8" x14ac:dyDescent="0.35">
      <c r="C5" s="28" t="s">
        <v>24</v>
      </c>
      <c r="D5" s="29">
        <v>14</v>
      </c>
      <c r="E5" s="30">
        <v>28.085000000000001</v>
      </c>
      <c r="F5" s="31">
        <f t="shared" ref="F5:F8" si="0">((SQRT(1-(4.0026/E5)^2*SIN(RADIANS(165))^2)+4.0026/E5*COS(RADIANS(165)))/(1+4.0026/E5))^2</f>
        <v>0.56878025675945543</v>
      </c>
      <c r="G5" s="32">
        <f t="shared" ref="G5:G8" si="1">1515*F5</f>
        <v>861.70208899057502</v>
      </c>
      <c r="H5" s="44">
        <v>429</v>
      </c>
    </row>
    <row r="6" spans="1:8" x14ac:dyDescent="0.35">
      <c r="C6" s="33" t="s">
        <v>27</v>
      </c>
      <c r="D6" s="6">
        <v>32</v>
      </c>
      <c r="E6" s="34">
        <v>72.63</v>
      </c>
      <c r="F6" s="10">
        <f t="shared" si="0"/>
        <v>0.80500596401727709</v>
      </c>
      <c r="G6" s="35">
        <f t="shared" si="1"/>
        <v>1219.5840354861748</v>
      </c>
      <c r="H6" s="6">
        <v>623</v>
      </c>
    </row>
    <row r="7" spans="1:8" x14ac:dyDescent="0.35">
      <c r="C7" s="36" t="s">
        <v>28</v>
      </c>
      <c r="D7" s="5">
        <v>70</v>
      </c>
      <c r="E7" s="37">
        <v>173.05</v>
      </c>
      <c r="F7" s="9">
        <f t="shared" si="0"/>
        <v>0.91305499745444052</v>
      </c>
      <c r="G7" s="38">
        <f t="shared" si="1"/>
        <v>1383.2783211434773</v>
      </c>
      <c r="H7" s="5">
        <v>708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Calib. ERD</vt:lpstr>
      <vt:lpstr>YbGeSiO Calib. ERD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2022-09-20T12:58:44Z</dcterms:modified>
</cp:coreProperties>
</file>