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ISOLDE\Gold_n_Lead\RBS_7Setembro\"/>
    </mc:Choice>
  </mc:AlternateContent>
  <bookViews>
    <workbookView xWindow="0" yWindow="0" windowWidth="19180" windowHeight="7260"/>
  </bookViews>
  <sheets>
    <sheet name="Runs" sheetId="2" r:id="rId1"/>
    <sheet name="YbGeSiO Calib. ERD" sheetId="4" r:id="rId2"/>
    <sheet name="Ta-Nb-V Calib. ERD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N9" i="4"/>
  <c r="J14" i="2"/>
  <c r="K14" i="2"/>
  <c r="K12" i="2"/>
  <c r="K15" i="2"/>
  <c r="J15" i="2"/>
  <c r="J13" i="2"/>
  <c r="J12" i="2"/>
  <c r="G8" i="3"/>
  <c r="G7" i="3"/>
  <c r="G6" i="3"/>
  <c r="G5" i="3"/>
  <c r="G4" i="3"/>
  <c r="G8" i="4"/>
  <c r="O9" i="4" s="1"/>
  <c r="G7" i="4"/>
  <c r="G6" i="4"/>
  <c r="G5" i="4"/>
  <c r="G4" i="4"/>
  <c r="M9" i="4"/>
  <c r="L10" i="4"/>
  <c r="L9" i="4"/>
  <c r="F8" i="4"/>
  <c r="J10" i="4" l="1"/>
  <c r="I6" i="3"/>
  <c r="F5" i="3"/>
  <c r="F6" i="3"/>
  <c r="F7" i="3"/>
  <c r="F8" i="3"/>
  <c r="F4" i="3"/>
  <c r="F7" i="4"/>
  <c r="F6" i="4"/>
  <c r="F5" i="4"/>
  <c r="F4" i="4"/>
</calcChain>
</file>

<file path=xl/sharedStrings.xml><?xml version="1.0" encoding="utf-8"?>
<sst xmlns="http://schemas.openxmlformats.org/spreadsheetml/2006/main" count="88" uniqueCount="50">
  <si>
    <t>Run</t>
  </si>
  <si>
    <t>Charge</t>
  </si>
  <si>
    <t>Target</t>
  </si>
  <si>
    <t>Current (nA)</t>
  </si>
  <si>
    <t>4He</t>
  </si>
  <si>
    <t>Angle</t>
  </si>
  <si>
    <t>Position (mm)</t>
  </si>
  <si>
    <t>Comments</t>
  </si>
  <si>
    <t>´´</t>
  </si>
  <si>
    <t>Au 1</t>
  </si>
  <si>
    <t>calib. V, Nb, Ta</t>
  </si>
  <si>
    <t>~ 4</t>
  </si>
  <si>
    <t>rodado para o lado do RBS1</t>
  </si>
  <si>
    <t>calib. Yb, Ge, Si, O</t>
  </si>
  <si>
    <t>Au 3</t>
  </si>
  <si>
    <t xml:space="preserve">mudar leitura da corrente </t>
  </si>
  <si>
    <t>corrente lida no porta alvos</t>
  </si>
  <si>
    <t>+ 30 º</t>
  </si>
  <si>
    <t>Au 2</t>
  </si>
  <si>
    <t>V</t>
  </si>
  <si>
    <t>Nb</t>
  </si>
  <si>
    <t>Ta</t>
  </si>
  <si>
    <t xml:space="preserve">E0 = </t>
  </si>
  <si>
    <t>keV</t>
  </si>
  <si>
    <t>Si</t>
  </si>
  <si>
    <t>O</t>
  </si>
  <si>
    <t>Surface channel</t>
  </si>
  <si>
    <t>Ge</t>
  </si>
  <si>
    <t>Yb</t>
  </si>
  <si>
    <t>Z</t>
  </si>
  <si>
    <t>ug/cm2</t>
  </si>
  <si>
    <t>10^15atms/cm2</t>
  </si>
  <si>
    <t>C</t>
  </si>
  <si>
    <t>Au</t>
  </si>
  <si>
    <t>2000 keV</t>
  </si>
  <si>
    <t>Element</t>
  </si>
  <si>
    <t>A</t>
  </si>
  <si>
    <t>kinematic factor</t>
  </si>
  <si>
    <t>Back Energy (keV)</t>
  </si>
  <si>
    <t>Effective energy</t>
  </si>
  <si>
    <t>Kinematic factor</t>
  </si>
  <si>
    <t>Energy (MeV)</t>
  </si>
  <si>
    <t>Stop. Pow. MeV cm^2/g</t>
  </si>
  <si>
    <t xml:space="preserve">Au dens.ty = </t>
  </si>
  <si>
    <t>g/cm^3</t>
  </si>
  <si>
    <t>Stop. Pow. MeV/cm</t>
  </si>
  <si>
    <t>Eloss factor</t>
  </si>
  <si>
    <t>x (cm)</t>
  </si>
  <si>
    <t>x (nm)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</si>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</sst>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DDFF"/>
        <bgColor indexed="64"/>
      </patternFill>
    </fill>
    <fill>
      <patternFill patternType="solid">
        <fgColor rgb="FFFFDDFA"/>
        <bgColor indexed="64"/>
      </patternFill>
    </fill>
    <fill>
      <patternFill patternType="solid">
        <fgColor rgb="FFFFEFFD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1" fillId="7" borderId="0" xfId="0" applyFont="1" applyFill="1"/>
    <xf numFmtId="2" fontId="0" fillId="0" borderId="0" xfId="0" applyNumberFormat="1"/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7" borderId="0" xfId="0" applyFill="1"/>
    <xf numFmtId="165" fontId="0" fillId="6" borderId="0" xfId="0" applyNumberFormat="1" applyFill="1"/>
    <xf numFmtId="2" fontId="0" fillId="6" borderId="0" xfId="0" applyNumberFormat="1" applyFill="1"/>
    <xf numFmtId="0" fontId="2" fillId="9" borderId="0" xfId="0" applyFont="1" applyFill="1"/>
    <xf numFmtId="0" fontId="2" fillId="10" borderId="0" xfId="0" applyFont="1" applyFill="1"/>
    <xf numFmtId="165" fontId="2" fillId="10" borderId="0" xfId="0" applyNumberFormat="1" applyFont="1" applyFill="1"/>
    <xf numFmtId="164" fontId="0" fillId="10" borderId="0" xfId="0" applyNumberFormat="1" applyFill="1"/>
    <xf numFmtId="0" fontId="0" fillId="11" borderId="0" xfId="0" applyFill="1"/>
    <xf numFmtId="165" fontId="0" fillId="5" borderId="0" xfId="0" applyNumberFormat="1" applyFill="1"/>
    <xf numFmtId="2" fontId="0" fillId="5" borderId="0" xfId="0" applyNumberFormat="1" applyFill="1"/>
    <xf numFmtId="0" fontId="0" fillId="12" borderId="0" xfId="0" applyFill="1"/>
    <xf numFmtId="165" fontId="0" fillId="4" borderId="0" xfId="0" applyNumberFormat="1" applyFill="1"/>
    <xf numFmtId="2" fontId="0" fillId="4" borderId="0" xfId="0" applyNumberFormat="1" applyFill="1"/>
    <xf numFmtId="0" fontId="0" fillId="13" borderId="0" xfId="0" applyFill="1"/>
    <xf numFmtId="0" fontId="0" fillId="3" borderId="0" xfId="0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1" fillId="5" borderId="0" xfId="0" applyFont="1" applyFill="1"/>
    <xf numFmtId="2" fontId="0" fillId="10" borderId="0" xfId="0" applyNumberFormat="1" applyFill="1"/>
    <xf numFmtId="0" fontId="0" fillId="14" borderId="0" xfId="0" applyFill="1" applyAlignment="1">
      <alignment horizontal="center" vertical="center" wrapText="1"/>
    </xf>
    <xf numFmtId="0" fontId="0" fillId="14" borderId="9" xfId="0" applyFill="1" applyBorder="1" applyAlignment="1">
      <alignment horizontal="center" wrapText="1"/>
    </xf>
    <xf numFmtId="0" fontId="0" fillId="14" borderId="10" xfId="0" applyFill="1" applyBorder="1" applyAlignment="1">
      <alignment horizontal="center" wrapText="1"/>
    </xf>
    <xf numFmtId="0" fontId="4" fillId="14" borderId="8" xfId="0" applyFont="1" applyFill="1" applyBorder="1" applyAlignment="1">
      <alignment horizontal="center" wrapText="1"/>
    </xf>
    <xf numFmtId="11" fontId="0" fillId="16" borderId="0" xfId="0" applyNumberForma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65" fontId="0" fillId="6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165" fontId="2" fillId="10" borderId="0" xfId="0" applyNumberFormat="1" applyFont="1" applyFill="1" applyAlignment="1">
      <alignment horizontal="center" vertical="center" wrapText="1"/>
    </xf>
    <xf numFmtId="164" fontId="0" fillId="10" borderId="0" xfId="0" applyNumberFormat="1" applyFill="1" applyAlignment="1">
      <alignment horizontal="center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164" fontId="0" fillId="14" borderId="0" xfId="0" applyNumberFormat="1" applyFill="1" applyAlignment="1">
      <alignment horizontal="center" vertical="center" wrapText="1"/>
    </xf>
    <xf numFmtId="2" fontId="0" fillId="14" borderId="0" xfId="0" applyNumberFormat="1" applyFill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 wrapText="1"/>
    </xf>
    <xf numFmtId="0" fontId="0" fillId="16" borderId="1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1" fontId="4" fillId="16" borderId="11" xfId="0" applyNumberFormat="1" applyFont="1" applyFill="1" applyBorder="1" applyAlignment="1">
      <alignment horizontal="center"/>
    </xf>
    <xf numFmtId="1" fontId="0" fillId="16" borderId="0" xfId="0" applyNumberFormat="1" applyFill="1" applyBorder="1" applyAlignment="1">
      <alignment horizontal="center"/>
    </xf>
    <xf numFmtId="170" fontId="3" fillId="16" borderId="0" xfId="0" applyNumberFormat="1" applyFont="1" applyFill="1" applyBorder="1" applyAlignment="1">
      <alignment horizontal="center"/>
    </xf>
    <xf numFmtId="170" fontId="3" fillId="16" borderId="6" xfId="0" applyNumberFormat="1" applyFont="1" applyFill="1" applyBorder="1" applyAlignment="1">
      <alignment horizontal="center"/>
    </xf>
    <xf numFmtId="2" fontId="0" fillId="16" borderId="0" xfId="0" applyNumberFormat="1" applyFill="1" applyBorder="1" applyAlignment="1">
      <alignment horizontal="center"/>
    </xf>
    <xf numFmtId="2" fontId="0" fillId="16" borderId="6" xfId="0" applyNumberFormat="1" applyFill="1" applyBorder="1" applyAlignment="1">
      <alignment horizontal="center"/>
    </xf>
    <xf numFmtId="164" fontId="0" fillId="16" borderId="4" xfId="0" applyNumberFormat="1" applyFill="1" applyBorder="1" applyAlignment="1">
      <alignment horizontal="center"/>
    </xf>
    <xf numFmtId="164" fontId="0" fillId="16" borderId="5" xfId="0" applyNumberFormat="1" applyFill="1" applyBorder="1" applyAlignment="1">
      <alignment horizontal="center"/>
    </xf>
    <xf numFmtId="164" fontId="0" fillId="16" borderId="6" xfId="0" applyNumberFormat="1" applyFill="1" applyBorder="1" applyAlignment="1">
      <alignment horizontal="center"/>
    </xf>
    <xf numFmtId="0" fontId="0" fillId="16" borderId="0" xfId="0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FD"/>
      <color rgb="FFFFDDFA"/>
      <color rgb="FFF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RBS YbGeSiO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67672616620133E-2"/>
                  <c:y val="-0.1624806794983960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'YbGeSiO Calib. ERD'!$H$4:$H$7</c:f>
              <c:numCache>
                <c:formatCode>General</c:formatCode>
                <c:ptCount val="4"/>
                <c:pt idx="0">
                  <c:v>261</c:v>
                </c:pt>
                <c:pt idx="1">
                  <c:v>429</c:v>
                </c:pt>
                <c:pt idx="2">
                  <c:v>623</c:v>
                </c:pt>
                <c:pt idx="3">
                  <c:v>708</c:v>
                </c:pt>
              </c:numCache>
            </c:numRef>
          </c:xVal>
          <c:yVal>
            <c:numRef>
              <c:f>'YbGeSiO Calib. ERD'!$G$4:$G$7</c:f>
              <c:numCache>
                <c:formatCode>0.00</c:formatCode>
                <c:ptCount val="4"/>
                <c:pt idx="0">
                  <c:v>731.8374061402385</c:v>
                </c:pt>
                <c:pt idx="1">
                  <c:v>1137.560513518911</c:v>
                </c:pt>
                <c:pt idx="2">
                  <c:v>1610.0119280345541</c:v>
                </c:pt>
                <c:pt idx="3">
                  <c:v>1826.1099949088809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988048"/>
        <c:axId val="1446983696"/>
      </c:scatterChart>
      <c:valAx>
        <c:axId val="14469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983696"/>
        <c:crosses val="autoZero"/>
        <c:crossBetween val="midCat"/>
      </c:valAx>
      <c:valAx>
        <c:axId val="14469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9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Calib.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13347207620845E-3"/>
                  <c:y val="-0.16170506912442395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'Ta-Nb-V Calib. ERD'!$H$4:$H$8</c:f>
              <c:numCache>
                <c:formatCode>General</c:formatCode>
                <c:ptCount val="5"/>
                <c:pt idx="0">
                  <c:v>262</c:v>
                </c:pt>
                <c:pt idx="1">
                  <c:v>427</c:v>
                </c:pt>
                <c:pt idx="2">
                  <c:v>567</c:v>
                </c:pt>
                <c:pt idx="3">
                  <c:v>656</c:v>
                </c:pt>
                <c:pt idx="4">
                  <c:v>714</c:v>
                </c:pt>
              </c:numCache>
            </c:numRef>
          </c:xVal>
          <c:yVal>
            <c:numRef>
              <c:f>'Ta-Nb-V Calib. ERD'!$G$4:$G$8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981520"/>
        <c:axId val="1446991856"/>
      </c:scatterChart>
      <c:valAx>
        <c:axId val="14469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991856"/>
        <c:crosses val="autoZero"/>
        <c:crossBetween val="midCat"/>
      </c:valAx>
      <c:valAx>
        <c:axId val="14469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9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9</xdr:row>
      <xdr:rowOff>76200</xdr:rowOff>
    </xdr:from>
    <xdr:to>
      <xdr:col>8</xdr:col>
      <xdr:colOff>117475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82550</xdr:rowOff>
    </xdr:from>
    <xdr:to>
      <xdr:col>17</xdr:col>
      <xdr:colOff>447675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311149</xdr:colOff>
      <xdr:row>8</xdr:row>
      <xdr:rowOff>127000</xdr:rowOff>
    </xdr:from>
    <xdr:to>
      <xdr:col>8</xdr:col>
      <xdr:colOff>31750</xdr:colOff>
      <xdr:row>29</xdr:row>
      <xdr:rowOff>50704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54" t="11423" r="11556" b="9490"/>
        <a:stretch/>
      </xdr:blipFill>
      <xdr:spPr>
        <a:xfrm>
          <a:off x="311149" y="1784350"/>
          <a:ext cx="5029201" cy="37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G1" workbookViewId="0">
      <selection activeCell="H14" sqref="H14"/>
    </sheetView>
  </sheetViews>
  <sheetFormatPr defaultRowHeight="14.5" x14ac:dyDescent="0.35"/>
  <cols>
    <col min="1" max="1" width="8.26953125" bestFit="1" customWidth="1"/>
    <col min="2" max="2" width="4.08984375" bestFit="1" customWidth="1"/>
    <col min="3" max="3" width="15.54296875" bestFit="1" customWidth="1"/>
    <col min="4" max="4" width="5.453125" bestFit="1" customWidth="1"/>
    <col min="5" max="5" width="8.7265625" customWidth="1"/>
    <col min="6" max="6" width="6.6328125" bestFit="1" customWidth="1"/>
    <col min="7" max="7" width="20.90625" bestFit="1" customWidth="1"/>
    <col min="8" max="8" width="42.81640625" customWidth="1"/>
    <col min="9" max="9" width="14.453125" customWidth="1"/>
    <col min="10" max="10" width="18" bestFit="1" customWidth="1"/>
    <col min="11" max="11" width="7.08984375" bestFit="1" customWidth="1"/>
  </cols>
  <sheetData>
    <row r="1" spans="1:12" x14ac:dyDescent="0.35">
      <c r="A1" t="s">
        <v>34</v>
      </c>
      <c r="B1" t="s">
        <v>4</v>
      </c>
    </row>
    <row r="2" spans="1:12" ht="15" thickBot="1" x14ac:dyDescent="0.4"/>
    <row r="3" spans="1:12" ht="29.5" thickBot="1" x14ac:dyDescent="0.4">
      <c r="B3" s="1" t="s">
        <v>0</v>
      </c>
      <c r="C3" s="2" t="s">
        <v>2</v>
      </c>
      <c r="D3" s="2" t="s">
        <v>5</v>
      </c>
      <c r="E3" s="2" t="s">
        <v>6</v>
      </c>
      <c r="F3" s="2" t="s">
        <v>1</v>
      </c>
      <c r="G3" s="2" t="s">
        <v>3</v>
      </c>
      <c r="H3" s="3" t="s">
        <v>7</v>
      </c>
    </row>
    <row r="4" spans="1:12" x14ac:dyDescent="0.35">
      <c r="B4">
        <v>1</v>
      </c>
      <c r="C4" t="s">
        <v>10</v>
      </c>
      <c r="D4">
        <v>0</v>
      </c>
      <c r="E4">
        <v>61</v>
      </c>
      <c r="F4">
        <v>20000</v>
      </c>
      <c r="G4" t="s">
        <v>11</v>
      </c>
      <c r="H4" t="s">
        <v>16</v>
      </c>
    </row>
    <row r="5" spans="1:12" x14ac:dyDescent="0.35">
      <c r="B5">
        <v>2</v>
      </c>
      <c r="C5" s="4" t="s">
        <v>8</v>
      </c>
      <c r="D5" s="4" t="s">
        <v>17</v>
      </c>
      <c r="E5" t="s">
        <v>8</v>
      </c>
      <c r="F5" t="s">
        <v>8</v>
      </c>
      <c r="G5" t="s">
        <v>8</v>
      </c>
      <c r="H5" t="s">
        <v>12</v>
      </c>
    </row>
    <row r="6" spans="1:12" x14ac:dyDescent="0.35">
      <c r="B6">
        <v>3</v>
      </c>
      <c r="C6" t="s">
        <v>13</v>
      </c>
      <c r="D6">
        <v>0</v>
      </c>
      <c r="E6">
        <v>50</v>
      </c>
      <c r="F6">
        <v>20000</v>
      </c>
      <c r="G6" t="s">
        <v>8</v>
      </c>
    </row>
    <row r="7" spans="1:12" x14ac:dyDescent="0.35">
      <c r="B7">
        <v>4</v>
      </c>
      <c r="C7" t="s">
        <v>14</v>
      </c>
      <c r="D7">
        <v>0</v>
      </c>
      <c r="E7">
        <v>37</v>
      </c>
      <c r="F7" t="s">
        <v>8</v>
      </c>
      <c r="G7" t="s">
        <v>8</v>
      </c>
      <c r="H7" t="s">
        <v>15</v>
      </c>
    </row>
    <row r="8" spans="1:12" x14ac:dyDescent="0.35">
      <c r="B8">
        <v>5</v>
      </c>
      <c r="C8" t="s">
        <v>8</v>
      </c>
      <c r="D8" s="4" t="s">
        <v>17</v>
      </c>
      <c r="E8" t="s">
        <v>8</v>
      </c>
      <c r="F8" t="s">
        <v>8</v>
      </c>
      <c r="G8" t="s">
        <v>8</v>
      </c>
    </row>
    <row r="9" spans="1:12" x14ac:dyDescent="0.35">
      <c r="B9">
        <v>6</v>
      </c>
      <c r="C9" t="s">
        <v>18</v>
      </c>
      <c r="D9">
        <v>0</v>
      </c>
      <c r="E9">
        <v>24</v>
      </c>
      <c r="F9" t="s">
        <v>8</v>
      </c>
      <c r="G9" t="s">
        <v>8</v>
      </c>
    </row>
    <row r="10" spans="1:12" ht="15" thickBot="1" x14ac:dyDescent="0.4">
      <c r="B10">
        <v>7</v>
      </c>
      <c r="C10" t="s">
        <v>8</v>
      </c>
      <c r="D10" s="4" t="s">
        <v>17</v>
      </c>
      <c r="E10" t="s">
        <v>8</v>
      </c>
      <c r="F10" t="s">
        <v>8</v>
      </c>
      <c r="G10" t="s">
        <v>8</v>
      </c>
    </row>
    <row r="11" spans="1:12" x14ac:dyDescent="0.35">
      <c r="B11">
        <v>8</v>
      </c>
      <c r="C11" t="s">
        <v>9</v>
      </c>
      <c r="D11">
        <v>0</v>
      </c>
      <c r="E11">
        <v>10</v>
      </c>
      <c r="F11" t="s">
        <v>8</v>
      </c>
      <c r="G11" t="s">
        <v>8</v>
      </c>
      <c r="I11" s="77" t="s">
        <v>49</v>
      </c>
      <c r="J11" s="78" t="s">
        <v>31</v>
      </c>
      <c r="K11" s="78" t="s">
        <v>30</v>
      </c>
      <c r="L11" s="79"/>
    </row>
    <row r="12" spans="1:12" x14ac:dyDescent="0.35">
      <c r="B12">
        <v>9</v>
      </c>
      <c r="C12" t="s">
        <v>8</v>
      </c>
      <c r="D12" s="4" t="s">
        <v>17</v>
      </c>
      <c r="E12">
        <v>10</v>
      </c>
      <c r="F12" t="s">
        <v>8</v>
      </c>
      <c r="G12" t="s">
        <v>8</v>
      </c>
      <c r="I12" s="67">
        <v>100</v>
      </c>
      <c r="J12" s="71">
        <f>I12*10^-7*6.022E+23*19.3/196.967/1000000000000000</f>
        <v>590.07143328577877</v>
      </c>
      <c r="K12" s="76">
        <f>I12*10^-7*19.3*1000000</f>
        <v>193</v>
      </c>
      <c r="L12" s="73" t="s">
        <v>33</v>
      </c>
    </row>
    <row r="13" spans="1:12" x14ac:dyDescent="0.35">
      <c r="B13">
        <v>10</v>
      </c>
      <c r="I13" s="70">
        <v>111</v>
      </c>
      <c r="J13" s="71">
        <f t="shared" ref="J13" si="0">I13*10^-7*6.022E+23*19.3/196.967/1000000000000000</f>
        <v>654.97929094721451</v>
      </c>
      <c r="K13" s="74"/>
      <c r="L13" s="75" t="s">
        <v>33</v>
      </c>
    </row>
    <row r="14" spans="1:12" x14ac:dyDescent="0.35">
      <c r="B14">
        <v>11</v>
      </c>
      <c r="I14" s="70">
        <v>140</v>
      </c>
      <c r="J14" s="71">
        <f t="shared" ref="J14" si="1">I14*10^-7*6.022E+23*2.7/12.011/1000000000000000</f>
        <v>1895.1927399883441</v>
      </c>
      <c r="K14" s="72">
        <f t="shared" ref="K14:K15" si="2">I14*10^-7*3.52*1000000</f>
        <v>49.28</v>
      </c>
      <c r="L14" s="73" t="s">
        <v>32</v>
      </c>
    </row>
    <row r="15" spans="1:12" ht="15" thickBot="1" x14ac:dyDescent="0.4">
      <c r="B15">
        <v>12</v>
      </c>
      <c r="I15" s="68">
        <v>160</v>
      </c>
      <c r="J15" s="65">
        <f>I15*10^-7*6.022E+23*2.7/12.011/1000000000000000</f>
        <v>2165.9345599866792</v>
      </c>
      <c r="K15" s="66">
        <f>I15*10^-7*3.52*1000000</f>
        <v>56.319999999999993</v>
      </c>
      <c r="L15" s="69" t="s">
        <v>32</v>
      </c>
    </row>
    <row r="16" spans="1:12" x14ac:dyDescent="0.35">
      <c r="B16">
        <v>13</v>
      </c>
    </row>
    <row r="17" spans="2:12" x14ac:dyDescent="0.35">
      <c r="B17">
        <v>14</v>
      </c>
      <c r="I17" s="90">
        <f>J17/10^-7/6.022E+23/19.3*196.967*1000000000000000</f>
        <v>151.67655126367396</v>
      </c>
      <c r="J17">
        <v>895</v>
      </c>
      <c r="L17" s="89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N13" sqref="N13"/>
    </sheetView>
  </sheetViews>
  <sheetFormatPr defaultRowHeight="14.5" x14ac:dyDescent="0.35"/>
  <cols>
    <col min="6" max="6" width="9.08984375" customWidth="1"/>
    <col min="7" max="7" width="10.81640625" customWidth="1"/>
    <col min="9" max="9" width="11.54296875" bestFit="1" customWidth="1"/>
    <col min="10" max="10" width="8.90625" bestFit="1" customWidth="1"/>
    <col min="11" max="11" width="11.453125" bestFit="1" customWidth="1"/>
    <col min="12" max="12" width="12.453125" customWidth="1"/>
    <col min="13" max="13" width="10.26953125" bestFit="1" customWidth="1"/>
    <col min="14" max="14" width="12" bestFit="1" customWidth="1"/>
  </cols>
  <sheetData>
    <row r="1" spans="1:15" x14ac:dyDescent="0.35">
      <c r="A1" s="12" t="s">
        <v>22</v>
      </c>
      <c r="B1" s="12">
        <v>2000</v>
      </c>
      <c r="C1" s="12" t="s">
        <v>23</v>
      </c>
      <c r="I1" s="6" t="s">
        <v>43</v>
      </c>
      <c r="J1" s="34">
        <v>19.3</v>
      </c>
      <c r="K1" s="6" t="s">
        <v>44</v>
      </c>
    </row>
    <row r="2" spans="1:15" x14ac:dyDescent="0.35">
      <c r="A2" t="s">
        <v>4</v>
      </c>
      <c r="B2">
        <v>4.0026000000000002</v>
      </c>
    </row>
    <row r="3" spans="1:15" ht="29" x14ac:dyDescent="0.35">
      <c r="C3" s="14" t="s">
        <v>35</v>
      </c>
      <c r="D3" s="14" t="s">
        <v>29</v>
      </c>
      <c r="E3" s="14" t="s">
        <v>36</v>
      </c>
      <c r="F3" s="14" t="s">
        <v>40</v>
      </c>
      <c r="G3" s="14" t="s">
        <v>38</v>
      </c>
      <c r="H3" s="14" t="s">
        <v>26</v>
      </c>
    </row>
    <row r="4" spans="1:15" x14ac:dyDescent="0.35">
      <c r="C4" s="42" t="s">
        <v>25</v>
      </c>
      <c r="D4" s="43">
        <v>8</v>
      </c>
      <c r="E4" s="44">
        <v>15.999000000000001</v>
      </c>
      <c r="F4" s="45">
        <f>((SQRT(1-(4.0026/E4)^2*SIN(RADIANS(165))^2)+4.0026/E4*COS(RADIANS(165)))/(1+4.0026/E4))^2</f>
        <v>0.36591870307011926</v>
      </c>
      <c r="G4" s="46">
        <f>$B$1*F4</f>
        <v>731.8374061402385</v>
      </c>
      <c r="H4" s="43">
        <v>261</v>
      </c>
    </row>
    <row r="5" spans="1:15" x14ac:dyDescent="0.35">
      <c r="C5" s="47" t="s">
        <v>24</v>
      </c>
      <c r="D5" s="48">
        <v>14</v>
      </c>
      <c r="E5" s="49">
        <v>28.085000000000001</v>
      </c>
      <c r="F5" s="50">
        <f t="shared" ref="F5:F8" si="0">((SQRT(1-(4.0026/E5)^2*SIN(RADIANS(165))^2)+4.0026/E5*COS(RADIANS(165)))/(1+4.0026/E5))^2</f>
        <v>0.56878025675945543</v>
      </c>
      <c r="G5" s="51">
        <f t="shared" ref="G5:G8" si="1">$B$1*F5</f>
        <v>1137.560513518911</v>
      </c>
      <c r="H5" s="52">
        <v>429</v>
      </c>
    </row>
    <row r="6" spans="1:15" x14ac:dyDescent="0.35">
      <c r="C6" s="53" t="s">
        <v>27</v>
      </c>
      <c r="D6" s="54">
        <v>32</v>
      </c>
      <c r="E6" s="55">
        <v>72.63</v>
      </c>
      <c r="F6" s="56">
        <f t="shared" si="0"/>
        <v>0.80500596401727709</v>
      </c>
      <c r="G6" s="57">
        <f t="shared" si="1"/>
        <v>1610.0119280345541</v>
      </c>
      <c r="H6" s="54">
        <v>623</v>
      </c>
    </row>
    <row r="7" spans="1:15" ht="15" thickBot="1" x14ac:dyDescent="0.4">
      <c r="C7" s="58" t="s">
        <v>28</v>
      </c>
      <c r="D7" s="59">
        <v>70</v>
      </c>
      <c r="E7" s="60">
        <v>173.05</v>
      </c>
      <c r="F7" s="61">
        <f t="shared" si="0"/>
        <v>0.91305499745444052</v>
      </c>
      <c r="G7" s="62">
        <f t="shared" si="1"/>
        <v>1826.1099949088809</v>
      </c>
      <c r="H7" s="59">
        <v>708</v>
      </c>
    </row>
    <row r="8" spans="1:15" ht="29.5" thickBot="1" x14ac:dyDescent="0.4">
      <c r="C8" s="36" t="s">
        <v>33</v>
      </c>
      <c r="D8" s="36">
        <v>79</v>
      </c>
      <c r="E8" s="36">
        <v>196.97</v>
      </c>
      <c r="F8" s="63">
        <f t="shared" si="0"/>
        <v>0.92319962211780249</v>
      </c>
      <c r="G8" s="64">
        <f t="shared" si="1"/>
        <v>1846.399244235605</v>
      </c>
      <c r="H8" s="36"/>
      <c r="J8" s="37" t="s">
        <v>41</v>
      </c>
      <c r="K8" s="38" t="s">
        <v>42</v>
      </c>
      <c r="L8" s="38" t="s">
        <v>45</v>
      </c>
      <c r="M8" s="38" t="s">
        <v>46</v>
      </c>
      <c r="N8" s="38" t="s">
        <v>47</v>
      </c>
      <c r="O8" s="39" t="s">
        <v>48</v>
      </c>
    </row>
    <row r="9" spans="1:15" x14ac:dyDescent="0.35">
      <c r="J9" s="86">
        <v>2</v>
      </c>
      <c r="K9" s="82">
        <v>347.3</v>
      </c>
      <c r="L9" s="84">
        <f>K9*$J$1</f>
        <v>6702.89</v>
      </c>
      <c r="M9" s="81">
        <f>(F8*L9+L10/COS(RADIANS(15)))</f>
        <v>13788.813354337512</v>
      </c>
      <c r="N9" s="40">
        <f>(B1-G8)/1000/M9</f>
        <v>1.1139519537848933E-5</v>
      </c>
      <c r="O9" s="80">
        <f>N9*10^7</f>
        <v>111.39519537848933</v>
      </c>
    </row>
    <row r="10" spans="1:15" ht="25.5" customHeight="1" thickBot="1" x14ac:dyDescent="0.4">
      <c r="J10" s="87">
        <f>G8/1000</f>
        <v>1.846399244235605</v>
      </c>
      <c r="K10" s="83">
        <v>380.4</v>
      </c>
      <c r="L10" s="85">
        <f t="shared" ref="L10" si="2">K10*$J$1</f>
        <v>7341.72</v>
      </c>
      <c r="M10" s="88"/>
      <c r="N10" s="88"/>
      <c r="O10" s="4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5" sqref="H5"/>
    </sheetView>
  </sheetViews>
  <sheetFormatPr defaultRowHeight="14.5" x14ac:dyDescent="0.35"/>
  <cols>
    <col min="5" max="5" width="12.453125" bestFit="1" customWidth="1"/>
    <col min="7" max="7" width="11.1796875" customWidth="1"/>
    <col min="16" max="16" width="10" bestFit="1" customWidth="1"/>
  </cols>
  <sheetData>
    <row r="1" spans="1:10" x14ac:dyDescent="0.35">
      <c r="A1" s="12" t="s">
        <v>22</v>
      </c>
      <c r="B1" s="12">
        <v>2000</v>
      </c>
      <c r="C1" s="12" t="s">
        <v>23</v>
      </c>
    </row>
    <row r="3" spans="1:10" ht="29" x14ac:dyDescent="0.35">
      <c r="C3" s="14" t="s">
        <v>35</v>
      </c>
      <c r="D3" s="14" t="s">
        <v>29</v>
      </c>
      <c r="E3" s="15" t="s">
        <v>36</v>
      </c>
      <c r="F3" s="14" t="s">
        <v>37</v>
      </c>
      <c r="G3" s="14" t="s">
        <v>38</v>
      </c>
      <c r="H3" s="14" t="s">
        <v>26</v>
      </c>
      <c r="I3" s="14" t="s">
        <v>39</v>
      </c>
    </row>
    <row r="4" spans="1:10" x14ac:dyDescent="0.35">
      <c r="C4" s="16" t="s">
        <v>25</v>
      </c>
      <c r="D4" s="7">
        <v>8</v>
      </c>
      <c r="E4" s="17">
        <v>15.999000000000001</v>
      </c>
      <c r="F4" s="11">
        <f>((SQRT(1-(4.0026/E4)^2*SIN(RADIANS(165))^2)+4.0026/E4*COS(RADIANS(165)))/(1+4.0026/E4))^2</f>
        <v>0.36591870307011926</v>
      </c>
      <c r="G4" s="18">
        <f>$B$1*F4</f>
        <v>731.8374061402385</v>
      </c>
      <c r="H4" s="7">
        <v>262</v>
      </c>
    </row>
    <row r="5" spans="1:10" x14ac:dyDescent="0.35">
      <c r="C5" s="19" t="s">
        <v>24</v>
      </c>
      <c r="D5" s="20">
        <v>14</v>
      </c>
      <c r="E5" s="21">
        <v>28.085000000000001</v>
      </c>
      <c r="F5" s="22">
        <f t="shared" ref="F5:F8" si="0">((SQRT(1-(4.0026/E5)^2*SIN(RADIANS(165))^2)+4.0026/E5*COS(RADIANS(165)))/(1+4.0026/E5))^2</f>
        <v>0.56878025675945543</v>
      </c>
      <c r="G5" s="35">
        <f t="shared" ref="G5:G8" si="1">$B$1*F5</f>
        <v>1137.560513518911</v>
      </c>
      <c r="H5" s="20">
        <v>427</v>
      </c>
    </row>
    <row r="6" spans="1:10" x14ac:dyDescent="0.35">
      <c r="C6" s="23" t="s">
        <v>19</v>
      </c>
      <c r="D6" s="6">
        <v>23</v>
      </c>
      <c r="E6" s="24">
        <v>50.942</v>
      </c>
      <c r="F6" s="10">
        <f t="shared" si="0"/>
        <v>0.7337544049093524</v>
      </c>
      <c r="G6" s="25">
        <f t="shared" si="1"/>
        <v>1467.5088098187048</v>
      </c>
      <c r="H6" s="6">
        <v>567</v>
      </c>
      <c r="I6" s="13">
        <f>G6</f>
        <v>1467.5088098187048</v>
      </c>
    </row>
    <row r="7" spans="1:10" x14ac:dyDescent="0.35">
      <c r="C7" s="26" t="s">
        <v>20</v>
      </c>
      <c r="D7" s="5">
        <v>41</v>
      </c>
      <c r="E7" s="27">
        <v>92.906000000000006</v>
      </c>
      <c r="F7" s="9">
        <f t="shared" si="0"/>
        <v>0.84408702273631764</v>
      </c>
      <c r="G7" s="28">
        <f t="shared" si="1"/>
        <v>1688.1740454726353</v>
      </c>
      <c r="H7" s="5">
        <v>656</v>
      </c>
    </row>
    <row r="8" spans="1:10" x14ac:dyDescent="0.35">
      <c r="C8" s="29" t="s">
        <v>21</v>
      </c>
      <c r="D8" s="30">
        <v>73</v>
      </c>
      <c r="E8" s="31">
        <v>180.95</v>
      </c>
      <c r="F8" s="32">
        <f t="shared" si="0"/>
        <v>0.91668930866242726</v>
      </c>
      <c r="G8" s="33">
        <f t="shared" si="1"/>
        <v>1833.3786173248545</v>
      </c>
      <c r="H8" s="30">
        <v>714</v>
      </c>
    </row>
    <row r="10" spans="1:10" x14ac:dyDescent="0.35">
      <c r="J10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YbGeSiO Calib. ERD</vt:lpstr>
      <vt:lpstr>Ta-Nb-V Calib. ERD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Pires</dc:creator>
  <cp:lastModifiedBy>Ricardo Pires</cp:lastModifiedBy>
  <dcterms:created xsi:type="dcterms:W3CDTF">2022-08-29T11:45:38Z</dcterms:created>
  <dcterms:modified xsi:type="dcterms:W3CDTF">2022-09-21T13:42:42Z</dcterms:modified>
</cp:coreProperties>
</file>