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110" windowWidth="16290" windowHeight="10740" tabRatio="674" activeTab="1"/>
  </bookViews>
  <sheets>
    <sheet name="NPL (ALL)" sheetId="37" r:id="rId1"/>
    <sheet name="By Product(Link)" sheetId="38" r:id="rId2"/>
    <sheet name="AKPK" sheetId="40" r:id="rId3"/>
  </sheets>
  <externalReferences>
    <externalReference r:id="rId4"/>
    <externalReference r:id="rId5"/>
  </externalReferences>
  <definedNames>
    <definedName name="_Q1000000">'By Product(Link)'!$G$60001</definedName>
    <definedName name="_Q70000">'By Product(Link)'!$G$60001</definedName>
    <definedName name="_Q80000">'By Product(Link)'!$G$60001</definedName>
    <definedName name="_Q90000">'By Product(Link)'!$G$60001</definedName>
    <definedName name="_Q900000">'By Product(Link)'!$G$60001</definedName>
    <definedName name="_xlnm.Print_Area" localSheetId="2">AKPK!$A$1:$EG$102</definedName>
    <definedName name="_xlnm.Print_Area" localSheetId="1">'By Product(Link)'!$A$1:$DG$58</definedName>
    <definedName name="_xlnm.Print_Area" localSheetId="0">'NPL (ALL)'!$A$1:$DG$59</definedName>
    <definedName name="_xlnm.Print_Titles" localSheetId="2">AKPK!$1:$4</definedName>
    <definedName name="_xlnm.Print_Titles" localSheetId="1">'By Product(Link)'!$1:$4</definedName>
    <definedName name="Q1100000">'By Product(Link)'!$G$60001</definedName>
    <definedName name="Q1200000">'By Product(Link)'!$G$60001</definedName>
    <definedName name="Q1300000">'By Product(Link)'!$G$60001</definedName>
    <definedName name="Q1310000">'By Product(Link)'!$G$60001</definedName>
    <definedName name="Q1320000">'By Product(Link)'!$G$60001</definedName>
  </definedNames>
  <calcPr calcId="145621"/>
</workbook>
</file>

<file path=xl/calcChain.xml><?xml version="1.0" encoding="utf-8"?>
<calcChain xmlns="http://schemas.openxmlformats.org/spreadsheetml/2006/main">
  <c r="DE25" i="37" l="1"/>
  <c r="DD25" i="37"/>
  <c r="DG28" i="37" l="1"/>
  <c r="DG20" i="37"/>
  <c r="DG7" i="37"/>
  <c r="AO101" i="40" l="1"/>
  <c r="EJ99" i="40"/>
  <c r="EI99" i="40"/>
  <c r="EH99" i="40"/>
  <c r="EG99" i="40"/>
  <c r="EF99" i="40"/>
  <c r="EE99" i="40"/>
  <c r="ED99" i="40"/>
  <c r="EC99" i="40"/>
  <c r="EB99" i="40"/>
  <c r="EA99" i="40"/>
  <c r="DZ99" i="40"/>
  <c r="DY99" i="40"/>
  <c r="DX99" i="40"/>
  <c r="DW99" i="40"/>
  <c r="DV99" i="40"/>
  <c r="DU99" i="40"/>
  <c r="DT99" i="40"/>
  <c r="DS99" i="40"/>
  <c r="DR99" i="40"/>
  <c r="DQ99" i="40"/>
  <c r="DP99" i="40"/>
  <c r="DO99" i="40"/>
  <c r="DN99" i="40"/>
  <c r="DM99" i="40"/>
  <c r="DL99" i="40"/>
  <c r="DK99" i="40"/>
  <c r="DJ99" i="40"/>
  <c r="DI99" i="40"/>
  <c r="DH99" i="40"/>
  <c r="DG99" i="40"/>
  <c r="DF99" i="40"/>
  <c r="DE99" i="40"/>
  <c r="DD99" i="40"/>
  <c r="DC99" i="40"/>
  <c r="DB99" i="40"/>
  <c r="DA99" i="40"/>
  <c r="CZ99" i="40"/>
  <c r="CY99" i="40"/>
  <c r="CX99" i="40"/>
  <c r="CW99" i="40"/>
  <c r="CV99" i="40"/>
  <c r="CU99" i="40"/>
  <c r="CT99" i="40"/>
  <c r="CS99" i="40"/>
  <c r="CR99" i="40"/>
  <c r="CQ99" i="40"/>
  <c r="CP99" i="40"/>
  <c r="CO99" i="40"/>
  <c r="CN99" i="40"/>
  <c r="CM99" i="40"/>
  <c r="CL99" i="40"/>
  <c r="CK99" i="40"/>
  <c r="CJ99" i="40"/>
  <c r="CI99" i="40"/>
  <c r="CH99" i="40"/>
  <c r="CG99" i="40"/>
  <c r="CF99" i="40"/>
  <c r="CE99" i="40"/>
  <c r="CD99" i="40"/>
  <c r="CC99" i="40"/>
  <c r="CB99" i="40"/>
  <c r="CA99" i="40"/>
  <c r="BZ99" i="40"/>
  <c r="BY99" i="40"/>
  <c r="BX99" i="40"/>
  <c r="BW99" i="40"/>
  <c r="BV99" i="40"/>
  <c r="BU99" i="40"/>
  <c r="BT99" i="40"/>
  <c r="BS99" i="40"/>
  <c r="BR99" i="40"/>
  <c r="BQ99" i="40"/>
  <c r="BP99" i="40"/>
  <c r="BO99" i="40"/>
  <c r="BN99" i="40"/>
  <c r="BM99" i="40"/>
  <c r="BL99" i="40"/>
  <c r="BK99" i="40"/>
  <c r="BJ99" i="40"/>
  <c r="BI99" i="40"/>
  <c r="BH99" i="40"/>
  <c r="BG99" i="40"/>
  <c r="BF99" i="40"/>
  <c r="BE99" i="40"/>
  <c r="BD99" i="40"/>
  <c r="BC99" i="40"/>
  <c r="BB99" i="40"/>
  <c r="BA99" i="40"/>
  <c r="AZ99" i="40"/>
  <c r="AY99" i="40"/>
  <c r="AX99" i="40"/>
  <c r="AW99" i="40"/>
  <c r="AV99" i="40"/>
  <c r="AU99" i="40"/>
  <c r="AT99" i="40"/>
  <c r="AS99" i="40"/>
  <c r="AR99" i="40"/>
  <c r="AQ99" i="40"/>
  <c r="AP99" i="40"/>
  <c r="AO99" i="40"/>
  <c r="AN99" i="40"/>
  <c r="AM99" i="40"/>
  <c r="AL99" i="40"/>
  <c r="AK99" i="40"/>
  <c r="AJ99" i="40"/>
  <c r="AI99" i="40"/>
  <c r="AH99" i="40"/>
  <c r="AG99" i="40"/>
  <c r="AF99" i="40"/>
  <c r="AE99" i="40"/>
  <c r="AD99" i="40"/>
  <c r="AC99" i="40"/>
  <c r="AB99" i="40"/>
  <c r="Z99" i="40"/>
  <c r="Y99" i="40"/>
  <c r="X99" i="40"/>
  <c r="L99" i="40"/>
  <c r="K99" i="40"/>
  <c r="J99" i="40"/>
  <c r="I99" i="40"/>
  <c r="EJ98" i="40"/>
  <c r="EJ102" i="40" s="1"/>
  <c r="EI98" i="40"/>
  <c r="EH98" i="40"/>
  <c r="EH102" i="40" s="1"/>
  <c r="EG98" i="40"/>
  <c r="EF98" i="40"/>
  <c r="EF102" i="40" s="1"/>
  <c r="EE98" i="40"/>
  <c r="ED98" i="40"/>
  <c r="ED102" i="40" s="1"/>
  <c r="EC98" i="40"/>
  <c r="EB98" i="40"/>
  <c r="EB102" i="40" s="1"/>
  <c r="EA98" i="40"/>
  <c r="DZ98" i="40"/>
  <c r="DZ102" i="40" s="1"/>
  <c r="DY98" i="40"/>
  <c r="DX98" i="40"/>
  <c r="DX102" i="40" s="1"/>
  <c r="DW98" i="40"/>
  <c r="DV98" i="40"/>
  <c r="DV102" i="40" s="1"/>
  <c r="DU98" i="40"/>
  <c r="DT98" i="40"/>
  <c r="DT102" i="40" s="1"/>
  <c r="DS98" i="40"/>
  <c r="DR98" i="40"/>
  <c r="DR102" i="40" s="1"/>
  <c r="DQ98" i="40"/>
  <c r="DP98" i="40"/>
  <c r="DP102" i="40" s="1"/>
  <c r="DO98" i="40"/>
  <c r="DN98" i="40"/>
  <c r="DN102" i="40" s="1"/>
  <c r="DM98" i="40"/>
  <c r="DL98" i="40"/>
  <c r="DL102" i="40" s="1"/>
  <c r="DK98" i="40"/>
  <c r="DJ98" i="40"/>
  <c r="DJ102" i="40" s="1"/>
  <c r="DI98" i="40"/>
  <c r="DH98" i="40"/>
  <c r="DH102" i="40" s="1"/>
  <c r="DG98" i="40"/>
  <c r="DF98" i="40"/>
  <c r="DF102" i="40" s="1"/>
  <c r="DE98" i="40"/>
  <c r="DD98" i="40"/>
  <c r="DD102" i="40" s="1"/>
  <c r="DC98" i="40"/>
  <c r="DB98" i="40"/>
  <c r="DB102" i="40" s="1"/>
  <c r="DA98" i="40"/>
  <c r="CZ98" i="40"/>
  <c r="CZ102" i="40" s="1"/>
  <c r="CY98" i="40"/>
  <c r="CX98" i="40"/>
  <c r="CX102" i="40" s="1"/>
  <c r="CW98" i="40"/>
  <c r="CV98" i="40"/>
  <c r="CV102" i="40" s="1"/>
  <c r="CU98" i="40"/>
  <c r="CT98" i="40"/>
  <c r="CT102" i="40" s="1"/>
  <c r="CS98" i="40"/>
  <c r="CR98" i="40"/>
  <c r="CR102" i="40" s="1"/>
  <c r="CQ98" i="40"/>
  <c r="CP98" i="40"/>
  <c r="CP102" i="40" s="1"/>
  <c r="CO98" i="40"/>
  <c r="CN98" i="40"/>
  <c r="CN102" i="40" s="1"/>
  <c r="CM98" i="40"/>
  <c r="CL98" i="40"/>
  <c r="CL102" i="40" s="1"/>
  <c r="CK98" i="40"/>
  <c r="CJ98" i="40"/>
  <c r="CJ102" i="40" s="1"/>
  <c r="CI98" i="40"/>
  <c r="CH98" i="40"/>
  <c r="CH102" i="40" s="1"/>
  <c r="CG98" i="40"/>
  <c r="CF98" i="40"/>
  <c r="CF102" i="40" s="1"/>
  <c r="CE98" i="40"/>
  <c r="CD98" i="40"/>
  <c r="CD102" i="40" s="1"/>
  <c r="CC98" i="40"/>
  <c r="CB98" i="40"/>
  <c r="CB102" i="40" s="1"/>
  <c r="CA98" i="40"/>
  <c r="BZ98" i="40"/>
  <c r="BZ102" i="40" s="1"/>
  <c r="BY98" i="40"/>
  <c r="BX98" i="40"/>
  <c r="BX102" i="40" s="1"/>
  <c r="BW98" i="40"/>
  <c r="BV98" i="40"/>
  <c r="BV102" i="40" s="1"/>
  <c r="BU98" i="40"/>
  <c r="BT98" i="40"/>
  <c r="BT102" i="40" s="1"/>
  <c r="BS98" i="40"/>
  <c r="BR98" i="40"/>
  <c r="BR102" i="40" s="1"/>
  <c r="BQ98" i="40"/>
  <c r="BP98" i="40"/>
  <c r="BP102" i="40" s="1"/>
  <c r="BO98" i="40"/>
  <c r="BN98" i="40"/>
  <c r="BN102" i="40" s="1"/>
  <c r="BM98" i="40"/>
  <c r="BL98" i="40"/>
  <c r="BL102" i="40" s="1"/>
  <c r="BK98" i="40"/>
  <c r="BJ98" i="40"/>
  <c r="BJ102" i="40" s="1"/>
  <c r="BI98" i="40"/>
  <c r="BH98" i="40"/>
  <c r="BH102" i="40" s="1"/>
  <c r="BG98" i="40"/>
  <c r="BF98" i="40"/>
  <c r="BF102" i="40" s="1"/>
  <c r="BE98" i="40"/>
  <c r="BD98" i="40"/>
  <c r="BD102" i="40" s="1"/>
  <c r="BC98" i="40"/>
  <c r="BB98" i="40"/>
  <c r="BB102" i="40" s="1"/>
  <c r="BA98" i="40"/>
  <c r="AZ98" i="40"/>
  <c r="AZ102" i="40" s="1"/>
  <c r="AY98" i="40"/>
  <c r="AX98" i="40"/>
  <c r="AX102" i="40" s="1"/>
  <c r="AW98" i="40"/>
  <c r="AV98" i="40"/>
  <c r="AV102" i="40" s="1"/>
  <c r="AU98" i="40"/>
  <c r="AT98" i="40"/>
  <c r="AT102" i="40" s="1"/>
  <c r="AS98" i="40"/>
  <c r="AR98" i="40"/>
  <c r="AR102" i="40" s="1"/>
  <c r="AQ98" i="40"/>
  <c r="AP98" i="40"/>
  <c r="AP102" i="40" s="1"/>
  <c r="AO98" i="40"/>
  <c r="AN98" i="40"/>
  <c r="AN102" i="40" s="1"/>
  <c r="AM98" i="40"/>
  <c r="AL98" i="40"/>
  <c r="AL102" i="40" s="1"/>
  <c r="AK98" i="40"/>
  <c r="AJ98" i="40"/>
  <c r="AJ102" i="40" s="1"/>
  <c r="AI98" i="40"/>
  <c r="AH98" i="40"/>
  <c r="AH102" i="40" s="1"/>
  <c r="AG98" i="40"/>
  <c r="AF98" i="40"/>
  <c r="AF102" i="40" s="1"/>
  <c r="AE98" i="40"/>
  <c r="AD98" i="40"/>
  <c r="AD102" i="40" s="1"/>
  <c r="AC98" i="40"/>
  <c r="AB98" i="40"/>
  <c r="AB102" i="40" s="1"/>
  <c r="Y98" i="40"/>
  <c r="X98" i="40"/>
  <c r="L98" i="40"/>
  <c r="K98" i="40"/>
  <c r="J98" i="40"/>
  <c r="I98" i="40"/>
  <c r="W97" i="40"/>
  <c r="V97" i="40"/>
  <c r="U97" i="40"/>
  <c r="BV96" i="40"/>
  <c r="AT96" i="40"/>
  <c r="W96" i="40"/>
  <c r="V96" i="40"/>
  <c r="U96" i="40"/>
  <c r="AA95" i="40"/>
  <c r="AA99" i="40" s="1"/>
  <c r="Z95" i="40"/>
  <c r="M95" i="40"/>
  <c r="M93" i="40" s="1"/>
  <c r="AA94" i="40"/>
  <c r="AA98" i="40" s="1"/>
  <c r="Z94" i="40"/>
  <c r="Z98" i="40" s="1"/>
  <c r="Z102" i="40" s="1"/>
  <c r="N94" i="40"/>
  <c r="N98" i="40" s="1"/>
  <c r="N102" i="40" s="1"/>
  <c r="M94" i="40"/>
  <c r="M98" i="40" s="1"/>
  <c r="M102" i="40" s="1"/>
  <c r="EJ93" i="40"/>
  <c r="EI93" i="40"/>
  <c r="EH93" i="40"/>
  <c r="EG93" i="40"/>
  <c r="EF93" i="40"/>
  <c r="EE93" i="40"/>
  <c r="ED93" i="40"/>
  <c r="EC93" i="40"/>
  <c r="EB93" i="40"/>
  <c r="EA93" i="40"/>
  <c r="DZ93" i="40"/>
  <c r="DY93" i="40"/>
  <c r="DX93" i="40"/>
  <c r="DW93" i="40"/>
  <c r="DV93" i="40"/>
  <c r="DU93" i="40"/>
  <c r="DT93" i="40"/>
  <c r="DS93" i="40"/>
  <c r="DR93" i="40"/>
  <c r="DQ93" i="40"/>
  <c r="DP93" i="40"/>
  <c r="DO93" i="40"/>
  <c r="DN93" i="40"/>
  <c r="DM93" i="40"/>
  <c r="DL93" i="40"/>
  <c r="DK93" i="40"/>
  <c r="DJ93" i="40"/>
  <c r="DI93" i="40"/>
  <c r="DH93" i="40"/>
  <c r="DG93" i="40"/>
  <c r="DF93" i="40"/>
  <c r="DE93" i="40"/>
  <c r="DD93" i="40"/>
  <c r="DC93" i="40"/>
  <c r="DB93" i="40"/>
  <c r="DA93" i="40"/>
  <c r="CZ93" i="40"/>
  <c r="CY93" i="40"/>
  <c r="CX93" i="40"/>
  <c r="CW93" i="40"/>
  <c r="CV93" i="40"/>
  <c r="CU93" i="40"/>
  <c r="CT93" i="40"/>
  <c r="CS93" i="40"/>
  <c r="CR93" i="40"/>
  <c r="CQ93" i="40"/>
  <c r="CP93" i="40"/>
  <c r="CO93" i="40"/>
  <c r="CN93" i="40"/>
  <c r="CM93" i="40"/>
  <c r="CL93" i="40"/>
  <c r="CK93" i="40"/>
  <c r="CJ93" i="40"/>
  <c r="CI93" i="40"/>
  <c r="CH93" i="40"/>
  <c r="CG93" i="40"/>
  <c r="CF93" i="40"/>
  <c r="CE93" i="40"/>
  <c r="CD93" i="40"/>
  <c r="CC93" i="40"/>
  <c r="CB93" i="40"/>
  <c r="CA93" i="40"/>
  <c r="BZ93" i="40"/>
  <c r="BY93" i="40"/>
  <c r="BX93" i="40"/>
  <c r="BW93" i="40"/>
  <c r="BV93" i="40"/>
  <c r="BU93" i="40"/>
  <c r="BT93" i="40"/>
  <c r="BS93" i="40"/>
  <c r="BR93" i="40"/>
  <c r="BQ93" i="40"/>
  <c r="BP93" i="40"/>
  <c r="BO93" i="40"/>
  <c r="BN93" i="40"/>
  <c r="BM93" i="40"/>
  <c r="BL93" i="40"/>
  <c r="BK93" i="40"/>
  <c r="BJ93" i="40"/>
  <c r="BI93" i="40"/>
  <c r="BH93" i="40"/>
  <c r="BG93" i="40"/>
  <c r="BF93" i="40"/>
  <c r="BE93" i="40"/>
  <c r="BD93" i="40"/>
  <c r="BC93" i="40"/>
  <c r="BB93" i="40"/>
  <c r="BA93" i="40"/>
  <c r="AZ93" i="40"/>
  <c r="AY93" i="40"/>
  <c r="AX93" i="40"/>
  <c r="AW93" i="40"/>
  <c r="AV93" i="40"/>
  <c r="AU93" i="40"/>
  <c r="AT93" i="40"/>
  <c r="AS93" i="40"/>
  <c r="AR93" i="40"/>
  <c r="AQ93" i="40"/>
  <c r="AP93" i="40"/>
  <c r="AO93" i="40"/>
  <c r="AN93" i="40"/>
  <c r="AM93" i="40"/>
  <c r="AL93" i="40"/>
  <c r="AK93" i="40"/>
  <c r="AJ93" i="40"/>
  <c r="AI93" i="40"/>
  <c r="AH93" i="40"/>
  <c r="AG93" i="40"/>
  <c r="AF93" i="40"/>
  <c r="AE93" i="40"/>
  <c r="AD93" i="40"/>
  <c r="AC93" i="40"/>
  <c r="AB93" i="40"/>
  <c r="AA93" i="40"/>
  <c r="Z93" i="40"/>
  <c r="Y93" i="40"/>
  <c r="L93" i="40"/>
  <c r="EJ92" i="40"/>
  <c r="EI92" i="40"/>
  <c r="EH92" i="40"/>
  <c r="EG92" i="40"/>
  <c r="EF92" i="40"/>
  <c r="EE92" i="40"/>
  <c r="ED92" i="40"/>
  <c r="EC92" i="40"/>
  <c r="EB92" i="40"/>
  <c r="EA92" i="40"/>
  <c r="DZ92" i="40"/>
  <c r="DY92" i="40"/>
  <c r="DX92" i="40"/>
  <c r="DW92" i="40"/>
  <c r="DV92" i="40"/>
  <c r="DU92" i="40"/>
  <c r="DT92" i="40"/>
  <c r="DS92" i="40"/>
  <c r="DR92" i="40"/>
  <c r="DQ92" i="40"/>
  <c r="DP92" i="40"/>
  <c r="DO92" i="40"/>
  <c r="DN92" i="40"/>
  <c r="DM92" i="40"/>
  <c r="DL92" i="40"/>
  <c r="DK92" i="40"/>
  <c r="DJ92" i="40"/>
  <c r="DI92" i="40"/>
  <c r="DH92" i="40"/>
  <c r="DG92" i="40"/>
  <c r="DF92" i="40"/>
  <c r="DE92" i="40"/>
  <c r="DD92" i="40"/>
  <c r="DC92" i="40"/>
  <c r="DB92" i="40"/>
  <c r="DA92" i="40"/>
  <c r="CZ92" i="40"/>
  <c r="CY92" i="40"/>
  <c r="CX92" i="40"/>
  <c r="CW92" i="40"/>
  <c r="CV92" i="40"/>
  <c r="CU92" i="40"/>
  <c r="CT92" i="40"/>
  <c r="CS92" i="40"/>
  <c r="CR92" i="40"/>
  <c r="CQ92" i="40"/>
  <c r="CP92" i="40"/>
  <c r="CO92" i="40"/>
  <c r="CN92" i="40"/>
  <c r="CM92" i="40"/>
  <c r="CL92" i="40"/>
  <c r="CK92" i="40"/>
  <c r="CJ92" i="40"/>
  <c r="CI92" i="40"/>
  <c r="CH92" i="40"/>
  <c r="CG92" i="40"/>
  <c r="CF92" i="40"/>
  <c r="CE92" i="40"/>
  <c r="CD92" i="40"/>
  <c r="CC92" i="40"/>
  <c r="CB92" i="40"/>
  <c r="CA92" i="40"/>
  <c r="BZ92" i="40"/>
  <c r="BY92" i="40"/>
  <c r="BX92" i="40"/>
  <c r="BW92" i="40"/>
  <c r="BV92" i="40"/>
  <c r="BU92" i="40"/>
  <c r="BT92" i="40"/>
  <c r="BS92" i="40"/>
  <c r="BR92" i="40"/>
  <c r="BQ92" i="40"/>
  <c r="BP92" i="40"/>
  <c r="BO92" i="40"/>
  <c r="BN92" i="40"/>
  <c r="BM92" i="40"/>
  <c r="BL92" i="40"/>
  <c r="BK92" i="40"/>
  <c r="BJ92" i="40"/>
  <c r="BI92" i="40"/>
  <c r="BH92" i="40"/>
  <c r="BG92" i="40"/>
  <c r="BF92" i="40"/>
  <c r="BE92" i="40"/>
  <c r="BD92" i="40"/>
  <c r="BC92" i="40"/>
  <c r="BB92" i="40"/>
  <c r="BA92" i="40"/>
  <c r="AZ92" i="40"/>
  <c r="AY92" i="40"/>
  <c r="AX92" i="40"/>
  <c r="AW92" i="40"/>
  <c r="AV92" i="40"/>
  <c r="AU92" i="40"/>
  <c r="AT92" i="40"/>
  <c r="AS92" i="40"/>
  <c r="AR92" i="40"/>
  <c r="AQ92" i="40"/>
  <c r="AP92" i="40"/>
  <c r="AO92" i="40"/>
  <c r="AN92" i="40"/>
  <c r="AM92" i="40"/>
  <c r="AL92" i="40"/>
  <c r="AK92" i="40"/>
  <c r="AJ92" i="40"/>
  <c r="AI92" i="40"/>
  <c r="AH92" i="40"/>
  <c r="AG92" i="40"/>
  <c r="AF92" i="40"/>
  <c r="AE92" i="40"/>
  <c r="AD92" i="40"/>
  <c r="AC92" i="40"/>
  <c r="AB92" i="40"/>
  <c r="AA92" i="40"/>
  <c r="Z92" i="40"/>
  <c r="Y92" i="40"/>
  <c r="N92" i="40"/>
  <c r="M92" i="40"/>
  <c r="L92" i="40"/>
  <c r="T88" i="40"/>
  <c r="T87" i="40"/>
  <c r="EJ83" i="40"/>
  <c r="EI83" i="40"/>
  <c r="EH83" i="40"/>
  <c r="EG83" i="40"/>
  <c r="EF83" i="40"/>
  <c r="EE83" i="40"/>
  <c r="ED83" i="40"/>
  <c r="EC83" i="40"/>
  <c r="EB83" i="40"/>
  <c r="EA83" i="40"/>
  <c r="DZ83" i="40"/>
  <c r="DY83" i="40"/>
  <c r="DX83" i="40"/>
  <c r="DW83" i="40"/>
  <c r="DV83" i="40"/>
  <c r="DU83" i="40"/>
  <c r="DT83" i="40"/>
  <c r="DS83" i="40"/>
  <c r="DR83" i="40"/>
  <c r="DQ83" i="40"/>
  <c r="DP83" i="40"/>
  <c r="DO83" i="40"/>
  <c r="DN83" i="40"/>
  <c r="DM83" i="40"/>
  <c r="DL83" i="40"/>
  <c r="DK83" i="40"/>
  <c r="DJ83" i="40"/>
  <c r="DI83" i="40"/>
  <c r="DH83" i="40"/>
  <c r="DG83" i="40"/>
  <c r="DF83" i="40"/>
  <c r="DE83" i="40"/>
  <c r="DD83" i="40"/>
  <c r="DC83" i="40"/>
  <c r="DB83" i="40"/>
  <c r="DA83" i="40"/>
  <c r="CZ83" i="40"/>
  <c r="CY83" i="40"/>
  <c r="CX83" i="40"/>
  <c r="CW83" i="40"/>
  <c r="CV83" i="40"/>
  <c r="CU83" i="40"/>
  <c r="CT83" i="40"/>
  <c r="CS83" i="40"/>
  <c r="CR83" i="40"/>
  <c r="CQ83" i="40"/>
  <c r="CP83" i="40"/>
  <c r="CO83" i="40"/>
  <c r="CN83" i="40"/>
  <c r="CM83" i="40"/>
  <c r="CL83" i="40"/>
  <c r="CK83" i="40"/>
  <c r="CJ83" i="40"/>
  <c r="CI83" i="40"/>
  <c r="CH83" i="40"/>
  <c r="CG83" i="40"/>
  <c r="CF83" i="40"/>
  <c r="CE83" i="40"/>
  <c r="CD83" i="40"/>
  <c r="CC83" i="40"/>
  <c r="CB83" i="40"/>
  <c r="CA83" i="40"/>
  <c r="BZ83" i="40"/>
  <c r="BY83" i="40"/>
  <c r="BX83" i="40"/>
  <c r="BW83" i="40"/>
  <c r="BV83" i="40"/>
  <c r="BU83" i="40"/>
  <c r="BT83" i="40"/>
  <c r="BS83" i="40"/>
  <c r="BR83" i="40"/>
  <c r="BQ83" i="40"/>
  <c r="BP83" i="40"/>
  <c r="BO83" i="40"/>
  <c r="BN83" i="40"/>
  <c r="BM83" i="40"/>
  <c r="BL83" i="40"/>
  <c r="BK83" i="40"/>
  <c r="BJ83" i="40"/>
  <c r="BI83" i="40"/>
  <c r="BH83" i="40"/>
  <c r="BG83" i="40"/>
  <c r="BF83" i="40"/>
  <c r="BE83" i="40"/>
  <c r="BD83" i="40"/>
  <c r="BC83" i="40"/>
  <c r="BB83" i="40"/>
  <c r="BA83" i="40"/>
  <c r="AZ83" i="40"/>
  <c r="AY83" i="40"/>
  <c r="AX83" i="40"/>
  <c r="AW83" i="40"/>
  <c r="AV83" i="40"/>
  <c r="AU83" i="40"/>
  <c r="AT83" i="40"/>
  <c r="AS83" i="40"/>
  <c r="AR83" i="40"/>
  <c r="AQ83" i="40"/>
  <c r="AP83" i="40"/>
  <c r="AO83" i="40"/>
  <c r="AN83" i="40"/>
  <c r="AM83" i="40"/>
  <c r="AL83" i="40"/>
  <c r="AK83" i="40"/>
  <c r="AJ83" i="40"/>
  <c r="AI83" i="40"/>
  <c r="AH83" i="40"/>
  <c r="AG83" i="40"/>
  <c r="AF83" i="40"/>
  <c r="AE83" i="40"/>
  <c r="AD83" i="40"/>
  <c r="AC83" i="40"/>
  <c r="AB83" i="40"/>
  <c r="AA83" i="40"/>
  <c r="Z83" i="40"/>
  <c r="Y83" i="40"/>
  <c r="X83" i="40"/>
  <c r="L83" i="40"/>
  <c r="K83" i="40"/>
  <c r="J83" i="40"/>
  <c r="I83" i="40"/>
  <c r="EJ82" i="40"/>
  <c r="EJ86" i="40" s="1"/>
  <c r="EI82" i="40"/>
  <c r="EI86" i="40" s="1"/>
  <c r="EH82" i="40"/>
  <c r="EH86" i="40" s="1"/>
  <c r="EG82" i="40"/>
  <c r="EG86" i="40" s="1"/>
  <c r="EF82" i="40"/>
  <c r="EF86" i="40" s="1"/>
  <c r="EE82" i="40"/>
  <c r="EE86" i="40" s="1"/>
  <c r="ED82" i="40"/>
  <c r="ED86" i="40" s="1"/>
  <c r="EC82" i="40"/>
  <c r="EC86" i="40" s="1"/>
  <c r="EB82" i="40"/>
  <c r="EB86" i="40" s="1"/>
  <c r="EA82" i="40"/>
  <c r="EA86" i="40" s="1"/>
  <c r="DZ82" i="40"/>
  <c r="DZ86" i="40" s="1"/>
  <c r="DY82" i="40"/>
  <c r="DY86" i="40" s="1"/>
  <c r="DX82" i="40"/>
  <c r="DX86" i="40" s="1"/>
  <c r="DW82" i="40"/>
  <c r="DW86" i="40" s="1"/>
  <c r="DV82" i="40"/>
  <c r="DV86" i="40" s="1"/>
  <c r="DU82" i="40"/>
  <c r="DU86" i="40" s="1"/>
  <c r="DT82" i="40"/>
  <c r="DT86" i="40" s="1"/>
  <c r="DS82" i="40"/>
  <c r="DS86" i="40" s="1"/>
  <c r="DR82" i="40"/>
  <c r="DR86" i="40" s="1"/>
  <c r="DQ82" i="40"/>
  <c r="DQ86" i="40" s="1"/>
  <c r="DP82" i="40"/>
  <c r="DP86" i="40" s="1"/>
  <c r="DO82" i="40"/>
  <c r="DO86" i="40" s="1"/>
  <c r="DN82" i="40"/>
  <c r="DN86" i="40" s="1"/>
  <c r="DM82" i="40"/>
  <c r="DM86" i="40" s="1"/>
  <c r="DL82" i="40"/>
  <c r="DL86" i="40" s="1"/>
  <c r="DK82" i="40"/>
  <c r="DK86" i="40" s="1"/>
  <c r="DJ82" i="40"/>
  <c r="DJ86" i="40" s="1"/>
  <c r="DI82" i="40"/>
  <c r="DI86" i="40" s="1"/>
  <c r="DH82" i="40"/>
  <c r="DH86" i="40" s="1"/>
  <c r="DG82" i="40"/>
  <c r="DG86" i="40" s="1"/>
  <c r="DF82" i="40"/>
  <c r="DF86" i="40" s="1"/>
  <c r="DE82" i="40"/>
  <c r="DE86" i="40" s="1"/>
  <c r="DD82" i="40"/>
  <c r="DD86" i="40" s="1"/>
  <c r="DC82" i="40"/>
  <c r="DC86" i="40" s="1"/>
  <c r="DB82" i="40"/>
  <c r="DB86" i="40" s="1"/>
  <c r="DA82" i="40"/>
  <c r="DA86" i="40" s="1"/>
  <c r="CZ82" i="40"/>
  <c r="CZ86" i="40" s="1"/>
  <c r="CY82" i="40"/>
  <c r="CY86" i="40" s="1"/>
  <c r="CX82" i="40"/>
  <c r="CX86" i="40" s="1"/>
  <c r="CW82" i="40"/>
  <c r="CW86" i="40" s="1"/>
  <c r="CV82" i="40"/>
  <c r="CV86" i="40" s="1"/>
  <c r="CU82" i="40"/>
  <c r="CU86" i="40" s="1"/>
  <c r="CT82" i="40"/>
  <c r="CT86" i="40" s="1"/>
  <c r="CS82" i="40"/>
  <c r="CS86" i="40" s="1"/>
  <c r="CR82" i="40"/>
  <c r="CR86" i="40" s="1"/>
  <c r="CQ82" i="40"/>
  <c r="CQ86" i="40" s="1"/>
  <c r="CP82" i="40"/>
  <c r="CP86" i="40" s="1"/>
  <c r="CO82" i="40"/>
  <c r="CO86" i="40" s="1"/>
  <c r="CN82" i="40"/>
  <c r="CN86" i="40" s="1"/>
  <c r="CM82" i="40"/>
  <c r="CM86" i="40" s="1"/>
  <c r="CL82" i="40"/>
  <c r="CL86" i="40" s="1"/>
  <c r="CK82" i="40"/>
  <c r="CK86" i="40" s="1"/>
  <c r="CJ82" i="40"/>
  <c r="CJ86" i="40" s="1"/>
  <c r="CI82" i="40"/>
  <c r="CI86" i="40" s="1"/>
  <c r="CH82" i="40"/>
  <c r="CH86" i="40" s="1"/>
  <c r="CG82" i="40"/>
  <c r="CG86" i="40" s="1"/>
  <c r="CF82" i="40"/>
  <c r="CF86" i="40" s="1"/>
  <c r="CE82" i="40"/>
  <c r="CE86" i="40" s="1"/>
  <c r="CD82" i="40"/>
  <c r="CD86" i="40" s="1"/>
  <c r="CC82" i="40"/>
  <c r="CC86" i="40" s="1"/>
  <c r="CB82" i="40"/>
  <c r="CB86" i="40" s="1"/>
  <c r="CA82" i="40"/>
  <c r="CA86" i="40" s="1"/>
  <c r="BZ82" i="40"/>
  <c r="BZ86" i="40" s="1"/>
  <c r="BY82" i="40"/>
  <c r="BY86" i="40" s="1"/>
  <c r="BX82" i="40"/>
  <c r="BX86" i="40" s="1"/>
  <c r="BW82" i="40"/>
  <c r="BU82" i="40"/>
  <c r="BU86" i="40" s="1"/>
  <c r="BT82" i="40"/>
  <c r="BT86" i="40" s="1"/>
  <c r="BS82" i="40"/>
  <c r="BS86" i="40" s="1"/>
  <c r="BR82" i="40"/>
  <c r="BR86" i="40" s="1"/>
  <c r="BQ82" i="40"/>
  <c r="BQ86" i="40" s="1"/>
  <c r="BP82" i="40"/>
  <c r="BP86" i="40" s="1"/>
  <c r="BO82" i="40"/>
  <c r="BO86" i="40" s="1"/>
  <c r="BN82" i="40"/>
  <c r="BN86" i="40" s="1"/>
  <c r="BM82" i="40"/>
  <c r="BM86" i="40" s="1"/>
  <c r="BL82" i="40"/>
  <c r="BL86" i="40" s="1"/>
  <c r="BK82" i="40"/>
  <c r="BK86" i="40" s="1"/>
  <c r="BJ82" i="40"/>
  <c r="BJ86" i="40" s="1"/>
  <c r="BI82" i="40"/>
  <c r="BI86" i="40" s="1"/>
  <c r="BH82" i="40"/>
  <c r="BH86" i="40" s="1"/>
  <c r="BG82" i="40"/>
  <c r="BG86" i="40" s="1"/>
  <c r="BF82" i="40"/>
  <c r="BF86" i="40" s="1"/>
  <c r="BE82" i="40"/>
  <c r="BE86" i="40" s="1"/>
  <c r="BD82" i="40"/>
  <c r="BD86" i="40" s="1"/>
  <c r="BC82" i="40"/>
  <c r="BC86" i="40" s="1"/>
  <c r="BB82" i="40"/>
  <c r="BB86" i="40" s="1"/>
  <c r="BA82" i="40"/>
  <c r="BA86" i="40" s="1"/>
  <c r="AZ82" i="40"/>
  <c r="AZ86" i="40" s="1"/>
  <c r="AY82" i="40"/>
  <c r="AY86" i="40" s="1"/>
  <c r="AX82" i="40"/>
  <c r="AX86" i="40" s="1"/>
  <c r="AW82" i="40"/>
  <c r="AW86" i="40" s="1"/>
  <c r="AV82" i="40"/>
  <c r="AV86" i="40" s="1"/>
  <c r="AU82" i="40"/>
  <c r="AU86" i="40" s="1"/>
  <c r="AS82" i="40"/>
  <c r="AS86" i="40" s="1"/>
  <c r="AR82" i="40"/>
  <c r="AR86" i="40" s="1"/>
  <c r="AQ82" i="40"/>
  <c r="AQ86" i="40" s="1"/>
  <c r="AP82" i="40"/>
  <c r="AP86" i="40" s="1"/>
  <c r="AO82" i="40"/>
  <c r="AO86" i="40" s="1"/>
  <c r="AN82" i="40"/>
  <c r="AN86" i="40" s="1"/>
  <c r="AM82" i="40"/>
  <c r="AM86" i="40" s="1"/>
  <c r="AL82" i="40"/>
  <c r="AL86" i="40" s="1"/>
  <c r="AK82" i="40"/>
  <c r="AK86" i="40" s="1"/>
  <c r="AJ82" i="40"/>
  <c r="AJ86" i="40" s="1"/>
  <c r="AI82" i="40"/>
  <c r="AI86" i="40" s="1"/>
  <c r="AH82" i="40"/>
  <c r="AH86" i="40" s="1"/>
  <c r="AG82" i="40"/>
  <c r="AG86" i="40" s="1"/>
  <c r="AF82" i="40"/>
  <c r="AF86" i="40" s="1"/>
  <c r="AE82" i="40"/>
  <c r="AE86" i="40" s="1"/>
  <c r="AD82" i="40"/>
  <c r="AD86" i="40" s="1"/>
  <c r="AC82" i="40"/>
  <c r="AC86" i="40" s="1"/>
  <c r="AB82" i="40"/>
  <c r="AB86" i="40" s="1"/>
  <c r="AA82" i="40"/>
  <c r="AA86" i="40" s="1"/>
  <c r="Z82" i="40"/>
  <c r="Z86" i="40" s="1"/>
  <c r="Y82" i="40"/>
  <c r="Y86" i="40" s="1"/>
  <c r="X82" i="40"/>
  <c r="L82" i="40"/>
  <c r="K82" i="40"/>
  <c r="J82" i="40"/>
  <c r="I82" i="40"/>
  <c r="W81" i="40"/>
  <c r="V81" i="40"/>
  <c r="U81" i="40"/>
  <c r="BV80" i="40"/>
  <c r="BV82" i="40" s="1"/>
  <c r="BV86" i="40" s="1"/>
  <c r="AT80" i="40"/>
  <c r="AT82" i="40" s="1"/>
  <c r="AT86" i="40" s="1"/>
  <c r="W80" i="40"/>
  <c r="V80" i="40"/>
  <c r="U80" i="40"/>
  <c r="N79" i="40"/>
  <c r="N83" i="40" s="1"/>
  <c r="M79" i="40"/>
  <c r="M83" i="40" s="1"/>
  <c r="M78" i="40"/>
  <c r="N78" i="40" s="1"/>
  <c r="EJ77" i="40"/>
  <c r="EI77" i="40"/>
  <c r="EH77" i="40"/>
  <c r="EG77" i="40"/>
  <c r="EF77" i="40"/>
  <c r="EE77" i="40"/>
  <c r="ED77" i="40"/>
  <c r="EC77" i="40"/>
  <c r="EB77" i="40"/>
  <c r="EA77" i="40"/>
  <c r="DZ77" i="40"/>
  <c r="DY77" i="40"/>
  <c r="DX77" i="40"/>
  <c r="DW77" i="40"/>
  <c r="DV77" i="40"/>
  <c r="DU77" i="40"/>
  <c r="DT77" i="40"/>
  <c r="DS77" i="40"/>
  <c r="DR77" i="40"/>
  <c r="DQ77" i="40"/>
  <c r="DP77" i="40"/>
  <c r="DO77" i="40"/>
  <c r="DN77" i="40"/>
  <c r="DM77" i="40"/>
  <c r="DL77" i="40"/>
  <c r="DK77" i="40"/>
  <c r="DJ77" i="40"/>
  <c r="DI77" i="40"/>
  <c r="DH77" i="40"/>
  <c r="DG77" i="40"/>
  <c r="DF77" i="40"/>
  <c r="DE77" i="40"/>
  <c r="DD77" i="40"/>
  <c r="DC77" i="40"/>
  <c r="DB77" i="40"/>
  <c r="DA77" i="40"/>
  <c r="CZ77" i="40"/>
  <c r="CY77" i="40"/>
  <c r="CX77" i="40"/>
  <c r="CW77" i="40"/>
  <c r="CV77" i="40"/>
  <c r="CU77" i="40"/>
  <c r="CT77" i="40"/>
  <c r="CS77" i="40"/>
  <c r="CR77" i="40"/>
  <c r="CQ77" i="40"/>
  <c r="CP77" i="40"/>
  <c r="CO77" i="40"/>
  <c r="CN77" i="40"/>
  <c r="CM77" i="40"/>
  <c r="CL77" i="40"/>
  <c r="CK77" i="40"/>
  <c r="CJ77" i="40"/>
  <c r="CI77" i="40"/>
  <c r="CH77" i="40"/>
  <c r="CG77" i="40"/>
  <c r="CF77" i="40"/>
  <c r="CE77" i="40"/>
  <c r="CD77" i="40"/>
  <c r="CC77" i="40"/>
  <c r="CB77" i="40"/>
  <c r="CA77" i="40"/>
  <c r="BZ77" i="40"/>
  <c r="BY77" i="40"/>
  <c r="BX77" i="40"/>
  <c r="BW77" i="40"/>
  <c r="BV77" i="40"/>
  <c r="BU77" i="40"/>
  <c r="BT77" i="40"/>
  <c r="BS77" i="40"/>
  <c r="BR77" i="40"/>
  <c r="BQ77" i="40"/>
  <c r="BP77" i="40"/>
  <c r="BO77" i="40"/>
  <c r="BN77" i="40"/>
  <c r="BM77" i="40"/>
  <c r="BL77" i="40"/>
  <c r="BK77" i="40"/>
  <c r="BJ77" i="40"/>
  <c r="BI77" i="40"/>
  <c r="BH77" i="40"/>
  <c r="BG77" i="40"/>
  <c r="BF77" i="40"/>
  <c r="BE77" i="40"/>
  <c r="BD77" i="40"/>
  <c r="BC77" i="40"/>
  <c r="BB77" i="40"/>
  <c r="BA77" i="40"/>
  <c r="AZ77" i="40"/>
  <c r="AY77" i="40"/>
  <c r="AX77" i="40"/>
  <c r="AW77" i="40"/>
  <c r="AV77" i="40"/>
  <c r="AU77" i="40"/>
  <c r="AT77" i="40"/>
  <c r="AS77" i="40"/>
  <c r="AR77" i="40"/>
  <c r="AQ77" i="40"/>
  <c r="AP77" i="40"/>
  <c r="AO77" i="40"/>
  <c r="AN77" i="40"/>
  <c r="AM77" i="40"/>
  <c r="AL77" i="40"/>
  <c r="AK77" i="40"/>
  <c r="AJ77" i="40"/>
  <c r="AI77" i="40"/>
  <c r="AH77" i="40"/>
  <c r="AG77" i="40"/>
  <c r="AF77" i="40"/>
  <c r="AE77" i="40"/>
  <c r="AD77" i="40"/>
  <c r="AC77" i="40"/>
  <c r="AB77" i="40"/>
  <c r="AA77" i="40"/>
  <c r="Z77" i="40"/>
  <c r="Y77" i="40"/>
  <c r="L77" i="40"/>
  <c r="EJ76" i="40"/>
  <c r="EI76" i="40"/>
  <c r="EH76" i="40"/>
  <c r="EG76" i="40"/>
  <c r="EF76" i="40"/>
  <c r="EE76" i="40"/>
  <c r="ED76" i="40"/>
  <c r="EC76" i="40"/>
  <c r="EB76" i="40"/>
  <c r="EA76" i="40"/>
  <c r="DZ76" i="40"/>
  <c r="DY76" i="40"/>
  <c r="DX76" i="40"/>
  <c r="DW76" i="40"/>
  <c r="DV76" i="40"/>
  <c r="DU76" i="40"/>
  <c r="DT76" i="40"/>
  <c r="DS76" i="40"/>
  <c r="DR76" i="40"/>
  <c r="DQ76" i="40"/>
  <c r="DP76" i="40"/>
  <c r="DO76" i="40"/>
  <c r="DN76" i="40"/>
  <c r="DM76" i="40"/>
  <c r="DL76" i="40"/>
  <c r="DK76" i="40"/>
  <c r="DJ76" i="40"/>
  <c r="DI76" i="40"/>
  <c r="DH76" i="40"/>
  <c r="DG76" i="40"/>
  <c r="DF76" i="40"/>
  <c r="DE76" i="40"/>
  <c r="DD76" i="40"/>
  <c r="DC76" i="40"/>
  <c r="DB76" i="40"/>
  <c r="DA76" i="40"/>
  <c r="CZ76" i="40"/>
  <c r="CY76" i="40"/>
  <c r="CX76" i="40"/>
  <c r="CW76" i="40"/>
  <c r="CV76" i="40"/>
  <c r="CU76" i="40"/>
  <c r="CT76" i="40"/>
  <c r="CS76" i="40"/>
  <c r="CR76" i="40"/>
  <c r="CQ76" i="40"/>
  <c r="CP76" i="40"/>
  <c r="CO76" i="40"/>
  <c r="CN76" i="40"/>
  <c r="CM76" i="40"/>
  <c r="CL76" i="40"/>
  <c r="CK76" i="40"/>
  <c r="CJ76" i="40"/>
  <c r="CI76" i="40"/>
  <c r="CH76" i="40"/>
  <c r="CG76" i="40"/>
  <c r="CF76" i="40"/>
  <c r="CE76" i="40"/>
  <c r="CD76" i="40"/>
  <c r="CC76" i="40"/>
  <c r="CB76" i="40"/>
  <c r="CA76" i="40"/>
  <c r="BZ76" i="40"/>
  <c r="BY76" i="40"/>
  <c r="BX76" i="40"/>
  <c r="BW76" i="40"/>
  <c r="BV76" i="40"/>
  <c r="BU76" i="40"/>
  <c r="BT76" i="40"/>
  <c r="BS76" i="40"/>
  <c r="BR76" i="40"/>
  <c r="BQ76" i="40"/>
  <c r="BP76" i="40"/>
  <c r="BO76" i="40"/>
  <c r="BN76" i="40"/>
  <c r="BM76" i="40"/>
  <c r="BL76" i="40"/>
  <c r="BK76" i="40"/>
  <c r="BJ76" i="40"/>
  <c r="BI76" i="40"/>
  <c r="BH76" i="40"/>
  <c r="BG76" i="40"/>
  <c r="BF76" i="40"/>
  <c r="BE76" i="40"/>
  <c r="BD76" i="40"/>
  <c r="BC76" i="40"/>
  <c r="BB76" i="40"/>
  <c r="BA76" i="40"/>
  <c r="AZ76" i="40"/>
  <c r="AY76" i="40"/>
  <c r="AX76" i="40"/>
  <c r="AW76" i="40"/>
  <c r="AV76" i="40"/>
  <c r="AU76" i="40"/>
  <c r="AT76" i="40"/>
  <c r="AS76" i="40"/>
  <c r="AR76" i="40"/>
  <c r="AQ76" i="40"/>
  <c r="AP76" i="40"/>
  <c r="AO76" i="40"/>
  <c r="AN76" i="40"/>
  <c r="AM76" i="40"/>
  <c r="AL76" i="40"/>
  <c r="AK76" i="40"/>
  <c r="AJ76" i="40"/>
  <c r="AI76" i="40"/>
  <c r="AH76" i="40"/>
  <c r="AG76" i="40"/>
  <c r="AF76" i="40"/>
  <c r="AE76" i="40"/>
  <c r="AD76" i="40"/>
  <c r="AC76" i="40"/>
  <c r="AB76" i="40"/>
  <c r="AA76" i="40"/>
  <c r="Z76" i="40"/>
  <c r="Y76" i="40"/>
  <c r="L76" i="40"/>
  <c r="T72" i="40"/>
  <c r="T71" i="40"/>
  <c r="EJ67" i="40"/>
  <c r="EI67" i="40"/>
  <c r="EH67" i="40"/>
  <c r="EG67" i="40"/>
  <c r="EF67" i="40"/>
  <c r="EE67" i="40"/>
  <c r="ED67" i="40"/>
  <c r="EC67" i="40"/>
  <c r="EB67" i="40"/>
  <c r="EA67" i="40"/>
  <c r="DZ67" i="40"/>
  <c r="DY67" i="40"/>
  <c r="DX67" i="40"/>
  <c r="DW67" i="40"/>
  <c r="DV67" i="40"/>
  <c r="DU67" i="40"/>
  <c r="DT67" i="40"/>
  <c r="DS67" i="40"/>
  <c r="DR67" i="40"/>
  <c r="DQ67" i="40"/>
  <c r="DP67" i="40"/>
  <c r="DO67" i="40"/>
  <c r="DN67" i="40"/>
  <c r="DM67" i="40"/>
  <c r="DL67" i="40"/>
  <c r="DK67" i="40"/>
  <c r="DJ67" i="40"/>
  <c r="DI67" i="40"/>
  <c r="DH67" i="40"/>
  <c r="DG67" i="40"/>
  <c r="DF67" i="40"/>
  <c r="DE67" i="40"/>
  <c r="DD67" i="40"/>
  <c r="DC67" i="40"/>
  <c r="DB67" i="40"/>
  <c r="DA67" i="40"/>
  <c r="CZ67" i="40"/>
  <c r="CY67" i="40"/>
  <c r="CX67" i="40"/>
  <c r="CW67" i="40"/>
  <c r="CV67" i="40"/>
  <c r="CU67" i="40"/>
  <c r="CT67" i="40"/>
  <c r="CS67" i="40"/>
  <c r="CR67" i="40"/>
  <c r="CQ67" i="40"/>
  <c r="CP67" i="40"/>
  <c r="CO67" i="40"/>
  <c r="CN67" i="40"/>
  <c r="CM67" i="40"/>
  <c r="CL67" i="40"/>
  <c r="CK67" i="40"/>
  <c r="CJ67" i="40"/>
  <c r="CI67" i="40"/>
  <c r="CH67" i="40"/>
  <c r="CG67" i="40"/>
  <c r="CF67" i="40"/>
  <c r="CE67" i="40"/>
  <c r="CD67" i="40"/>
  <c r="CC67" i="40"/>
  <c r="CB67" i="40"/>
  <c r="CA67" i="40"/>
  <c r="BZ67" i="40"/>
  <c r="BY67" i="40"/>
  <c r="BX67" i="40"/>
  <c r="BW67" i="40"/>
  <c r="BV67" i="40"/>
  <c r="BU67" i="40"/>
  <c r="BT67" i="40"/>
  <c r="BS67" i="40"/>
  <c r="BR67" i="40"/>
  <c r="BQ67" i="40"/>
  <c r="BP67" i="40"/>
  <c r="BO67" i="40"/>
  <c r="BN67" i="40"/>
  <c r="BM67" i="40"/>
  <c r="BL67" i="40"/>
  <c r="BK67" i="40"/>
  <c r="BJ67" i="40"/>
  <c r="BI67" i="40"/>
  <c r="BH67" i="40"/>
  <c r="BG67" i="40"/>
  <c r="BF67" i="40"/>
  <c r="BE67" i="40"/>
  <c r="BD67" i="40"/>
  <c r="BC67" i="40"/>
  <c r="BB67" i="40"/>
  <c r="BA67" i="40"/>
  <c r="AZ67" i="40"/>
  <c r="AY67" i="40"/>
  <c r="AX67" i="40"/>
  <c r="AW67" i="40"/>
  <c r="AV67" i="40"/>
  <c r="AU67" i="40"/>
  <c r="AT67" i="40"/>
  <c r="AS67" i="40"/>
  <c r="AR67" i="40"/>
  <c r="AQ67" i="40"/>
  <c r="AP67" i="40"/>
  <c r="AO67" i="40"/>
  <c r="AN67" i="40"/>
  <c r="AM67" i="40"/>
  <c r="AL67" i="40"/>
  <c r="AK67" i="40"/>
  <c r="AJ67" i="40"/>
  <c r="AI67" i="40"/>
  <c r="AH67" i="40"/>
  <c r="AG67" i="40"/>
  <c r="AF67" i="40"/>
  <c r="AE67" i="40"/>
  <c r="AD67" i="40"/>
  <c r="AC67" i="40"/>
  <c r="AB67" i="40"/>
  <c r="AA67" i="40"/>
  <c r="Z67" i="40"/>
  <c r="Y67" i="40"/>
  <c r="X67" i="40"/>
  <c r="M67" i="40"/>
  <c r="L67" i="40"/>
  <c r="K67" i="40"/>
  <c r="J67" i="40"/>
  <c r="I67" i="40"/>
  <c r="EJ66" i="40"/>
  <c r="EI66" i="40"/>
  <c r="EI70" i="40" s="1"/>
  <c r="EH66" i="40"/>
  <c r="EG66" i="40"/>
  <c r="EG70" i="40" s="1"/>
  <c r="EF66" i="40"/>
  <c r="EE66" i="40"/>
  <c r="EE70" i="40" s="1"/>
  <c r="ED66" i="40"/>
  <c r="EC66" i="40"/>
  <c r="EC70" i="40" s="1"/>
  <c r="EB66" i="40"/>
  <c r="EA66" i="40"/>
  <c r="EA70" i="40" s="1"/>
  <c r="DZ66" i="40"/>
  <c r="DY66" i="40"/>
  <c r="DY70" i="40" s="1"/>
  <c r="DX66" i="40"/>
  <c r="DW66" i="40"/>
  <c r="DW70" i="40" s="1"/>
  <c r="DV66" i="40"/>
  <c r="DU66" i="40"/>
  <c r="DU70" i="40" s="1"/>
  <c r="DT66" i="40"/>
  <c r="DS66" i="40"/>
  <c r="DS70" i="40" s="1"/>
  <c r="DR66" i="40"/>
  <c r="DQ66" i="40"/>
  <c r="DQ70" i="40" s="1"/>
  <c r="DP66" i="40"/>
  <c r="DO66" i="40"/>
  <c r="DO70" i="40" s="1"/>
  <c r="DN66" i="40"/>
  <c r="DM66" i="40"/>
  <c r="DM70" i="40" s="1"/>
  <c r="DL66" i="40"/>
  <c r="DK66" i="40"/>
  <c r="DK70" i="40" s="1"/>
  <c r="DJ66" i="40"/>
  <c r="DI66" i="40"/>
  <c r="DI70" i="40" s="1"/>
  <c r="DH66" i="40"/>
  <c r="DG66" i="40"/>
  <c r="DG70" i="40" s="1"/>
  <c r="DF66" i="40"/>
  <c r="DE66" i="40"/>
  <c r="DE70" i="40" s="1"/>
  <c r="DD66" i="40"/>
  <c r="DC66" i="40"/>
  <c r="DC70" i="40" s="1"/>
  <c r="DB66" i="40"/>
  <c r="DA66" i="40"/>
  <c r="DA70" i="40" s="1"/>
  <c r="CZ66" i="40"/>
  <c r="CY66" i="40"/>
  <c r="CY70" i="40" s="1"/>
  <c r="CX66" i="40"/>
  <c r="CW66" i="40"/>
  <c r="CW70" i="40" s="1"/>
  <c r="CV66" i="40"/>
  <c r="CU66" i="40"/>
  <c r="CU70" i="40" s="1"/>
  <c r="CT66" i="40"/>
  <c r="CS66" i="40"/>
  <c r="CS70" i="40" s="1"/>
  <c r="CR66" i="40"/>
  <c r="CQ66" i="40"/>
  <c r="CQ70" i="40" s="1"/>
  <c r="CP66" i="40"/>
  <c r="CO66" i="40"/>
  <c r="CO70" i="40" s="1"/>
  <c r="CN66" i="40"/>
  <c r="CM66" i="40"/>
  <c r="CM70" i="40" s="1"/>
  <c r="CL66" i="40"/>
  <c r="CK66" i="40"/>
  <c r="CK70" i="40" s="1"/>
  <c r="CJ66" i="40"/>
  <c r="CI66" i="40"/>
  <c r="CI70" i="40" s="1"/>
  <c r="CH66" i="40"/>
  <c r="CG66" i="40"/>
  <c r="CG70" i="40" s="1"/>
  <c r="CF66" i="40"/>
  <c r="CE66" i="40"/>
  <c r="CE70" i="40" s="1"/>
  <c r="CD66" i="40"/>
  <c r="CC66" i="40"/>
  <c r="CC70" i="40" s="1"/>
  <c r="CB66" i="40"/>
  <c r="CA66" i="40"/>
  <c r="CA70" i="40" s="1"/>
  <c r="BZ66" i="40"/>
  <c r="BY66" i="40"/>
  <c r="BY70" i="40" s="1"/>
  <c r="BX66" i="40"/>
  <c r="BW66" i="40"/>
  <c r="BU66" i="40"/>
  <c r="BU70" i="40" s="1"/>
  <c r="BT66" i="40"/>
  <c r="BT70" i="40" s="1"/>
  <c r="BS66" i="40"/>
  <c r="BS70" i="40" s="1"/>
  <c r="BR66" i="40"/>
  <c r="BR70" i="40" s="1"/>
  <c r="BQ66" i="40"/>
  <c r="BQ70" i="40" s="1"/>
  <c r="BP66" i="40"/>
  <c r="BP70" i="40" s="1"/>
  <c r="BO66" i="40"/>
  <c r="BO70" i="40" s="1"/>
  <c r="BN66" i="40"/>
  <c r="BN70" i="40" s="1"/>
  <c r="BM66" i="40"/>
  <c r="BM70" i="40" s="1"/>
  <c r="BL66" i="40"/>
  <c r="BL70" i="40" s="1"/>
  <c r="BK66" i="40"/>
  <c r="BK70" i="40" s="1"/>
  <c r="BJ66" i="40"/>
  <c r="BJ70" i="40" s="1"/>
  <c r="BI66" i="40"/>
  <c r="BI70" i="40" s="1"/>
  <c r="BH66" i="40"/>
  <c r="BH70" i="40" s="1"/>
  <c r="BG66" i="40"/>
  <c r="BG70" i="40" s="1"/>
  <c r="BF66" i="40"/>
  <c r="BF70" i="40" s="1"/>
  <c r="BE66" i="40"/>
  <c r="BE70" i="40" s="1"/>
  <c r="BD66" i="40"/>
  <c r="BD70" i="40" s="1"/>
  <c r="BC66" i="40"/>
  <c r="BC70" i="40" s="1"/>
  <c r="BB66" i="40"/>
  <c r="BB70" i="40" s="1"/>
  <c r="BA66" i="40"/>
  <c r="BA70" i="40" s="1"/>
  <c r="AZ66" i="40"/>
  <c r="AZ70" i="40" s="1"/>
  <c r="AY66" i="40"/>
  <c r="AY70" i="40" s="1"/>
  <c r="AX66" i="40"/>
  <c r="AX70" i="40" s="1"/>
  <c r="AW66" i="40"/>
  <c r="AW70" i="40" s="1"/>
  <c r="AV66" i="40"/>
  <c r="AV70" i="40" s="1"/>
  <c r="AU66" i="40"/>
  <c r="AS66" i="40"/>
  <c r="AS70" i="40" s="1"/>
  <c r="AR66" i="40"/>
  <c r="AQ66" i="40"/>
  <c r="AQ70" i="40" s="1"/>
  <c r="AP66" i="40"/>
  <c r="AO66" i="40"/>
  <c r="AO70" i="40" s="1"/>
  <c r="AN66" i="40"/>
  <c r="AM66" i="40"/>
  <c r="AM70" i="40" s="1"/>
  <c r="AL66" i="40"/>
  <c r="AK66" i="40"/>
  <c r="AK70" i="40" s="1"/>
  <c r="AJ66" i="40"/>
  <c r="AI66" i="40"/>
  <c r="AI70" i="40" s="1"/>
  <c r="AH66" i="40"/>
  <c r="AG66" i="40"/>
  <c r="AG70" i="40" s="1"/>
  <c r="AF66" i="40"/>
  <c r="AE66" i="40"/>
  <c r="AE70" i="40" s="1"/>
  <c r="AD66" i="40"/>
  <c r="AC66" i="40"/>
  <c r="AC70" i="40" s="1"/>
  <c r="AB66" i="40"/>
  <c r="AA66" i="40"/>
  <c r="AA70" i="40" s="1"/>
  <c r="Z66" i="40"/>
  <c r="Y66" i="40"/>
  <c r="Y70" i="40" s="1"/>
  <c r="X66" i="40"/>
  <c r="L66" i="40"/>
  <c r="K66" i="40"/>
  <c r="J66" i="40"/>
  <c r="I66" i="40"/>
  <c r="BV64" i="40"/>
  <c r="BV66" i="40" s="1"/>
  <c r="BV70" i="40" s="1"/>
  <c r="AT64" i="40"/>
  <c r="AT66" i="40" s="1"/>
  <c r="AT70" i="40" s="1"/>
  <c r="N63" i="40"/>
  <c r="M63" i="40"/>
  <c r="M62" i="40"/>
  <c r="EJ61" i="40"/>
  <c r="EI61" i="40"/>
  <c r="EH61" i="40"/>
  <c r="EG61" i="40"/>
  <c r="EF61" i="40"/>
  <c r="EE61" i="40"/>
  <c r="ED61" i="40"/>
  <c r="EC61" i="40"/>
  <c r="EB61" i="40"/>
  <c r="EA61" i="40"/>
  <c r="DZ61" i="40"/>
  <c r="DY61" i="40"/>
  <c r="DX61" i="40"/>
  <c r="DW61" i="40"/>
  <c r="DV61" i="40"/>
  <c r="DU61" i="40"/>
  <c r="DT61" i="40"/>
  <c r="DS61" i="40"/>
  <c r="DR61" i="40"/>
  <c r="DQ61" i="40"/>
  <c r="DP61" i="40"/>
  <c r="DO61" i="40"/>
  <c r="DN61" i="40"/>
  <c r="DM61" i="40"/>
  <c r="DL61" i="40"/>
  <c r="DK61" i="40"/>
  <c r="DJ61" i="40"/>
  <c r="DI61" i="40"/>
  <c r="DH61" i="40"/>
  <c r="DG61" i="40"/>
  <c r="DF61" i="40"/>
  <c r="DE61" i="40"/>
  <c r="DD61" i="40"/>
  <c r="DC61" i="40"/>
  <c r="DB61" i="40"/>
  <c r="DA61" i="40"/>
  <c r="CZ61" i="40"/>
  <c r="CY61" i="40"/>
  <c r="CX61" i="40"/>
  <c r="CW61" i="40"/>
  <c r="CV61" i="40"/>
  <c r="CU61" i="40"/>
  <c r="CT61" i="40"/>
  <c r="CS61" i="40"/>
  <c r="CR61" i="40"/>
  <c r="CQ61" i="40"/>
  <c r="CP61" i="40"/>
  <c r="CO61" i="40"/>
  <c r="CN61" i="40"/>
  <c r="CM61" i="40"/>
  <c r="CL61" i="40"/>
  <c r="CK61" i="40"/>
  <c r="CJ61" i="40"/>
  <c r="CI61" i="40"/>
  <c r="CH61" i="40"/>
  <c r="CG61" i="40"/>
  <c r="CF61" i="40"/>
  <c r="CE61" i="40"/>
  <c r="CD61" i="40"/>
  <c r="CC61" i="40"/>
  <c r="CB61" i="40"/>
  <c r="CA61" i="40"/>
  <c r="BZ61" i="40"/>
  <c r="BY61" i="40"/>
  <c r="BX61" i="40"/>
  <c r="BW61" i="40"/>
  <c r="BV61" i="40"/>
  <c r="BU61" i="40"/>
  <c r="BT61" i="40"/>
  <c r="BS61" i="40"/>
  <c r="BR61" i="40"/>
  <c r="BQ61" i="40"/>
  <c r="BP61" i="40"/>
  <c r="BO61" i="40"/>
  <c r="BN61" i="40"/>
  <c r="BM61" i="40"/>
  <c r="BL61" i="40"/>
  <c r="BK61" i="40"/>
  <c r="BJ61" i="40"/>
  <c r="BI61" i="40"/>
  <c r="BH61" i="40"/>
  <c r="BG61" i="40"/>
  <c r="BF61" i="40"/>
  <c r="BE61" i="40"/>
  <c r="BD61" i="40"/>
  <c r="BC61" i="40"/>
  <c r="BB61" i="40"/>
  <c r="BA61" i="40"/>
  <c r="AZ61" i="40"/>
  <c r="AY61" i="40"/>
  <c r="AX61" i="40"/>
  <c r="AW61" i="40"/>
  <c r="AV61" i="40"/>
  <c r="AU61" i="40"/>
  <c r="AT61" i="40"/>
  <c r="AS61" i="40"/>
  <c r="AR61" i="40"/>
  <c r="AQ61" i="40"/>
  <c r="AP61" i="40"/>
  <c r="AO61" i="40"/>
  <c r="AN61" i="40"/>
  <c r="AM61" i="40"/>
  <c r="AL61" i="40"/>
  <c r="AK61" i="40"/>
  <c r="AJ61" i="40"/>
  <c r="AI61" i="40"/>
  <c r="AH61" i="40"/>
  <c r="AG61" i="40"/>
  <c r="AF61" i="40"/>
  <c r="AE61" i="40"/>
  <c r="AD61" i="40"/>
  <c r="AC61" i="40"/>
  <c r="AB61" i="40"/>
  <c r="AA61" i="40"/>
  <c r="Z61" i="40"/>
  <c r="Y61" i="40"/>
  <c r="N61" i="40"/>
  <c r="M61" i="40"/>
  <c r="L61" i="40"/>
  <c r="EJ60" i="40"/>
  <c r="EI60" i="40"/>
  <c r="EH60" i="40"/>
  <c r="EG60" i="40"/>
  <c r="EF60" i="40"/>
  <c r="EE60" i="40"/>
  <c r="ED60" i="40"/>
  <c r="EC60" i="40"/>
  <c r="EB60" i="40"/>
  <c r="EA60" i="40"/>
  <c r="DZ60" i="40"/>
  <c r="DY60" i="40"/>
  <c r="DX60" i="40"/>
  <c r="DW60" i="40"/>
  <c r="DV60" i="40"/>
  <c r="DU60" i="40"/>
  <c r="DT60" i="40"/>
  <c r="DS60" i="40"/>
  <c r="DR60" i="40"/>
  <c r="DQ60" i="40"/>
  <c r="DP60" i="40"/>
  <c r="DO60" i="40"/>
  <c r="DN60" i="40"/>
  <c r="DM60" i="40"/>
  <c r="DL60" i="40"/>
  <c r="DK60" i="40"/>
  <c r="DJ60" i="40"/>
  <c r="DI60" i="40"/>
  <c r="DH60" i="40"/>
  <c r="DG60" i="40"/>
  <c r="DF60" i="40"/>
  <c r="DE60" i="40"/>
  <c r="DD60" i="40"/>
  <c r="DC60" i="40"/>
  <c r="DB60" i="40"/>
  <c r="DA60" i="40"/>
  <c r="CZ60" i="40"/>
  <c r="CY60" i="40"/>
  <c r="CX60" i="40"/>
  <c r="CW60" i="40"/>
  <c r="CV60" i="40"/>
  <c r="CU60" i="40"/>
  <c r="CT60" i="40"/>
  <c r="CS60" i="40"/>
  <c r="CR60" i="40"/>
  <c r="CQ60" i="40"/>
  <c r="CP60" i="40"/>
  <c r="CO60" i="40"/>
  <c r="CN60" i="40"/>
  <c r="CM60" i="40"/>
  <c r="CL60" i="40"/>
  <c r="CK60" i="40"/>
  <c r="CJ60" i="40"/>
  <c r="CI60" i="40"/>
  <c r="CH60" i="40"/>
  <c r="CG60" i="40"/>
  <c r="CF60" i="40"/>
  <c r="CE60" i="40"/>
  <c r="CD60" i="40"/>
  <c r="CC60" i="40"/>
  <c r="CB60" i="40"/>
  <c r="CA60" i="40"/>
  <c r="BZ60" i="40"/>
  <c r="BY60" i="40"/>
  <c r="BX60" i="40"/>
  <c r="BW60" i="40"/>
  <c r="BV60" i="40"/>
  <c r="BU60" i="40"/>
  <c r="BT60" i="40"/>
  <c r="BS60" i="40"/>
  <c r="BR60" i="40"/>
  <c r="BQ60" i="40"/>
  <c r="BP60" i="40"/>
  <c r="BO60" i="40"/>
  <c r="BN60" i="40"/>
  <c r="BM60" i="40"/>
  <c r="BL60" i="40"/>
  <c r="BK60" i="40"/>
  <c r="BJ60" i="40"/>
  <c r="BI60" i="40"/>
  <c r="BH60" i="40"/>
  <c r="BG60" i="40"/>
  <c r="BF60" i="40"/>
  <c r="BE60" i="40"/>
  <c r="BD60" i="40"/>
  <c r="BC60" i="40"/>
  <c r="BB60" i="40"/>
  <c r="BA60" i="40"/>
  <c r="AZ60" i="40"/>
  <c r="AY60" i="40"/>
  <c r="AX60" i="40"/>
  <c r="AW60" i="40"/>
  <c r="AV60" i="40"/>
  <c r="AU60" i="40"/>
  <c r="AT60" i="40"/>
  <c r="AS60" i="40"/>
  <c r="AR60" i="40"/>
  <c r="AQ60" i="40"/>
  <c r="AP60" i="40"/>
  <c r="AO60" i="40"/>
  <c r="AN60" i="40"/>
  <c r="AM60" i="40"/>
  <c r="AL60" i="40"/>
  <c r="AK60" i="40"/>
  <c r="AJ60" i="40"/>
  <c r="AI60" i="40"/>
  <c r="AH60" i="40"/>
  <c r="AG60" i="40"/>
  <c r="AF60" i="40"/>
  <c r="AE60" i="40"/>
  <c r="AD60" i="40"/>
  <c r="AC60" i="40"/>
  <c r="AB60" i="40"/>
  <c r="AA60" i="40"/>
  <c r="Z60" i="40"/>
  <c r="Y60" i="40"/>
  <c r="L60" i="40"/>
  <c r="T56" i="40"/>
  <c r="T55" i="40"/>
  <c r="T39" i="40" s="1"/>
  <c r="L54" i="40"/>
  <c r="K54" i="40"/>
  <c r="J54" i="40"/>
  <c r="I54" i="40"/>
  <c r="EJ53" i="40"/>
  <c r="EI53" i="40"/>
  <c r="EH53" i="40"/>
  <c r="EG53" i="40"/>
  <c r="EF53" i="40"/>
  <c r="EE53" i="40"/>
  <c r="ED53" i="40"/>
  <c r="EC53" i="40"/>
  <c r="EB53" i="40"/>
  <c r="EA53" i="40"/>
  <c r="DZ53" i="40"/>
  <c r="DY53" i="40"/>
  <c r="DX53" i="40"/>
  <c r="DW53" i="40"/>
  <c r="DV53" i="40"/>
  <c r="DU53" i="40"/>
  <c r="DT53" i="40"/>
  <c r="DS53" i="40"/>
  <c r="DR53" i="40"/>
  <c r="DQ53" i="40"/>
  <c r="DP53" i="40"/>
  <c r="DO53" i="40"/>
  <c r="DN53" i="40"/>
  <c r="DM53" i="40"/>
  <c r="DL53" i="40"/>
  <c r="DK53" i="40"/>
  <c r="DJ53" i="40"/>
  <c r="DI53" i="40"/>
  <c r="DH53" i="40"/>
  <c r="DG53" i="40"/>
  <c r="DF53" i="40"/>
  <c r="DE53" i="40"/>
  <c r="DD53" i="40"/>
  <c r="DC53" i="40"/>
  <c r="DB53" i="40"/>
  <c r="DA53" i="40"/>
  <c r="CZ53" i="40"/>
  <c r="CY53" i="40"/>
  <c r="CX53" i="40"/>
  <c r="CW53" i="40"/>
  <c r="CV53" i="40"/>
  <c r="CU53" i="40"/>
  <c r="CT53" i="40"/>
  <c r="CS53" i="40"/>
  <c r="CR53" i="40"/>
  <c r="CQ53" i="40"/>
  <c r="CP53" i="40"/>
  <c r="CO53" i="40"/>
  <c r="CN53" i="40"/>
  <c r="CM53" i="40"/>
  <c r="CL53" i="40"/>
  <c r="CK53" i="40"/>
  <c r="CJ53" i="40"/>
  <c r="CI53" i="40"/>
  <c r="CH53" i="40"/>
  <c r="CG53" i="40"/>
  <c r="CF53" i="40"/>
  <c r="CE53" i="40"/>
  <c r="CD53" i="40"/>
  <c r="CC53" i="40"/>
  <c r="CB53" i="40"/>
  <c r="CA53" i="40"/>
  <c r="BZ53" i="40"/>
  <c r="BY53" i="40"/>
  <c r="BX53" i="40"/>
  <c r="BW53" i="40"/>
  <c r="BV53" i="40"/>
  <c r="BU53" i="40"/>
  <c r="BT53" i="40"/>
  <c r="BS53" i="40"/>
  <c r="BR53" i="40"/>
  <c r="BQ53" i="40"/>
  <c r="BP53" i="40"/>
  <c r="BO53" i="40"/>
  <c r="BN53" i="40"/>
  <c r="BM53" i="40"/>
  <c r="BL53" i="40"/>
  <c r="BK53" i="40"/>
  <c r="BJ53" i="40"/>
  <c r="BI53" i="40"/>
  <c r="BH53" i="40"/>
  <c r="BG53" i="40"/>
  <c r="BF53" i="40"/>
  <c r="BE53" i="40"/>
  <c r="BD53" i="40"/>
  <c r="BC53" i="40"/>
  <c r="BB53" i="40"/>
  <c r="BA53" i="40"/>
  <c r="AZ53" i="40"/>
  <c r="AY53" i="40"/>
  <c r="AX53" i="40"/>
  <c r="AW53" i="40"/>
  <c r="AV53" i="40"/>
  <c r="AU53" i="40"/>
  <c r="AT53" i="40"/>
  <c r="AS53" i="40"/>
  <c r="AR53" i="40"/>
  <c r="AQ53" i="40"/>
  <c r="AP53" i="40"/>
  <c r="AO53" i="40"/>
  <c r="AN53" i="40"/>
  <c r="AM53" i="40"/>
  <c r="AL53" i="40"/>
  <c r="AK53" i="40"/>
  <c r="AJ53" i="40"/>
  <c r="AI53" i="40"/>
  <c r="AH53" i="40"/>
  <c r="AG53" i="40"/>
  <c r="AF53" i="40"/>
  <c r="AE53" i="40"/>
  <c r="AD53" i="40"/>
  <c r="AC53" i="40"/>
  <c r="AB53" i="40"/>
  <c r="AA53" i="40"/>
  <c r="Z53" i="40"/>
  <c r="Y53" i="40"/>
  <c r="X53" i="40"/>
  <c r="W53" i="40"/>
  <c r="V53" i="40"/>
  <c r="U53" i="40"/>
  <c r="T53" i="40"/>
  <c r="S53" i="40"/>
  <c r="R53" i="40"/>
  <c r="Q53" i="40"/>
  <c r="P53" i="40"/>
  <c r="O53" i="40"/>
  <c r="N53" i="40"/>
  <c r="M53" i="40"/>
  <c r="L53" i="40"/>
  <c r="K53" i="40"/>
  <c r="J53" i="40"/>
  <c r="I53" i="40"/>
  <c r="EJ52" i="40"/>
  <c r="EI52" i="40"/>
  <c r="EH52" i="40"/>
  <c r="EG52" i="40"/>
  <c r="EF52" i="40"/>
  <c r="EE52" i="40"/>
  <c r="ED52" i="40"/>
  <c r="EC52" i="40"/>
  <c r="EB52" i="40"/>
  <c r="EA52" i="40"/>
  <c r="DZ52" i="40"/>
  <c r="DY52" i="40"/>
  <c r="DX52" i="40"/>
  <c r="DW52" i="40"/>
  <c r="DV52" i="40"/>
  <c r="DU52" i="40"/>
  <c r="DT52" i="40"/>
  <c r="DS52" i="40"/>
  <c r="DR52" i="40"/>
  <c r="DQ52" i="40"/>
  <c r="DP52" i="40"/>
  <c r="DO52" i="40"/>
  <c r="DN52" i="40"/>
  <c r="DM52" i="40"/>
  <c r="DL52" i="40"/>
  <c r="DK52" i="40"/>
  <c r="DJ52" i="40"/>
  <c r="DI52" i="40"/>
  <c r="DH52" i="40"/>
  <c r="DG52" i="40"/>
  <c r="DF52" i="40"/>
  <c r="DE52" i="40"/>
  <c r="DD52" i="40"/>
  <c r="DC52" i="40"/>
  <c r="DB52" i="40"/>
  <c r="DA52" i="40"/>
  <c r="CZ52" i="40"/>
  <c r="CY52" i="40"/>
  <c r="CX52" i="40"/>
  <c r="CW52" i="40"/>
  <c r="CV52" i="40"/>
  <c r="CU52" i="40"/>
  <c r="CT52" i="40"/>
  <c r="CS52" i="40"/>
  <c r="CR52" i="40"/>
  <c r="CQ52" i="40"/>
  <c r="CP52" i="40"/>
  <c r="CO52" i="40"/>
  <c r="CN52" i="40"/>
  <c r="CM52" i="40"/>
  <c r="CL52" i="40"/>
  <c r="CK52" i="40"/>
  <c r="CJ52" i="40"/>
  <c r="CI52" i="40"/>
  <c r="CH52" i="40"/>
  <c r="CG52" i="40"/>
  <c r="CF52" i="40"/>
  <c r="CE52" i="40"/>
  <c r="CD52" i="40"/>
  <c r="CC52" i="40"/>
  <c r="CB52" i="40"/>
  <c r="CA52" i="40"/>
  <c r="BZ52" i="40"/>
  <c r="BY52" i="40"/>
  <c r="BX52" i="40"/>
  <c r="BW52" i="40"/>
  <c r="BV52" i="40"/>
  <c r="BU52" i="40"/>
  <c r="BT52" i="40"/>
  <c r="BS52" i="40"/>
  <c r="BR52" i="40"/>
  <c r="BQ52" i="40"/>
  <c r="BP52" i="40"/>
  <c r="BO52" i="40"/>
  <c r="BN52" i="40"/>
  <c r="BM52" i="40"/>
  <c r="BL52" i="40"/>
  <c r="BK52" i="40"/>
  <c r="BJ52" i="40"/>
  <c r="BI52" i="40"/>
  <c r="BH52" i="40"/>
  <c r="BG52" i="40"/>
  <c r="BF52" i="40"/>
  <c r="BE52" i="40"/>
  <c r="BD52" i="40"/>
  <c r="BC52" i="40"/>
  <c r="BB52" i="40"/>
  <c r="BA52" i="40"/>
  <c r="AZ52" i="40"/>
  <c r="AY52" i="40"/>
  <c r="AX52" i="40"/>
  <c r="AW52" i="40"/>
  <c r="AV52" i="40"/>
  <c r="AU52" i="40"/>
  <c r="AT52" i="40"/>
  <c r="AS52" i="40"/>
  <c r="AR52" i="40"/>
  <c r="AQ52" i="40"/>
  <c r="AP52" i="40"/>
  <c r="AO52" i="40"/>
  <c r="AN52" i="40"/>
  <c r="AM52" i="40"/>
  <c r="AL52" i="40"/>
  <c r="AK52" i="40"/>
  <c r="AJ52" i="40"/>
  <c r="AI52" i="40"/>
  <c r="AH52" i="40"/>
  <c r="AG52" i="40"/>
  <c r="AF52" i="40"/>
  <c r="AE52" i="40"/>
  <c r="AD52" i="40"/>
  <c r="AC52" i="40"/>
  <c r="AB52" i="40"/>
  <c r="AA52" i="40"/>
  <c r="Z52" i="40"/>
  <c r="Y52" i="40"/>
  <c r="X52" i="40"/>
  <c r="W52" i="40"/>
  <c r="V52" i="40"/>
  <c r="U52" i="40"/>
  <c r="T52" i="40"/>
  <c r="S52" i="40"/>
  <c r="R52" i="40"/>
  <c r="Q52" i="40"/>
  <c r="P52" i="40"/>
  <c r="O52" i="40"/>
  <c r="N52" i="40"/>
  <c r="M52" i="40"/>
  <c r="L52" i="40"/>
  <c r="K52" i="40"/>
  <c r="J52" i="40"/>
  <c r="I52" i="40"/>
  <c r="EJ51" i="40"/>
  <c r="EI51" i="40"/>
  <c r="EH51" i="40"/>
  <c r="EG51" i="40"/>
  <c r="EF51" i="40"/>
  <c r="EE51" i="40"/>
  <c r="ED51" i="40"/>
  <c r="EC51" i="40"/>
  <c r="EB51" i="40"/>
  <c r="EA51" i="40"/>
  <c r="DZ51" i="40"/>
  <c r="DY51" i="40"/>
  <c r="DX51" i="40"/>
  <c r="DW51" i="40"/>
  <c r="DV51" i="40"/>
  <c r="DU51" i="40"/>
  <c r="DT51" i="40"/>
  <c r="DS51" i="40"/>
  <c r="DR51" i="40"/>
  <c r="DQ51" i="40"/>
  <c r="DP51" i="40"/>
  <c r="DO51" i="40"/>
  <c r="DN51" i="40"/>
  <c r="DM51" i="40"/>
  <c r="DL51" i="40"/>
  <c r="DK51" i="40"/>
  <c r="DJ51" i="40"/>
  <c r="DI51" i="40"/>
  <c r="DH51" i="40"/>
  <c r="DG51" i="40"/>
  <c r="DF51" i="40"/>
  <c r="DE51" i="40"/>
  <c r="DD51" i="40"/>
  <c r="DC51" i="40"/>
  <c r="DB51" i="40"/>
  <c r="DA51" i="40"/>
  <c r="CZ51" i="40"/>
  <c r="CY51" i="40"/>
  <c r="CX51" i="40"/>
  <c r="CW51" i="40"/>
  <c r="CV51" i="40"/>
  <c r="CU51" i="40"/>
  <c r="CT51" i="40"/>
  <c r="CS51" i="40"/>
  <c r="CR51" i="40"/>
  <c r="CQ51" i="40"/>
  <c r="CP51" i="40"/>
  <c r="CO51" i="40"/>
  <c r="CN51" i="40"/>
  <c r="CM51" i="40"/>
  <c r="CL51" i="40"/>
  <c r="CK51" i="40"/>
  <c r="CJ51" i="40"/>
  <c r="CI51" i="40"/>
  <c r="CH51" i="40"/>
  <c r="CG51" i="40"/>
  <c r="CF51" i="40"/>
  <c r="CE51" i="40"/>
  <c r="CD51" i="40"/>
  <c r="CC51" i="40"/>
  <c r="CB51" i="40"/>
  <c r="CA51" i="40"/>
  <c r="BZ51" i="40"/>
  <c r="BY51" i="40"/>
  <c r="BX51" i="40"/>
  <c r="BW51" i="40"/>
  <c r="BV51" i="40"/>
  <c r="BU51" i="40"/>
  <c r="BT51" i="40"/>
  <c r="BS51" i="40"/>
  <c r="BR51" i="40"/>
  <c r="BQ51" i="40"/>
  <c r="BP51" i="40"/>
  <c r="BO51" i="40"/>
  <c r="BN51" i="40"/>
  <c r="BM51" i="40"/>
  <c r="BL51" i="40"/>
  <c r="BK51" i="40"/>
  <c r="BJ51" i="40"/>
  <c r="BI51" i="40"/>
  <c r="BH51" i="40"/>
  <c r="BG51" i="40"/>
  <c r="BF51" i="40"/>
  <c r="BE51" i="40"/>
  <c r="BD51" i="40"/>
  <c r="BC51" i="40"/>
  <c r="BB51" i="40"/>
  <c r="BA51" i="40"/>
  <c r="AZ51" i="40"/>
  <c r="AY51" i="40"/>
  <c r="AX51" i="40"/>
  <c r="AW51" i="40"/>
  <c r="AV51" i="40"/>
  <c r="AU51" i="40"/>
  <c r="AT51" i="40"/>
  <c r="AS51" i="40"/>
  <c r="AR51" i="40"/>
  <c r="AQ51" i="40"/>
  <c r="AP51" i="40"/>
  <c r="AO51" i="40"/>
  <c r="AN51" i="40"/>
  <c r="AM51" i="40"/>
  <c r="AL51" i="40"/>
  <c r="AK51" i="40"/>
  <c r="AJ51" i="40"/>
  <c r="AI51" i="40"/>
  <c r="AH51" i="40"/>
  <c r="AG51" i="40"/>
  <c r="AF51" i="40"/>
  <c r="AE51" i="40"/>
  <c r="AD51" i="40"/>
  <c r="AC51" i="40"/>
  <c r="AB51" i="40"/>
  <c r="AA51" i="40"/>
  <c r="Z51" i="40"/>
  <c r="Y51" i="40"/>
  <c r="X51" i="40"/>
  <c r="L51" i="40"/>
  <c r="K51" i="40"/>
  <c r="J51" i="40"/>
  <c r="I51" i="40"/>
  <c r="Y50" i="40"/>
  <c r="X50" i="40"/>
  <c r="L50" i="40"/>
  <c r="K50" i="40"/>
  <c r="J50" i="40"/>
  <c r="I50" i="40"/>
  <c r="EJ49" i="40"/>
  <c r="EI49" i="40"/>
  <c r="EH49" i="40"/>
  <c r="EG49" i="40"/>
  <c r="EF49" i="40"/>
  <c r="EE49" i="40"/>
  <c r="ED49" i="40"/>
  <c r="EC49" i="40"/>
  <c r="EB49" i="40"/>
  <c r="EA49" i="40"/>
  <c r="DZ49" i="40"/>
  <c r="DY49" i="40"/>
  <c r="DX49" i="40"/>
  <c r="DW49" i="40"/>
  <c r="DV49" i="40"/>
  <c r="DU49" i="40"/>
  <c r="DT49" i="40"/>
  <c r="DS49" i="40"/>
  <c r="DR49" i="40"/>
  <c r="DQ49" i="40"/>
  <c r="DP49" i="40"/>
  <c r="DO49" i="40"/>
  <c r="DN49" i="40"/>
  <c r="DM49" i="40"/>
  <c r="DL49" i="40"/>
  <c r="DK49" i="40"/>
  <c r="DJ49" i="40"/>
  <c r="DI49" i="40"/>
  <c r="DH49" i="40"/>
  <c r="DG49" i="40"/>
  <c r="DF49" i="40"/>
  <c r="DE49" i="40"/>
  <c r="DD49" i="40"/>
  <c r="DC49" i="40"/>
  <c r="DB49" i="40"/>
  <c r="DA49" i="40"/>
  <c r="CZ49" i="40"/>
  <c r="CY49" i="40"/>
  <c r="CX49" i="40"/>
  <c r="CW49" i="40"/>
  <c r="CV49" i="40"/>
  <c r="CU49" i="40"/>
  <c r="CT49" i="40"/>
  <c r="CS49" i="40"/>
  <c r="CR49" i="40"/>
  <c r="CQ49" i="40"/>
  <c r="CP49" i="40"/>
  <c r="CO49" i="40"/>
  <c r="CN49" i="40"/>
  <c r="CM49" i="40"/>
  <c r="CL49" i="40"/>
  <c r="CK49" i="40"/>
  <c r="CJ49" i="40"/>
  <c r="CI49" i="40"/>
  <c r="CH49" i="40"/>
  <c r="CG49" i="40"/>
  <c r="CF49" i="40"/>
  <c r="CE49" i="40"/>
  <c r="CD49" i="40"/>
  <c r="CC49" i="40"/>
  <c r="CB49" i="40"/>
  <c r="CA49" i="40"/>
  <c r="BZ49" i="40"/>
  <c r="BY49" i="40"/>
  <c r="BX49" i="40"/>
  <c r="BW49" i="40"/>
  <c r="BV49" i="40"/>
  <c r="BU49" i="40"/>
  <c r="BT49" i="40"/>
  <c r="BS49" i="40"/>
  <c r="BR49" i="40"/>
  <c r="BQ49" i="40"/>
  <c r="BP49" i="40"/>
  <c r="BO49" i="40"/>
  <c r="BN49" i="40"/>
  <c r="BM49" i="40"/>
  <c r="BL49" i="40"/>
  <c r="BK49" i="40"/>
  <c r="BJ49" i="40"/>
  <c r="BI49" i="40"/>
  <c r="BH49" i="40"/>
  <c r="BG49" i="40"/>
  <c r="BF49" i="40"/>
  <c r="BE49" i="40"/>
  <c r="BD49" i="40"/>
  <c r="BC49" i="40"/>
  <c r="BB49" i="40"/>
  <c r="BA49" i="40"/>
  <c r="AZ49" i="40"/>
  <c r="AY49" i="40"/>
  <c r="AX49" i="40"/>
  <c r="AW49" i="40"/>
  <c r="AV49" i="40"/>
  <c r="AU49" i="40"/>
  <c r="AT49" i="40"/>
  <c r="AS49" i="40"/>
  <c r="AR49" i="40"/>
  <c r="AQ49" i="40"/>
  <c r="AP49" i="40"/>
  <c r="AO49" i="40"/>
  <c r="AN49" i="40"/>
  <c r="AM49" i="40"/>
  <c r="AL49" i="40"/>
  <c r="AK49" i="40"/>
  <c r="AJ49" i="40"/>
  <c r="AI49" i="40"/>
  <c r="AH49" i="40"/>
  <c r="AG49" i="40"/>
  <c r="AF49" i="40"/>
  <c r="AE49" i="40"/>
  <c r="AD49" i="40"/>
  <c r="AC49" i="40"/>
  <c r="AB49" i="40"/>
  <c r="AA49" i="40"/>
  <c r="Z49" i="40"/>
  <c r="Y49" i="40"/>
  <c r="X49" i="40"/>
  <c r="W49" i="40"/>
  <c r="V49" i="40"/>
  <c r="U49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EJ48" i="40"/>
  <c r="EI48" i="40"/>
  <c r="EI50" i="40" s="1"/>
  <c r="EH48" i="40"/>
  <c r="EG48" i="40"/>
  <c r="EG50" i="40" s="1"/>
  <c r="EF48" i="40"/>
  <c r="EE48" i="40"/>
  <c r="EE50" i="40" s="1"/>
  <c r="ED48" i="40"/>
  <c r="EC48" i="40"/>
  <c r="EC50" i="40" s="1"/>
  <c r="EB48" i="40"/>
  <c r="EA48" i="40"/>
  <c r="EA50" i="40" s="1"/>
  <c r="DZ48" i="40"/>
  <c r="DY48" i="40"/>
  <c r="DY50" i="40" s="1"/>
  <c r="DX48" i="40"/>
  <c r="DW48" i="40"/>
  <c r="DW50" i="40" s="1"/>
  <c r="DV48" i="40"/>
  <c r="DU48" i="40"/>
  <c r="DU50" i="40" s="1"/>
  <c r="DT48" i="40"/>
  <c r="DS48" i="40"/>
  <c r="DS50" i="40" s="1"/>
  <c r="DR48" i="40"/>
  <c r="DQ48" i="40"/>
  <c r="DQ50" i="40" s="1"/>
  <c r="DP48" i="40"/>
  <c r="DO48" i="40"/>
  <c r="DO50" i="40" s="1"/>
  <c r="DN48" i="40"/>
  <c r="DM48" i="40"/>
  <c r="DM50" i="40" s="1"/>
  <c r="DL48" i="40"/>
  <c r="DK48" i="40"/>
  <c r="DK50" i="40" s="1"/>
  <c r="DJ48" i="40"/>
  <c r="DI48" i="40"/>
  <c r="DI50" i="40" s="1"/>
  <c r="DH48" i="40"/>
  <c r="DG48" i="40"/>
  <c r="DG50" i="40" s="1"/>
  <c r="DF48" i="40"/>
  <c r="DE48" i="40"/>
  <c r="DE50" i="40" s="1"/>
  <c r="DD48" i="40"/>
  <c r="DC48" i="40"/>
  <c r="DC50" i="40" s="1"/>
  <c r="DB48" i="40"/>
  <c r="DA48" i="40"/>
  <c r="DA50" i="40" s="1"/>
  <c r="CZ48" i="40"/>
  <c r="CY48" i="40"/>
  <c r="CY50" i="40" s="1"/>
  <c r="CX48" i="40"/>
  <c r="CW48" i="40"/>
  <c r="CW50" i="40" s="1"/>
  <c r="CV48" i="40"/>
  <c r="CU48" i="40"/>
  <c r="CU50" i="40" s="1"/>
  <c r="CT48" i="40"/>
  <c r="CS48" i="40"/>
  <c r="CS50" i="40" s="1"/>
  <c r="CR48" i="40"/>
  <c r="CQ48" i="40"/>
  <c r="CQ50" i="40" s="1"/>
  <c r="CP48" i="40"/>
  <c r="CO48" i="40"/>
  <c r="CO50" i="40" s="1"/>
  <c r="CN48" i="40"/>
  <c r="CM48" i="40"/>
  <c r="CM50" i="40" s="1"/>
  <c r="CL48" i="40"/>
  <c r="CK48" i="40"/>
  <c r="CK50" i="40" s="1"/>
  <c r="CJ48" i="40"/>
  <c r="CI48" i="40"/>
  <c r="CI50" i="40" s="1"/>
  <c r="CH48" i="40"/>
  <c r="CG48" i="40"/>
  <c r="CG50" i="40" s="1"/>
  <c r="CF48" i="40"/>
  <c r="CE48" i="40"/>
  <c r="CE50" i="40" s="1"/>
  <c r="CD48" i="40"/>
  <c r="CC48" i="40"/>
  <c r="CC50" i="40" s="1"/>
  <c r="CB48" i="40"/>
  <c r="CA48" i="40"/>
  <c r="CA50" i="40" s="1"/>
  <c r="BZ48" i="40"/>
  <c r="BY48" i="40"/>
  <c r="BY50" i="40" s="1"/>
  <c r="BX48" i="40"/>
  <c r="BW48" i="40"/>
  <c r="BW50" i="40" s="1"/>
  <c r="BV48" i="40"/>
  <c r="BU48" i="40"/>
  <c r="BU50" i="40" s="1"/>
  <c r="BT48" i="40"/>
  <c r="BS48" i="40"/>
  <c r="BS50" i="40" s="1"/>
  <c r="BR48" i="40"/>
  <c r="BQ48" i="40"/>
  <c r="BQ50" i="40" s="1"/>
  <c r="BP48" i="40"/>
  <c r="BO48" i="40"/>
  <c r="BO50" i="40" s="1"/>
  <c r="BN48" i="40"/>
  <c r="BM48" i="40"/>
  <c r="BM50" i="40" s="1"/>
  <c r="BL48" i="40"/>
  <c r="BK48" i="40"/>
  <c r="BK50" i="40" s="1"/>
  <c r="BJ48" i="40"/>
  <c r="BI48" i="40"/>
  <c r="BI50" i="40" s="1"/>
  <c r="BH48" i="40"/>
  <c r="BG48" i="40"/>
  <c r="BG50" i="40" s="1"/>
  <c r="BF48" i="40"/>
  <c r="BE48" i="40"/>
  <c r="BE50" i="40" s="1"/>
  <c r="BD48" i="40"/>
  <c r="BC48" i="40"/>
  <c r="BC50" i="40" s="1"/>
  <c r="BB48" i="40"/>
  <c r="BA48" i="40"/>
  <c r="BA50" i="40" s="1"/>
  <c r="AZ48" i="40"/>
  <c r="AY48" i="40"/>
  <c r="AY50" i="40" s="1"/>
  <c r="AX48" i="40"/>
  <c r="AW48" i="40"/>
  <c r="AW50" i="40" s="1"/>
  <c r="AV48" i="40"/>
  <c r="AU48" i="40"/>
  <c r="AU50" i="40" s="1"/>
  <c r="AT48" i="40"/>
  <c r="AS48" i="40"/>
  <c r="AS50" i="40" s="1"/>
  <c r="AR48" i="40"/>
  <c r="AQ48" i="40"/>
  <c r="AQ50" i="40" s="1"/>
  <c r="AP48" i="40"/>
  <c r="AO48" i="40"/>
  <c r="AO50" i="40" s="1"/>
  <c r="AN48" i="40"/>
  <c r="AM48" i="40"/>
  <c r="AM50" i="40" s="1"/>
  <c r="AL48" i="40"/>
  <c r="AK48" i="40"/>
  <c r="AK50" i="40" s="1"/>
  <c r="AJ48" i="40"/>
  <c r="AI48" i="40"/>
  <c r="AI50" i="40" s="1"/>
  <c r="AH48" i="40"/>
  <c r="AG48" i="40"/>
  <c r="AG50" i="40" s="1"/>
  <c r="AF48" i="40"/>
  <c r="AE48" i="40"/>
  <c r="AE50" i="40" s="1"/>
  <c r="AD48" i="40"/>
  <c r="AC48" i="40"/>
  <c r="AC50" i="40" s="1"/>
  <c r="AB48" i="40"/>
  <c r="AA48" i="40"/>
  <c r="AA50" i="40" s="1"/>
  <c r="Z48" i="40"/>
  <c r="Y48" i="40"/>
  <c r="X48" i="40"/>
  <c r="W48" i="40"/>
  <c r="V48" i="40"/>
  <c r="U48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EJ47" i="40"/>
  <c r="EI47" i="40"/>
  <c r="EJ45" i="40" s="1"/>
  <c r="EH47" i="40"/>
  <c r="EG47" i="40"/>
  <c r="EH45" i="40" s="1"/>
  <c r="EF47" i="40"/>
  <c r="EE47" i="40"/>
  <c r="EF45" i="40" s="1"/>
  <c r="ED47" i="40"/>
  <c r="EC47" i="40"/>
  <c r="ED45" i="40" s="1"/>
  <c r="EB47" i="40"/>
  <c r="EA47" i="40"/>
  <c r="EB45" i="40" s="1"/>
  <c r="DZ47" i="40"/>
  <c r="DY47" i="40"/>
  <c r="DZ45" i="40" s="1"/>
  <c r="DX47" i="40"/>
  <c r="DW47" i="40"/>
  <c r="DX45" i="40" s="1"/>
  <c r="DV47" i="40"/>
  <c r="DU47" i="40"/>
  <c r="DV45" i="40" s="1"/>
  <c r="DT47" i="40"/>
  <c r="DS47" i="40"/>
  <c r="DT45" i="40" s="1"/>
  <c r="DR47" i="40"/>
  <c r="DQ47" i="40"/>
  <c r="DR45" i="40" s="1"/>
  <c r="DP47" i="40"/>
  <c r="DO47" i="40"/>
  <c r="DP45" i="40" s="1"/>
  <c r="DN47" i="40"/>
  <c r="DM47" i="40"/>
  <c r="DN45" i="40" s="1"/>
  <c r="DL47" i="40"/>
  <c r="DK47" i="40"/>
  <c r="DL45" i="40" s="1"/>
  <c r="DJ47" i="40"/>
  <c r="DI47" i="40"/>
  <c r="DJ45" i="40" s="1"/>
  <c r="DH47" i="40"/>
  <c r="DG47" i="40"/>
  <c r="DH45" i="40" s="1"/>
  <c r="DF47" i="40"/>
  <c r="DE47" i="40"/>
  <c r="DF45" i="40" s="1"/>
  <c r="DD47" i="40"/>
  <c r="DC47" i="40"/>
  <c r="DD45" i="40" s="1"/>
  <c r="DB47" i="40"/>
  <c r="DA47" i="40"/>
  <c r="DB45" i="40" s="1"/>
  <c r="CZ47" i="40"/>
  <c r="CY47" i="40"/>
  <c r="CZ45" i="40" s="1"/>
  <c r="CX47" i="40"/>
  <c r="CW47" i="40"/>
  <c r="CX45" i="40" s="1"/>
  <c r="CV47" i="40"/>
  <c r="CU47" i="40"/>
  <c r="CV45" i="40" s="1"/>
  <c r="CT47" i="40"/>
  <c r="CS47" i="40"/>
  <c r="CT45" i="40" s="1"/>
  <c r="CR47" i="40"/>
  <c r="CQ47" i="40"/>
  <c r="CR45" i="40" s="1"/>
  <c r="CP47" i="40"/>
  <c r="CO47" i="40"/>
  <c r="CP45" i="40" s="1"/>
  <c r="CN47" i="40"/>
  <c r="CM47" i="40"/>
  <c r="CN45" i="40" s="1"/>
  <c r="CL47" i="40"/>
  <c r="CK47" i="40"/>
  <c r="CL45" i="40" s="1"/>
  <c r="CJ47" i="40"/>
  <c r="CI47" i="40"/>
  <c r="CJ45" i="40" s="1"/>
  <c r="CH47" i="40"/>
  <c r="CG47" i="40"/>
  <c r="CH45" i="40" s="1"/>
  <c r="CF47" i="40"/>
  <c r="CE47" i="40"/>
  <c r="CF45" i="40" s="1"/>
  <c r="CD47" i="40"/>
  <c r="CC47" i="40"/>
  <c r="CD45" i="40" s="1"/>
  <c r="CB47" i="40"/>
  <c r="CA47" i="40"/>
  <c r="CB45" i="40" s="1"/>
  <c r="BZ47" i="40"/>
  <c r="BY47" i="40"/>
  <c r="BZ45" i="40" s="1"/>
  <c r="BX47" i="40"/>
  <c r="BW47" i="40"/>
  <c r="BX45" i="40" s="1"/>
  <c r="BV47" i="40"/>
  <c r="BU47" i="40"/>
  <c r="BV45" i="40" s="1"/>
  <c r="BT47" i="40"/>
  <c r="BS47" i="40"/>
  <c r="BT45" i="40" s="1"/>
  <c r="BR47" i="40"/>
  <c r="BQ47" i="40"/>
  <c r="BR45" i="40" s="1"/>
  <c r="BP47" i="40"/>
  <c r="BO47" i="40"/>
  <c r="BP45" i="40" s="1"/>
  <c r="BN47" i="40"/>
  <c r="BM47" i="40"/>
  <c r="BN45" i="40" s="1"/>
  <c r="BL47" i="40"/>
  <c r="BK47" i="40"/>
  <c r="BL45" i="40" s="1"/>
  <c r="BJ47" i="40"/>
  <c r="BI47" i="40"/>
  <c r="BJ45" i="40" s="1"/>
  <c r="BH47" i="40"/>
  <c r="BG47" i="40"/>
  <c r="BH45" i="40" s="1"/>
  <c r="BF47" i="40"/>
  <c r="BE47" i="40"/>
  <c r="BF45" i="40" s="1"/>
  <c r="BD47" i="40"/>
  <c r="BC47" i="40"/>
  <c r="BD45" i="40" s="1"/>
  <c r="BB47" i="40"/>
  <c r="BA47" i="40"/>
  <c r="BB45" i="40" s="1"/>
  <c r="AZ47" i="40"/>
  <c r="AY47" i="40"/>
  <c r="AZ45" i="40" s="1"/>
  <c r="AX47" i="40"/>
  <c r="AW47" i="40"/>
  <c r="AX45" i="40" s="1"/>
  <c r="AV47" i="40"/>
  <c r="AU47" i="40"/>
  <c r="AV45" i="40" s="1"/>
  <c r="AT47" i="40"/>
  <c r="AS47" i="40"/>
  <c r="AT45" i="40" s="1"/>
  <c r="AR47" i="40"/>
  <c r="AQ47" i="40"/>
  <c r="AR45" i="40" s="1"/>
  <c r="AP47" i="40"/>
  <c r="AO47" i="40"/>
  <c r="AP45" i="40" s="1"/>
  <c r="AN47" i="40"/>
  <c r="AM47" i="40"/>
  <c r="AN45" i="40" s="1"/>
  <c r="AL47" i="40"/>
  <c r="AK47" i="40"/>
  <c r="AL45" i="40" s="1"/>
  <c r="AJ47" i="40"/>
  <c r="AI47" i="40"/>
  <c r="AJ45" i="40" s="1"/>
  <c r="AH47" i="40"/>
  <c r="AG47" i="40"/>
  <c r="AH45" i="40" s="1"/>
  <c r="AF47" i="40"/>
  <c r="AE47" i="40"/>
  <c r="AF45" i="40" s="1"/>
  <c r="AD47" i="40"/>
  <c r="AC47" i="40"/>
  <c r="AD45" i="40" s="1"/>
  <c r="AB47" i="40"/>
  <c r="AA47" i="40"/>
  <c r="AB45" i="40" s="1"/>
  <c r="Z47" i="40"/>
  <c r="Y47" i="40"/>
  <c r="Z45" i="40" s="1"/>
  <c r="X47" i="40"/>
  <c r="M47" i="40"/>
  <c r="L47" i="40"/>
  <c r="EJ46" i="40"/>
  <c r="EI46" i="40"/>
  <c r="EH46" i="40"/>
  <c r="EI44" i="40" s="1"/>
  <c r="EG46" i="40"/>
  <c r="EF46" i="40"/>
  <c r="EG44" i="40" s="1"/>
  <c r="EE46" i="40"/>
  <c r="ED46" i="40"/>
  <c r="EE44" i="40" s="1"/>
  <c r="EC46" i="40"/>
  <c r="EB46" i="40"/>
  <c r="EC44" i="40" s="1"/>
  <c r="EA46" i="40"/>
  <c r="DZ46" i="40"/>
  <c r="EA44" i="40" s="1"/>
  <c r="DY46" i="40"/>
  <c r="DX46" i="40"/>
  <c r="DY44" i="40" s="1"/>
  <c r="DW46" i="40"/>
  <c r="DV46" i="40"/>
  <c r="DW44" i="40" s="1"/>
  <c r="DU46" i="40"/>
  <c r="DT46" i="40"/>
  <c r="DU44" i="40" s="1"/>
  <c r="DS46" i="40"/>
  <c r="DR46" i="40"/>
  <c r="DS44" i="40" s="1"/>
  <c r="DQ46" i="40"/>
  <c r="DP46" i="40"/>
  <c r="DQ44" i="40" s="1"/>
  <c r="DO46" i="40"/>
  <c r="DN46" i="40"/>
  <c r="DO44" i="40" s="1"/>
  <c r="DM46" i="40"/>
  <c r="DL46" i="40"/>
  <c r="DM44" i="40" s="1"/>
  <c r="DK46" i="40"/>
  <c r="DJ46" i="40"/>
  <c r="DK44" i="40" s="1"/>
  <c r="DI46" i="40"/>
  <c r="DH46" i="40"/>
  <c r="DI44" i="40" s="1"/>
  <c r="DG46" i="40"/>
  <c r="DF46" i="40"/>
  <c r="DG44" i="40" s="1"/>
  <c r="DE46" i="40"/>
  <c r="DD46" i="40"/>
  <c r="DE44" i="40" s="1"/>
  <c r="DC46" i="40"/>
  <c r="DB46" i="40"/>
  <c r="DC44" i="40" s="1"/>
  <c r="DA46" i="40"/>
  <c r="CZ46" i="40"/>
  <c r="DA44" i="40" s="1"/>
  <c r="CY46" i="40"/>
  <c r="CX46" i="40"/>
  <c r="CY44" i="40" s="1"/>
  <c r="CW46" i="40"/>
  <c r="CV46" i="40"/>
  <c r="CW44" i="40" s="1"/>
  <c r="CU46" i="40"/>
  <c r="CT46" i="40"/>
  <c r="CU44" i="40" s="1"/>
  <c r="CS46" i="40"/>
  <c r="CR46" i="40"/>
  <c r="CS44" i="40" s="1"/>
  <c r="CQ46" i="40"/>
  <c r="CP46" i="40"/>
  <c r="CQ44" i="40" s="1"/>
  <c r="CO46" i="40"/>
  <c r="CN46" i="40"/>
  <c r="CO44" i="40" s="1"/>
  <c r="CM46" i="40"/>
  <c r="CL46" i="40"/>
  <c r="CM44" i="40" s="1"/>
  <c r="CK46" i="40"/>
  <c r="CJ46" i="40"/>
  <c r="CK44" i="40" s="1"/>
  <c r="CI46" i="40"/>
  <c r="CH46" i="40"/>
  <c r="CI44" i="40" s="1"/>
  <c r="CG46" i="40"/>
  <c r="CF46" i="40"/>
  <c r="CG44" i="40" s="1"/>
  <c r="CE46" i="40"/>
  <c r="CD46" i="40"/>
  <c r="CE44" i="40" s="1"/>
  <c r="CC46" i="40"/>
  <c r="CB46" i="40"/>
  <c r="CC44" i="40" s="1"/>
  <c r="CA46" i="40"/>
  <c r="BZ46" i="40"/>
  <c r="CA44" i="40" s="1"/>
  <c r="BY46" i="40"/>
  <c r="BX46" i="40"/>
  <c r="BY44" i="40" s="1"/>
  <c r="BW46" i="40"/>
  <c r="BV46" i="40"/>
  <c r="BW44" i="40" s="1"/>
  <c r="BU46" i="40"/>
  <c r="BT46" i="40"/>
  <c r="BU44" i="40" s="1"/>
  <c r="BS46" i="40"/>
  <c r="BR46" i="40"/>
  <c r="BS44" i="40" s="1"/>
  <c r="BQ46" i="40"/>
  <c r="BP46" i="40"/>
  <c r="BQ44" i="40" s="1"/>
  <c r="BO46" i="40"/>
  <c r="BN46" i="40"/>
  <c r="BO44" i="40" s="1"/>
  <c r="BM46" i="40"/>
  <c r="BL46" i="40"/>
  <c r="BM44" i="40" s="1"/>
  <c r="BK46" i="40"/>
  <c r="BJ46" i="40"/>
  <c r="BK44" i="40" s="1"/>
  <c r="BI46" i="40"/>
  <c r="BH46" i="40"/>
  <c r="BI44" i="40" s="1"/>
  <c r="BG46" i="40"/>
  <c r="BF46" i="40"/>
  <c r="BG44" i="40" s="1"/>
  <c r="BE46" i="40"/>
  <c r="BD46" i="40"/>
  <c r="BE44" i="40" s="1"/>
  <c r="BC46" i="40"/>
  <c r="BB46" i="40"/>
  <c r="BC44" i="40" s="1"/>
  <c r="BA46" i="40"/>
  <c r="AZ46" i="40"/>
  <c r="BA44" i="40" s="1"/>
  <c r="AY46" i="40"/>
  <c r="AX46" i="40"/>
  <c r="AY44" i="40" s="1"/>
  <c r="AW46" i="40"/>
  <c r="AV46" i="40"/>
  <c r="AW44" i="40" s="1"/>
  <c r="AU46" i="40"/>
  <c r="AT46" i="40"/>
  <c r="AU44" i="40" s="1"/>
  <c r="AS46" i="40"/>
  <c r="AR46" i="40"/>
  <c r="AS44" i="40" s="1"/>
  <c r="AQ46" i="40"/>
  <c r="AP46" i="40"/>
  <c r="AQ44" i="40" s="1"/>
  <c r="AO46" i="40"/>
  <c r="AN46" i="40"/>
  <c r="AO44" i="40" s="1"/>
  <c r="AM46" i="40"/>
  <c r="AL46" i="40"/>
  <c r="AM44" i="40" s="1"/>
  <c r="AK46" i="40"/>
  <c r="AJ46" i="40"/>
  <c r="AK44" i="40" s="1"/>
  <c r="AI46" i="40"/>
  <c r="AH46" i="40"/>
  <c r="AI44" i="40" s="1"/>
  <c r="AG46" i="40"/>
  <c r="AF46" i="40"/>
  <c r="AG44" i="40" s="1"/>
  <c r="AE46" i="40"/>
  <c r="AD46" i="40"/>
  <c r="AE44" i="40" s="1"/>
  <c r="AC46" i="40"/>
  <c r="AB46" i="40"/>
  <c r="AC44" i="40" s="1"/>
  <c r="AA46" i="40"/>
  <c r="Z46" i="40"/>
  <c r="AA44" i="40" s="1"/>
  <c r="Y46" i="40"/>
  <c r="X46" i="40"/>
  <c r="Y44" i="40" s="1"/>
  <c r="L46" i="40"/>
  <c r="EI45" i="40"/>
  <c r="EE45" i="40"/>
  <c r="EA45" i="40"/>
  <c r="DW45" i="40"/>
  <c r="DS45" i="40"/>
  <c r="DO45" i="40"/>
  <c r="DK45" i="40"/>
  <c r="DG45" i="40"/>
  <c r="DC45" i="40"/>
  <c r="CY45" i="40"/>
  <c r="CU45" i="40"/>
  <c r="CQ45" i="40"/>
  <c r="CM45" i="40"/>
  <c r="CI45" i="40"/>
  <c r="CE45" i="40"/>
  <c r="CA45" i="40"/>
  <c r="BW45" i="40"/>
  <c r="BS45" i="40"/>
  <c r="BO45" i="40"/>
  <c r="BK45" i="40"/>
  <c r="BG45" i="40"/>
  <c r="BC45" i="40"/>
  <c r="AY45" i="40"/>
  <c r="AU45" i="40"/>
  <c r="AQ45" i="40"/>
  <c r="AM45" i="40"/>
  <c r="AI45" i="40"/>
  <c r="AE45" i="40"/>
  <c r="AA45" i="40"/>
  <c r="M45" i="40"/>
  <c r="L45" i="40"/>
  <c r="EJ44" i="40"/>
  <c r="EH44" i="40"/>
  <c r="EF44" i="40"/>
  <c r="ED44" i="40"/>
  <c r="EB44" i="40"/>
  <c r="DZ44" i="40"/>
  <c r="DX44" i="40"/>
  <c r="DV44" i="40"/>
  <c r="DT44" i="40"/>
  <c r="DR44" i="40"/>
  <c r="DP44" i="40"/>
  <c r="DN44" i="40"/>
  <c r="DL44" i="40"/>
  <c r="DJ44" i="40"/>
  <c r="DH44" i="40"/>
  <c r="DF44" i="40"/>
  <c r="DD44" i="40"/>
  <c r="DB44" i="40"/>
  <c r="CZ44" i="40"/>
  <c r="CX44" i="40"/>
  <c r="CV44" i="40"/>
  <c r="CT44" i="40"/>
  <c r="CR44" i="40"/>
  <c r="CP44" i="40"/>
  <c r="CN44" i="40"/>
  <c r="CL44" i="40"/>
  <c r="CJ44" i="40"/>
  <c r="CH44" i="40"/>
  <c r="CF44" i="40"/>
  <c r="CD44" i="40"/>
  <c r="CB44" i="40"/>
  <c r="BZ44" i="40"/>
  <c r="BX44" i="40"/>
  <c r="BV44" i="40"/>
  <c r="BT44" i="40"/>
  <c r="BR44" i="40"/>
  <c r="BP44" i="40"/>
  <c r="BN44" i="40"/>
  <c r="BL44" i="40"/>
  <c r="BJ44" i="40"/>
  <c r="BH44" i="40"/>
  <c r="BF44" i="40"/>
  <c r="BD44" i="40"/>
  <c r="BB44" i="40"/>
  <c r="AZ44" i="40"/>
  <c r="AX44" i="40"/>
  <c r="AV44" i="40"/>
  <c r="AT44" i="40"/>
  <c r="AR44" i="40"/>
  <c r="AP44" i="40"/>
  <c r="AN44" i="40"/>
  <c r="AL44" i="40"/>
  <c r="AJ44" i="40"/>
  <c r="AH44" i="40"/>
  <c r="AF44" i="40"/>
  <c r="AD44" i="40"/>
  <c r="AB44" i="40"/>
  <c r="Z44" i="40"/>
  <c r="L44" i="40"/>
  <c r="EJ43" i="40"/>
  <c r="EI43" i="40"/>
  <c r="EH43" i="40"/>
  <c r="EG43" i="40"/>
  <c r="EF43" i="40"/>
  <c r="EE43" i="40"/>
  <c r="ED43" i="40"/>
  <c r="EC43" i="40"/>
  <c r="EB43" i="40"/>
  <c r="EA43" i="40"/>
  <c r="DZ43" i="40"/>
  <c r="DY43" i="40"/>
  <c r="DX43" i="40"/>
  <c r="DW43" i="40"/>
  <c r="DV43" i="40"/>
  <c r="DU43" i="40"/>
  <c r="DT43" i="40"/>
  <c r="DS43" i="40"/>
  <c r="DR43" i="40"/>
  <c r="DQ43" i="40"/>
  <c r="DP43" i="40"/>
  <c r="DO43" i="40"/>
  <c r="DN43" i="40"/>
  <c r="DM43" i="40"/>
  <c r="DL43" i="40"/>
  <c r="DK43" i="40"/>
  <c r="DJ43" i="40"/>
  <c r="DI43" i="40"/>
  <c r="DH43" i="40"/>
  <c r="DG43" i="40"/>
  <c r="DF43" i="40"/>
  <c r="DE43" i="40"/>
  <c r="DD43" i="40"/>
  <c r="DC43" i="40"/>
  <c r="DB43" i="40"/>
  <c r="DA43" i="40"/>
  <c r="CZ43" i="40"/>
  <c r="CY43" i="40"/>
  <c r="CX43" i="40"/>
  <c r="CW43" i="40"/>
  <c r="CV43" i="40"/>
  <c r="CU43" i="40"/>
  <c r="CT43" i="40"/>
  <c r="CS43" i="40"/>
  <c r="CR43" i="40"/>
  <c r="CQ43" i="40"/>
  <c r="CP43" i="40"/>
  <c r="CO43" i="40"/>
  <c r="CN43" i="40"/>
  <c r="CM43" i="40"/>
  <c r="CL43" i="40"/>
  <c r="CK43" i="40"/>
  <c r="CJ43" i="40"/>
  <c r="CI43" i="40"/>
  <c r="CH43" i="40"/>
  <c r="CG43" i="40"/>
  <c r="CF43" i="40"/>
  <c r="CE43" i="40"/>
  <c r="CD43" i="40"/>
  <c r="CC43" i="40"/>
  <c r="CB43" i="40"/>
  <c r="CA43" i="40"/>
  <c r="BZ43" i="40"/>
  <c r="BY43" i="40"/>
  <c r="BX43" i="40"/>
  <c r="BW43" i="40"/>
  <c r="BV43" i="40"/>
  <c r="BU43" i="40"/>
  <c r="BT43" i="40"/>
  <c r="BS43" i="40"/>
  <c r="BR43" i="40"/>
  <c r="BQ43" i="40"/>
  <c r="BP43" i="40"/>
  <c r="BO43" i="40"/>
  <c r="BN43" i="40"/>
  <c r="BM43" i="40"/>
  <c r="BL43" i="40"/>
  <c r="BK43" i="40"/>
  <c r="BJ43" i="40"/>
  <c r="BI43" i="40"/>
  <c r="BH43" i="40"/>
  <c r="BG43" i="40"/>
  <c r="BF43" i="40"/>
  <c r="BE43" i="40"/>
  <c r="BD43" i="40"/>
  <c r="BC43" i="40"/>
  <c r="BB43" i="40"/>
  <c r="BA43" i="40"/>
  <c r="AZ43" i="40"/>
  <c r="AY43" i="40"/>
  <c r="AX43" i="40"/>
  <c r="AW43" i="40"/>
  <c r="AV43" i="40"/>
  <c r="AU43" i="40"/>
  <c r="AT43" i="40"/>
  <c r="AS43" i="40"/>
  <c r="AR43" i="40"/>
  <c r="AQ43" i="40"/>
  <c r="AP43" i="40"/>
  <c r="AO43" i="40"/>
  <c r="AN43" i="40"/>
  <c r="AM43" i="40"/>
  <c r="AL43" i="40"/>
  <c r="AK43" i="40"/>
  <c r="AJ43" i="40"/>
  <c r="AI43" i="40"/>
  <c r="AH43" i="40"/>
  <c r="AG43" i="40"/>
  <c r="AF43" i="40"/>
  <c r="AE43" i="40"/>
  <c r="AD43" i="40"/>
  <c r="AC43" i="40"/>
  <c r="AB43" i="40"/>
  <c r="AA43" i="40"/>
  <c r="Z43" i="40"/>
  <c r="Y43" i="40"/>
  <c r="X43" i="40"/>
  <c r="W43" i="40"/>
  <c r="V43" i="40"/>
  <c r="U43" i="40"/>
  <c r="T43" i="40"/>
  <c r="S43" i="40"/>
  <c r="R43" i="40"/>
  <c r="Q43" i="40"/>
  <c r="P43" i="40"/>
  <c r="O43" i="40"/>
  <c r="N43" i="40"/>
  <c r="M43" i="40"/>
  <c r="L43" i="40"/>
  <c r="EJ42" i="40"/>
  <c r="EI42" i="40"/>
  <c r="EH42" i="40"/>
  <c r="EG42" i="40"/>
  <c r="EF42" i="40"/>
  <c r="EE42" i="40"/>
  <c r="ED42" i="40"/>
  <c r="EC42" i="40"/>
  <c r="EB42" i="40"/>
  <c r="EA42" i="40"/>
  <c r="DZ42" i="40"/>
  <c r="DY42" i="40"/>
  <c r="DX42" i="40"/>
  <c r="DW42" i="40"/>
  <c r="DV42" i="40"/>
  <c r="DU42" i="40"/>
  <c r="DT42" i="40"/>
  <c r="DS42" i="40"/>
  <c r="DR42" i="40"/>
  <c r="DQ42" i="40"/>
  <c r="DP42" i="40"/>
  <c r="DO42" i="40"/>
  <c r="DN42" i="40"/>
  <c r="DM42" i="40"/>
  <c r="DL42" i="40"/>
  <c r="DK42" i="40"/>
  <c r="DJ42" i="40"/>
  <c r="DI42" i="40"/>
  <c r="DH42" i="40"/>
  <c r="DG42" i="40"/>
  <c r="DF42" i="40"/>
  <c r="DE42" i="40"/>
  <c r="DD42" i="40"/>
  <c r="DC42" i="40"/>
  <c r="DB42" i="40"/>
  <c r="DA42" i="40"/>
  <c r="CZ42" i="40"/>
  <c r="CY42" i="40"/>
  <c r="CX42" i="40"/>
  <c r="CW42" i="40"/>
  <c r="CV42" i="40"/>
  <c r="CU42" i="40"/>
  <c r="CT42" i="40"/>
  <c r="CS42" i="40"/>
  <c r="CR42" i="40"/>
  <c r="CQ42" i="40"/>
  <c r="CP42" i="40"/>
  <c r="CO42" i="40"/>
  <c r="CN42" i="40"/>
  <c r="CM42" i="40"/>
  <c r="CL42" i="40"/>
  <c r="CK42" i="40"/>
  <c r="CJ42" i="40"/>
  <c r="CI42" i="40"/>
  <c r="CH42" i="40"/>
  <c r="CG42" i="40"/>
  <c r="CF42" i="40"/>
  <c r="CE42" i="40"/>
  <c r="CD42" i="40"/>
  <c r="CC42" i="40"/>
  <c r="CB42" i="40"/>
  <c r="CA42" i="40"/>
  <c r="BZ42" i="40"/>
  <c r="BY42" i="40"/>
  <c r="BX42" i="40"/>
  <c r="BW42" i="40"/>
  <c r="BV42" i="40"/>
  <c r="BU42" i="40"/>
  <c r="BT42" i="40"/>
  <c r="BS42" i="40"/>
  <c r="BR42" i="40"/>
  <c r="BQ42" i="40"/>
  <c r="BP42" i="40"/>
  <c r="BO42" i="40"/>
  <c r="BN42" i="40"/>
  <c r="BM42" i="40"/>
  <c r="BL42" i="40"/>
  <c r="BK42" i="40"/>
  <c r="BJ42" i="40"/>
  <c r="BI42" i="40"/>
  <c r="BH42" i="40"/>
  <c r="BG42" i="40"/>
  <c r="BF42" i="40"/>
  <c r="BE42" i="40"/>
  <c r="BD42" i="40"/>
  <c r="BC42" i="40"/>
  <c r="BB42" i="40"/>
  <c r="BA42" i="40"/>
  <c r="AZ42" i="40"/>
  <c r="AY42" i="40"/>
  <c r="AX42" i="40"/>
  <c r="AW42" i="40"/>
  <c r="AV42" i="40"/>
  <c r="AU42" i="40"/>
  <c r="AT42" i="40"/>
  <c r="AS42" i="40"/>
  <c r="AR42" i="40"/>
  <c r="AQ42" i="40"/>
  <c r="AP42" i="40"/>
  <c r="AO42" i="40"/>
  <c r="AN42" i="40"/>
  <c r="AM42" i="40"/>
  <c r="AL42" i="40"/>
  <c r="AK42" i="40"/>
  <c r="AJ42" i="40"/>
  <c r="AI42" i="40"/>
  <c r="AH42" i="40"/>
  <c r="AG42" i="40"/>
  <c r="AF42" i="40"/>
  <c r="AE42" i="40"/>
  <c r="AD42" i="40"/>
  <c r="AC42" i="40"/>
  <c r="AB42" i="40"/>
  <c r="AA42" i="40"/>
  <c r="Z42" i="40"/>
  <c r="Y42" i="40"/>
  <c r="X42" i="40"/>
  <c r="W42" i="40"/>
  <c r="V42" i="40"/>
  <c r="U42" i="40"/>
  <c r="T42" i="40"/>
  <c r="S42" i="40"/>
  <c r="R42" i="40"/>
  <c r="Q42" i="40"/>
  <c r="P42" i="40"/>
  <c r="O42" i="40"/>
  <c r="N42" i="40"/>
  <c r="M42" i="40"/>
  <c r="L42" i="40"/>
  <c r="EJ41" i="40"/>
  <c r="EI41" i="40"/>
  <c r="EH41" i="40"/>
  <c r="EG41" i="40"/>
  <c r="EF41" i="40"/>
  <c r="EE41" i="40"/>
  <c r="ED41" i="40"/>
  <c r="EC41" i="40"/>
  <c r="EB41" i="40"/>
  <c r="EA41" i="40"/>
  <c r="DZ41" i="40"/>
  <c r="DY41" i="40"/>
  <c r="DX41" i="40"/>
  <c r="DW41" i="40"/>
  <c r="DV41" i="40"/>
  <c r="DU41" i="40"/>
  <c r="DT41" i="40"/>
  <c r="DS41" i="40"/>
  <c r="DR41" i="40"/>
  <c r="DQ41" i="40"/>
  <c r="DP41" i="40"/>
  <c r="DO41" i="40"/>
  <c r="DN41" i="40"/>
  <c r="DM41" i="40"/>
  <c r="DL41" i="40"/>
  <c r="DK41" i="40"/>
  <c r="DJ41" i="40"/>
  <c r="DI41" i="40"/>
  <c r="DH41" i="40"/>
  <c r="DG41" i="40"/>
  <c r="DF41" i="40"/>
  <c r="DE41" i="40"/>
  <c r="DD41" i="40"/>
  <c r="DC41" i="40"/>
  <c r="DB41" i="40"/>
  <c r="DA41" i="40"/>
  <c r="CZ41" i="40"/>
  <c r="CY41" i="40"/>
  <c r="CX41" i="40"/>
  <c r="CW41" i="40"/>
  <c r="CV41" i="40"/>
  <c r="CU41" i="40"/>
  <c r="CT41" i="40"/>
  <c r="CS41" i="40"/>
  <c r="CR41" i="40"/>
  <c r="CQ41" i="40"/>
  <c r="CP41" i="40"/>
  <c r="CO41" i="40"/>
  <c r="CN41" i="40"/>
  <c r="CM41" i="40"/>
  <c r="CL41" i="40"/>
  <c r="CK41" i="40"/>
  <c r="CJ41" i="40"/>
  <c r="CI41" i="40"/>
  <c r="CH41" i="40"/>
  <c r="CG41" i="40"/>
  <c r="CF41" i="40"/>
  <c r="CE41" i="40"/>
  <c r="CD41" i="40"/>
  <c r="CC41" i="40"/>
  <c r="CB41" i="40"/>
  <c r="CA41" i="40"/>
  <c r="BZ41" i="40"/>
  <c r="BY41" i="40"/>
  <c r="BX41" i="40"/>
  <c r="BW41" i="40"/>
  <c r="BV41" i="40"/>
  <c r="BU41" i="40"/>
  <c r="BT41" i="40"/>
  <c r="BS41" i="40"/>
  <c r="BR41" i="40"/>
  <c r="BQ41" i="40"/>
  <c r="BP41" i="40"/>
  <c r="BO41" i="40"/>
  <c r="BN41" i="40"/>
  <c r="BM41" i="40"/>
  <c r="BL41" i="40"/>
  <c r="BK41" i="40"/>
  <c r="BJ41" i="40"/>
  <c r="BI41" i="40"/>
  <c r="BH41" i="40"/>
  <c r="BG41" i="40"/>
  <c r="BF41" i="40"/>
  <c r="BE41" i="40"/>
  <c r="BD41" i="40"/>
  <c r="BC41" i="40"/>
  <c r="BB41" i="40"/>
  <c r="BA41" i="40"/>
  <c r="AZ41" i="40"/>
  <c r="AY41" i="40"/>
  <c r="AX41" i="40"/>
  <c r="AW41" i="40"/>
  <c r="AV41" i="40"/>
  <c r="AU41" i="40"/>
  <c r="AT41" i="40"/>
  <c r="AS41" i="40"/>
  <c r="AR41" i="40"/>
  <c r="AQ41" i="40"/>
  <c r="AP41" i="40"/>
  <c r="AO41" i="40"/>
  <c r="AN41" i="40"/>
  <c r="AM41" i="40"/>
  <c r="AL41" i="40"/>
  <c r="AK41" i="40"/>
  <c r="AJ41" i="40"/>
  <c r="AI41" i="40"/>
  <c r="AH41" i="40"/>
  <c r="AG41" i="40"/>
  <c r="AF41" i="40"/>
  <c r="AE41" i="40"/>
  <c r="AD41" i="40"/>
  <c r="AC41" i="40"/>
  <c r="AB41" i="40"/>
  <c r="AA41" i="40"/>
  <c r="Z41" i="40"/>
  <c r="Y41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EJ40" i="40"/>
  <c r="EI40" i="40"/>
  <c r="EH40" i="40"/>
  <c r="EG40" i="40"/>
  <c r="EF40" i="40"/>
  <c r="EE40" i="40"/>
  <c r="ED40" i="40"/>
  <c r="EC40" i="40"/>
  <c r="EB40" i="40"/>
  <c r="EA40" i="40"/>
  <c r="DZ40" i="40"/>
  <c r="DY40" i="40"/>
  <c r="DX40" i="40"/>
  <c r="DW40" i="40"/>
  <c r="DV40" i="40"/>
  <c r="DU40" i="40"/>
  <c r="DT40" i="40"/>
  <c r="DS40" i="40"/>
  <c r="DR40" i="40"/>
  <c r="DQ40" i="40"/>
  <c r="DP40" i="40"/>
  <c r="DO40" i="40"/>
  <c r="DN40" i="40"/>
  <c r="DM40" i="40"/>
  <c r="DL40" i="40"/>
  <c r="DK40" i="40"/>
  <c r="DJ40" i="40"/>
  <c r="DI40" i="40"/>
  <c r="DH40" i="40"/>
  <c r="DG40" i="40"/>
  <c r="DF40" i="40"/>
  <c r="DE40" i="40"/>
  <c r="DD40" i="40"/>
  <c r="DC40" i="40"/>
  <c r="DB40" i="40"/>
  <c r="DA40" i="40"/>
  <c r="CZ40" i="40"/>
  <c r="CY40" i="40"/>
  <c r="CX40" i="40"/>
  <c r="CW40" i="40"/>
  <c r="CV40" i="40"/>
  <c r="CU40" i="40"/>
  <c r="CT40" i="40"/>
  <c r="CS40" i="40"/>
  <c r="CR40" i="40"/>
  <c r="CQ40" i="40"/>
  <c r="CP40" i="40"/>
  <c r="CO40" i="40"/>
  <c r="CN40" i="40"/>
  <c r="CM40" i="40"/>
  <c r="CL40" i="40"/>
  <c r="CK40" i="40"/>
  <c r="CJ40" i="40"/>
  <c r="CI40" i="40"/>
  <c r="CH40" i="40"/>
  <c r="CG40" i="40"/>
  <c r="CF40" i="40"/>
  <c r="CE40" i="40"/>
  <c r="CD40" i="40"/>
  <c r="CC40" i="40"/>
  <c r="CB40" i="40"/>
  <c r="CA40" i="40"/>
  <c r="BZ40" i="40"/>
  <c r="BY40" i="40"/>
  <c r="BX40" i="40"/>
  <c r="BW40" i="40"/>
  <c r="BV40" i="40"/>
  <c r="BU40" i="40"/>
  <c r="BT40" i="40"/>
  <c r="BS40" i="40"/>
  <c r="BR40" i="40"/>
  <c r="BQ40" i="40"/>
  <c r="BP40" i="40"/>
  <c r="BO40" i="40"/>
  <c r="BN40" i="40"/>
  <c r="BM40" i="40"/>
  <c r="BL40" i="40"/>
  <c r="BK40" i="40"/>
  <c r="BJ40" i="40"/>
  <c r="BI40" i="40"/>
  <c r="BH40" i="40"/>
  <c r="BG40" i="40"/>
  <c r="BF40" i="40"/>
  <c r="BE40" i="40"/>
  <c r="BD40" i="40"/>
  <c r="BC40" i="40"/>
  <c r="BB40" i="40"/>
  <c r="BA40" i="40"/>
  <c r="AZ40" i="40"/>
  <c r="AY40" i="40"/>
  <c r="AX40" i="40"/>
  <c r="AW40" i="40"/>
  <c r="AV40" i="40"/>
  <c r="AU40" i="40"/>
  <c r="AT40" i="40"/>
  <c r="AS40" i="40"/>
  <c r="AR40" i="40"/>
  <c r="AQ40" i="40"/>
  <c r="AP40" i="40"/>
  <c r="AO40" i="40"/>
  <c r="AN40" i="40"/>
  <c r="AM40" i="40"/>
  <c r="AL40" i="40"/>
  <c r="AK40" i="40"/>
  <c r="AJ40" i="40"/>
  <c r="AI40" i="40"/>
  <c r="AH40" i="40"/>
  <c r="AG40" i="40"/>
  <c r="AF40" i="40"/>
  <c r="AE40" i="40"/>
  <c r="AD40" i="40"/>
  <c r="AC40" i="40"/>
  <c r="AB40" i="40"/>
  <c r="AA40" i="40"/>
  <c r="Z40" i="40"/>
  <c r="Y40" i="40"/>
  <c r="X40" i="40"/>
  <c r="W40" i="40"/>
  <c r="V40" i="40"/>
  <c r="U40" i="40"/>
  <c r="T40" i="40"/>
  <c r="S40" i="40"/>
  <c r="R40" i="40"/>
  <c r="Q40" i="40"/>
  <c r="P40" i="40"/>
  <c r="O40" i="40"/>
  <c r="N40" i="40"/>
  <c r="M40" i="40"/>
  <c r="L40" i="40"/>
  <c r="EJ39" i="40"/>
  <c r="EI39" i="40"/>
  <c r="EH39" i="40"/>
  <c r="EG39" i="40"/>
  <c r="EF39" i="40"/>
  <c r="EE39" i="40"/>
  <c r="ED39" i="40"/>
  <c r="EC39" i="40"/>
  <c r="EB39" i="40"/>
  <c r="EA39" i="40"/>
  <c r="DZ39" i="40"/>
  <c r="DY39" i="40"/>
  <c r="DX39" i="40"/>
  <c r="DW39" i="40"/>
  <c r="DV39" i="40"/>
  <c r="DU39" i="40"/>
  <c r="DT39" i="40"/>
  <c r="DS39" i="40"/>
  <c r="DR39" i="40"/>
  <c r="DQ39" i="40"/>
  <c r="DP39" i="40"/>
  <c r="DO39" i="40"/>
  <c r="DN39" i="40"/>
  <c r="DM39" i="40"/>
  <c r="DL39" i="40"/>
  <c r="DK39" i="40"/>
  <c r="DJ39" i="40"/>
  <c r="DI39" i="40"/>
  <c r="DH39" i="40"/>
  <c r="DG39" i="40"/>
  <c r="DF39" i="40"/>
  <c r="DE39" i="40"/>
  <c r="DD39" i="40"/>
  <c r="DC39" i="40"/>
  <c r="DB39" i="40"/>
  <c r="DA39" i="40"/>
  <c r="CZ39" i="40"/>
  <c r="CY39" i="40"/>
  <c r="CX39" i="40"/>
  <c r="CW39" i="40"/>
  <c r="CV39" i="40"/>
  <c r="CU39" i="40"/>
  <c r="CT39" i="40"/>
  <c r="CS39" i="40"/>
  <c r="CR39" i="40"/>
  <c r="CQ39" i="40"/>
  <c r="CP39" i="40"/>
  <c r="CO39" i="40"/>
  <c r="CN39" i="40"/>
  <c r="CM39" i="40"/>
  <c r="CL39" i="40"/>
  <c r="CK39" i="40"/>
  <c r="CJ39" i="40"/>
  <c r="CI39" i="40"/>
  <c r="CH39" i="40"/>
  <c r="CG39" i="40"/>
  <c r="CF39" i="40"/>
  <c r="CE39" i="40"/>
  <c r="CD39" i="40"/>
  <c r="CC39" i="40"/>
  <c r="CB39" i="40"/>
  <c r="CA39" i="40"/>
  <c r="BZ39" i="40"/>
  <c r="BY39" i="40"/>
  <c r="BX39" i="40"/>
  <c r="BW39" i="40"/>
  <c r="BV39" i="40"/>
  <c r="BU39" i="40"/>
  <c r="BT39" i="40"/>
  <c r="BS39" i="40"/>
  <c r="BR39" i="40"/>
  <c r="BQ39" i="40"/>
  <c r="BP39" i="40"/>
  <c r="BO39" i="40"/>
  <c r="BN39" i="40"/>
  <c r="BM39" i="40"/>
  <c r="BL39" i="40"/>
  <c r="BK39" i="40"/>
  <c r="BJ39" i="40"/>
  <c r="BI39" i="40"/>
  <c r="BH39" i="40"/>
  <c r="BG39" i="40"/>
  <c r="BF39" i="40"/>
  <c r="BE39" i="40"/>
  <c r="BD39" i="40"/>
  <c r="BC39" i="40"/>
  <c r="BB39" i="40"/>
  <c r="BA39" i="40"/>
  <c r="AZ39" i="40"/>
  <c r="AY39" i="40"/>
  <c r="AX39" i="40"/>
  <c r="AW39" i="40"/>
  <c r="AV39" i="40"/>
  <c r="AU39" i="40"/>
  <c r="AT39" i="40"/>
  <c r="AS39" i="40"/>
  <c r="AR39" i="40"/>
  <c r="AQ39" i="40"/>
  <c r="AP39" i="40"/>
  <c r="AO39" i="40"/>
  <c r="AN39" i="40"/>
  <c r="AM39" i="40"/>
  <c r="AL39" i="40"/>
  <c r="AK39" i="40"/>
  <c r="AJ39" i="40"/>
  <c r="AI39" i="40"/>
  <c r="AH39" i="40"/>
  <c r="AG39" i="40"/>
  <c r="AF39" i="40"/>
  <c r="AE39" i="40"/>
  <c r="AD39" i="40"/>
  <c r="AC39" i="40"/>
  <c r="AB39" i="40"/>
  <c r="AA39" i="40"/>
  <c r="Z39" i="40"/>
  <c r="Y39" i="40"/>
  <c r="X39" i="40"/>
  <c r="W39" i="40"/>
  <c r="V39" i="40"/>
  <c r="U39" i="40"/>
  <c r="S39" i="40"/>
  <c r="R39" i="40"/>
  <c r="Q39" i="40"/>
  <c r="P39" i="40"/>
  <c r="O39" i="40"/>
  <c r="N39" i="40"/>
  <c r="M39" i="40"/>
  <c r="L39" i="40"/>
  <c r="EJ35" i="40"/>
  <c r="EI35" i="40"/>
  <c r="EH35" i="40"/>
  <c r="EG35" i="40"/>
  <c r="EF35" i="40"/>
  <c r="EE35" i="40"/>
  <c r="ED35" i="40"/>
  <c r="EC35" i="40"/>
  <c r="EB35" i="40"/>
  <c r="EA35" i="40"/>
  <c r="DZ35" i="40"/>
  <c r="DY35" i="40"/>
  <c r="DX35" i="40"/>
  <c r="DW35" i="40"/>
  <c r="DV35" i="40"/>
  <c r="DU35" i="40"/>
  <c r="DT35" i="40"/>
  <c r="DS35" i="40"/>
  <c r="DR35" i="40"/>
  <c r="DQ35" i="40"/>
  <c r="DP35" i="40"/>
  <c r="DO35" i="40"/>
  <c r="DN35" i="40"/>
  <c r="DM35" i="40"/>
  <c r="DL35" i="40"/>
  <c r="DK35" i="40"/>
  <c r="DJ35" i="40"/>
  <c r="DI35" i="40"/>
  <c r="DH35" i="40"/>
  <c r="DG35" i="40"/>
  <c r="DF35" i="40"/>
  <c r="DE35" i="40"/>
  <c r="DD35" i="40"/>
  <c r="DC35" i="40"/>
  <c r="DB35" i="40"/>
  <c r="DA35" i="40"/>
  <c r="CZ35" i="40"/>
  <c r="CY35" i="40"/>
  <c r="CX35" i="40"/>
  <c r="CW35" i="40"/>
  <c r="CV35" i="40"/>
  <c r="CU35" i="40"/>
  <c r="CT35" i="40"/>
  <c r="CS35" i="40"/>
  <c r="CR35" i="40"/>
  <c r="CQ35" i="40"/>
  <c r="CP35" i="40"/>
  <c r="CO35" i="40"/>
  <c r="CN35" i="40"/>
  <c r="CM35" i="40"/>
  <c r="CL35" i="40"/>
  <c r="CK35" i="40"/>
  <c r="CJ35" i="40"/>
  <c r="CI35" i="40"/>
  <c r="CH35" i="40"/>
  <c r="CG35" i="40"/>
  <c r="CF35" i="40"/>
  <c r="CE35" i="40"/>
  <c r="CD35" i="40"/>
  <c r="CC35" i="40"/>
  <c r="CB35" i="40"/>
  <c r="CA35" i="40"/>
  <c r="BZ35" i="40"/>
  <c r="BY35" i="40"/>
  <c r="BX35" i="40"/>
  <c r="BW35" i="40"/>
  <c r="BV35" i="40"/>
  <c r="BU35" i="40"/>
  <c r="BT35" i="40"/>
  <c r="BS35" i="40"/>
  <c r="BR35" i="40"/>
  <c r="BQ35" i="40"/>
  <c r="BP35" i="40"/>
  <c r="BO35" i="40"/>
  <c r="BN35" i="40"/>
  <c r="BM35" i="40"/>
  <c r="BL35" i="40"/>
  <c r="BK35" i="40"/>
  <c r="BJ35" i="40"/>
  <c r="BI35" i="40"/>
  <c r="BH35" i="40"/>
  <c r="BF35" i="40"/>
  <c r="BE35" i="40"/>
  <c r="BD35" i="40"/>
  <c r="BB35" i="40"/>
  <c r="AZ35" i="40"/>
  <c r="AX35" i="40"/>
  <c r="AV35" i="40"/>
  <c r="AT35" i="40"/>
  <c r="AR35" i="40"/>
  <c r="AP35" i="40"/>
  <c r="AN35" i="40"/>
  <c r="AM35" i="40"/>
  <c r="AL35" i="40"/>
  <c r="AK35" i="40"/>
  <c r="AJ35" i="40"/>
  <c r="AI35" i="40"/>
  <c r="AH35" i="40"/>
  <c r="AG35" i="40"/>
  <c r="AF35" i="40"/>
  <c r="AE35" i="40"/>
  <c r="AD35" i="40"/>
  <c r="AC35" i="40"/>
  <c r="AB35" i="40"/>
  <c r="AA35" i="40"/>
  <c r="Y35" i="40"/>
  <c r="X35" i="40"/>
  <c r="EJ34" i="40"/>
  <c r="EJ38" i="40" s="1"/>
  <c r="EI34" i="40"/>
  <c r="EH34" i="40"/>
  <c r="EH38" i="40" s="1"/>
  <c r="EG34" i="40"/>
  <c r="EF34" i="40"/>
  <c r="EF38" i="40" s="1"/>
  <c r="EE34" i="40"/>
  <c r="ED34" i="40"/>
  <c r="ED38" i="40" s="1"/>
  <c r="EC34" i="40"/>
  <c r="EB34" i="40"/>
  <c r="EB38" i="40" s="1"/>
  <c r="EA34" i="40"/>
  <c r="DZ34" i="40"/>
  <c r="DZ38" i="40" s="1"/>
  <c r="DY34" i="40"/>
  <c r="DX34" i="40"/>
  <c r="DX38" i="40" s="1"/>
  <c r="DW34" i="40"/>
  <c r="DV34" i="40"/>
  <c r="DV38" i="40" s="1"/>
  <c r="DU34" i="40"/>
  <c r="DT34" i="40"/>
  <c r="DT38" i="40" s="1"/>
  <c r="DS34" i="40"/>
  <c r="DR34" i="40"/>
  <c r="DR38" i="40" s="1"/>
  <c r="DQ34" i="40"/>
  <c r="DP34" i="40"/>
  <c r="DP38" i="40" s="1"/>
  <c r="DO34" i="40"/>
  <c r="DN34" i="40"/>
  <c r="DN38" i="40" s="1"/>
  <c r="DM34" i="40"/>
  <c r="DL34" i="40"/>
  <c r="DL38" i="40" s="1"/>
  <c r="DK34" i="40"/>
  <c r="DJ34" i="40"/>
  <c r="DJ38" i="40" s="1"/>
  <c r="DI34" i="40"/>
  <c r="DH34" i="40"/>
  <c r="DH38" i="40" s="1"/>
  <c r="DG34" i="40"/>
  <c r="DF34" i="40"/>
  <c r="DF38" i="40" s="1"/>
  <c r="DE34" i="40"/>
  <c r="DD34" i="40"/>
  <c r="DD38" i="40" s="1"/>
  <c r="DC34" i="40"/>
  <c r="DB34" i="40"/>
  <c r="DB38" i="40" s="1"/>
  <c r="DA34" i="40"/>
  <c r="CZ34" i="40"/>
  <c r="CZ38" i="40" s="1"/>
  <c r="CY34" i="40"/>
  <c r="CX34" i="40"/>
  <c r="CX38" i="40" s="1"/>
  <c r="CW34" i="40"/>
  <c r="CV34" i="40"/>
  <c r="CV38" i="40" s="1"/>
  <c r="CU34" i="40"/>
  <c r="CT34" i="40"/>
  <c r="CT38" i="40" s="1"/>
  <c r="CS34" i="40"/>
  <c r="CR34" i="40"/>
  <c r="CR38" i="40" s="1"/>
  <c r="CQ34" i="40"/>
  <c r="CP34" i="40"/>
  <c r="CP38" i="40" s="1"/>
  <c r="CO34" i="40"/>
  <c r="CN34" i="40"/>
  <c r="CN38" i="40" s="1"/>
  <c r="CM34" i="40"/>
  <c r="CL34" i="40"/>
  <c r="CL38" i="40" s="1"/>
  <c r="CK34" i="40"/>
  <c r="CJ34" i="40"/>
  <c r="CJ38" i="40" s="1"/>
  <c r="CI34" i="40"/>
  <c r="CH34" i="40"/>
  <c r="CH38" i="40" s="1"/>
  <c r="CG34" i="40"/>
  <c r="CF34" i="40"/>
  <c r="CF38" i="40" s="1"/>
  <c r="CE34" i="40"/>
  <c r="CD34" i="40"/>
  <c r="CD38" i="40" s="1"/>
  <c r="CC34" i="40"/>
  <c r="CB34" i="40"/>
  <c r="CB38" i="40" s="1"/>
  <c r="CA34" i="40"/>
  <c r="BZ34" i="40"/>
  <c r="BZ38" i="40" s="1"/>
  <c r="BY34" i="40"/>
  <c r="BX34" i="40"/>
  <c r="BX38" i="40" s="1"/>
  <c r="BW34" i="40"/>
  <c r="BV34" i="40"/>
  <c r="BV38" i="40" s="1"/>
  <c r="BU34" i="40"/>
  <c r="BT34" i="40"/>
  <c r="BT38" i="40" s="1"/>
  <c r="BS34" i="40"/>
  <c r="BR34" i="40"/>
  <c r="BR38" i="40" s="1"/>
  <c r="BQ34" i="40"/>
  <c r="BP34" i="40"/>
  <c r="BP38" i="40" s="1"/>
  <c r="BO34" i="40"/>
  <c r="BN34" i="40"/>
  <c r="BN38" i="40" s="1"/>
  <c r="BM34" i="40"/>
  <c r="BL34" i="40"/>
  <c r="BL38" i="40" s="1"/>
  <c r="BK34" i="40"/>
  <c r="BJ34" i="40"/>
  <c r="BJ38" i="40" s="1"/>
  <c r="BI34" i="40"/>
  <c r="BH34" i="40"/>
  <c r="BH38" i="40" s="1"/>
  <c r="BF34" i="40"/>
  <c r="BF38" i="40" s="1"/>
  <c r="BE34" i="40"/>
  <c r="BD34" i="40"/>
  <c r="BB34" i="40"/>
  <c r="AZ34" i="40"/>
  <c r="AX34" i="40"/>
  <c r="AV34" i="40"/>
  <c r="AT34" i="40"/>
  <c r="AR34" i="40"/>
  <c r="AP34" i="40"/>
  <c r="AN34" i="40"/>
  <c r="AN38" i="40" s="1"/>
  <c r="AM34" i="40"/>
  <c r="AL34" i="40"/>
  <c r="AL38" i="40" s="1"/>
  <c r="AK34" i="40"/>
  <c r="AJ34" i="40"/>
  <c r="AJ38" i="40" s="1"/>
  <c r="AI34" i="40"/>
  <c r="AH34" i="40"/>
  <c r="AH38" i="40" s="1"/>
  <c r="AG34" i="40"/>
  <c r="AF34" i="40"/>
  <c r="AD34" i="40"/>
  <c r="AD38" i="40" s="1"/>
  <c r="AC34" i="40"/>
  <c r="AB34" i="40"/>
  <c r="AB38" i="40" s="1"/>
  <c r="AA34" i="40"/>
  <c r="Z34" i="40"/>
  <c r="Z38" i="40" s="1"/>
  <c r="Y34" i="40"/>
  <c r="X34" i="40"/>
  <c r="Y38" i="40" s="1"/>
  <c r="BC33" i="40"/>
  <c r="BC35" i="40" s="1"/>
  <c r="BB33" i="40"/>
  <c r="BA33" i="40"/>
  <c r="BA35" i="40" s="1"/>
  <c r="AZ33" i="40"/>
  <c r="AY33" i="40"/>
  <c r="AX33" i="40"/>
  <c r="AW33" i="40"/>
  <c r="AW35" i="40" s="1"/>
  <c r="AV33" i="40"/>
  <c r="AU33" i="40"/>
  <c r="AU35" i="40" s="1"/>
  <c r="AT33" i="40"/>
  <c r="AS33" i="40"/>
  <c r="AS35" i="40" s="1"/>
  <c r="AR33" i="40"/>
  <c r="AQ33" i="40"/>
  <c r="AQ35" i="40" s="1"/>
  <c r="AO33" i="40"/>
  <c r="AO35" i="40" s="1"/>
  <c r="BC32" i="40"/>
  <c r="BC34" i="40" s="1"/>
  <c r="BC38" i="40" s="1"/>
  <c r="BB32" i="40"/>
  <c r="BA32" i="40"/>
  <c r="BA34" i="40" s="1"/>
  <c r="BA38" i="40" s="1"/>
  <c r="AZ32" i="40"/>
  <c r="AY32" i="40"/>
  <c r="AY34" i="40" s="1"/>
  <c r="AY38" i="40" s="1"/>
  <c r="AX32" i="40"/>
  <c r="AW32" i="40"/>
  <c r="AW34" i="40" s="1"/>
  <c r="AW38" i="40" s="1"/>
  <c r="AV32" i="40"/>
  <c r="AU32" i="40"/>
  <c r="AU34" i="40" s="1"/>
  <c r="AU38" i="40" s="1"/>
  <c r="AT32" i="40"/>
  <c r="AS32" i="40"/>
  <c r="AS34" i="40" s="1"/>
  <c r="AS38" i="40" s="1"/>
  <c r="AR32" i="40"/>
  <c r="AQ32" i="40"/>
  <c r="AQ34" i="40" s="1"/>
  <c r="AQ38" i="40" s="1"/>
  <c r="AP32" i="40"/>
  <c r="AO32" i="40"/>
  <c r="AO34" i="40" s="1"/>
  <c r="AO38" i="40" s="1"/>
  <c r="BH31" i="40"/>
  <c r="BG31" i="40"/>
  <c r="BG35" i="40" s="1"/>
  <c r="BA31" i="40"/>
  <c r="AY31" i="40"/>
  <c r="AY29" i="40" s="1"/>
  <c r="AY12" i="40" s="1"/>
  <c r="AX31" i="40"/>
  <c r="Z31" i="40"/>
  <c r="Z35" i="40" s="1"/>
  <c r="Z18" i="40" s="1"/>
  <c r="H31" i="40"/>
  <c r="I31" i="40" s="1"/>
  <c r="I35" i="40" s="1"/>
  <c r="F31" i="40"/>
  <c r="G31" i="40" s="1"/>
  <c r="G35" i="40" s="1"/>
  <c r="E31" i="40"/>
  <c r="E35" i="40" s="1"/>
  <c r="BG30" i="40"/>
  <c r="BG34" i="40" s="1"/>
  <c r="BG38" i="40" s="1"/>
  <c r="AY30" i="40"/>
  <c r="AE30" i="40"/>
  <c r="AE34" i="40" s="1"/>
  <c r="AE38" i="40" s="1"/>
  <c r="AD30" i="40"/>
  <c r="AB30" i="40"/>
  <c r="Z30" i="40"/>
  <c r="X30" i="40"/>
  <c r="F30" i="40"/>
  <c r="G30" i="40" s="1"/>
  <c r="G34" i="40" s="1"/>
  <c r="E30" i="40"/>
  <c r="E34" i="40" s="1"/>
  <c r="EJ29" i="40"/>
  <c r="EI29" i="40"/>
  <c r="EH29" i="40"/>
  <c r="EG29" i="40"/>
  <c r="EF29" i="40"/>
  <c r="EE29" i="40"/>
  <c r="ED29" i="40"/>
  <c r="EC29" i="40"/>
  <c r="EB29" i="40"/>
  <c r="EA29" i="40"/>
  <c r="DZ29" i="40"/>
  <c r="DY29" i="40"/>
  <c r="DX29" i="40"/>
  <c r="DW29" i="40"/>
  <c r="DV29" i="40"/>
  <c r="DU29" i="40"/>
  <c r="DT29" i="40"/>
  <c r="DS29" i="40"/>
  <c r="DR29" i="40"/>
  <c r="DQ29" i="40"/>
  <c r="DP29" i="40"/>
  <c r="DO29" i="40"/>
  <c r="DN29" i="40"/>
  <c r="DM29" i="40"/>
  <c r="DL29" i="40"/>
  <c r="DK29" i="40"/>
  <c r="DJ29" i="40"/>
  <c r="DI29" i="40"/>
  <c r="DH29" i="40"/>
  <c r="DG29" i="40"/>
  <c r="DF29" i="40"/>
  <c r="DE29" i="40"/>
  <c r="DD29" i="40"/>
  <c r="DC29" i="40"/>
  <c r="DB29" i="40"/>
  <c r="DA29" i="40"/>
  <c r="CZ29" i="40"/>
  <c r="CY29" i="40"/>
  <c r="CX29" i="40"/>
  <c r="CW29" i="40"/>
  <c r="CV29" i="40"/>
  <c r="CU29" i="40"/>
  <c r="CT29" i="40"/>
  <c r="CS29" i="40"/>
  <c r="CR29" i="40"/>
  <c r="CQ29" i="40"/>
  <c r="CP29" i="40"/>
  <c r="CO29" i="40"/>
  <c r="CN29" i="40"/>
  <c r="CM29" i="40"/>
  <c r="CL29" i="40"/>
  <c r="CK29" i="40"/>
  <c r="CJ29" i="40"/>
  <c r="CI29" i="40"/>
  <c r="CH29" i="40"/>
  <c r="CG29" i="40"/>
  <c r="CF29" i="40"/>
  <c r="CE29" i="40"/>
  <c r="CD29" i="40"/>
  <c r="CC29" i="40"/>
  <c r="CB29" i="40"/>
  <c r="CA29" i="40"/>
  <c r="BZ29" i="40"/>
  <c r="BY29" i="40"/>
  <c r="BX29" i="40"/>
  <c r="BW29" i="40"/>
  <c r="BV29" i="40"/>
  <c r="BU29" i="40"/>
  <c r="BT29" i="40"/>
  <c r="BS29" i="40"/>
  <c r="BR29" i="40"/>
  <c r="BQ29" i="40"/>
  <c r="BP29" i="40"/>
  <c r="BO29" i="40"/>
  <c r="BN29" i="40"/>
  <c r="BM29" i="40"/>
  <c r="BL29" i="40"/>
  <c r="BK29" i="40"/>
  <c r="BJ29" i="40"/>
  <c r="BI29" i="40"/>
  <c r="BH29" i="40"/>
  <c r="BF29" i="40"/>
  <c r="BE29" i="40"/>
  <c r="BD29" i="40"/>
  <c r="BC29" i="40"/>
  <c r="BB29" i="40"/>
  <c r="BA29" i="40"/>
  <c r="AZ29" i="40"/>
  <c r="AX29" i="40"/>
  <c r="AW29" i="40"/>
  <c r="AV29" i="40"/>
  <c r="AU29" i="40"/>
  <c r="AT29" i="40"/>
  <c r="AS29" i="40"/>
  <c r="AR29" i="40"/>
  <c r="AQ29" i="40"/>
  <c r="AP29" i="40"/>
  <c r="AO29" i="40"/>
  <c r="AN29" i="40"/>
  <c r="AM29" i="40"/>
  <c r="AL29" i="40"/>
  <c r="AK29" i="40"/>
  <c r="AJ29" i="40"/>
  <c r="AI29" i="40"/>
  <c r="AH29" i="40"/>
  <c r="AG29" i="40"/>
  <c r="AF29" i="40"/>
  <c r="AE29" i="40"/>
  <c r="AD29" i="40"/>
  <c r="AC29" i="40"/>
  <c r="AB29" i="40"/>
  <c r="Z29" i="40"/>
  <c r="Y29" i="40"/>
  <c r="I29" i="40"/>
  <c r="G29" i="40"/>
  <c r="F29" i="40"/>
  <c r="E29" i="40"/>
  <c r="EJ28" i="40"/>
  <c r="EI28" i="40"/>
  <c r="EH28" i="40"/>
  <c r="EG28" i="40"/>
  <c r="EF28" i="40"/>
  <c r="EE28" i="40"/>
  <c r="ED28" i="40"/>
  <c r="EC28" i="40"/>
  <c r="EB28" i="40"/>
  <c r="EA28" i="40"/>
  <c r="DZ28" i="40"/>
  <c r="DY28" i="40"/>
  <c r="DX28" i="40"/>
  <c r="DW28" i="40"/>
  <c r="DV28" i="40"/>
  <c r="DU28" i="40"/>
  <c r="DT28" i="40"/>
  <c r="DS28" i="40"/>
  <c r="DR28" i="40"/>
  <c r="DQ28" i="40"/>
  <c r="DP28" i="40"/>
  <c r="DO28" i="40"/>
  <c r="DN28" i="40"/>
  <c r="DM28" i="40"/>
  <c r="DL28" i="40"/>
  <c r="DK28" i="40"/>
  <c r="DJ28" i="40"/>
  <c r="DI28" i="40"/>
  <c r="DH28" i="40"/>
  <c r="DG28" i="40"/>
  <c r="DF28" i="40"/>
  <c r="DE28" i="40"/>
  <c r="DD28" i="40"/>
  <c r="DC28" i="40"/>
  <c r="DB28" i="40"/>
  <c r="DA28" i="40"/>
  <c r="CZ28" i="40"/>
  <c r="CY28" i="40"/>
  <c r="CX28" i="40"/>
  <c r="CW28" i="40"/>
  <c r="CV28" i="40"/>
  <c r="CU28" i="40"/>
  <c r="CT28" i="40"/>
  <c r="CS28" i="40"/>
  <c r="CR28" i="40"/>
  <c r="CQ28" i="40"/>
  <c r="CP28" i="40"/>
  <c r="CO28" i="40"/>
  <c r="CN28" i="40"/>
  <c r="CM28" i="40"/>
  <c r="CL28" i="40"/>
  <c r="CK28" i="40"/>
  <c r="CJ28" i="40"/>
  <c r="CI28" i="40"/>
  <c r="CH28" i="40"/>
  <c r="CG28" i="40"/>
  <c r="CF28" i="40"/>
  <c r="CE28" i="40"/>
  <c r="CD28" i="40"/>
  <c r="CC28" i="40"/>
  <c r="CB28" i="40"/>
  <c r="CA28" i="40"/>
  <c r="BZ28" i="40"/>
  <c r="BY28" i="40"/>
  <c r="BX28" i="40"/>
  <c r="BW28" i="40"/>
  <c r="BV28" i="40"/>
  <c r="BU28" i="40"/>
  <c r="BT28" i="40"/>
  <c r="BS28" i="40"/>
  <c r="BR28" i="40"/>
  <c r="BQ28" i="40"/>
  <c r="BP28" i="40"/>
  <c r="BO28" i="40"/>
  <c r="BN28" i="40"/>
  <c r="BM28" i="40"/>
  <c r="BL28" i="40"/>
  <c r="BK28" i="40"/>
  <c r="BJ28" i="40"/>
  <c r="BI28" i="40"/>
  <c r="BH28" i="40"/>
  <c r="BG28" i="40"/>
  <c r="BF28" i="40"/>
  <c r="BE28" i="40"/>
  <c r="BD28" i="40"/>
  <c r="BC28" i="40"/>
  <c r="BB28" i="40"/>
  <c r="BA28" i="40"/>
  <c r="AZ28" i="40"/>
  <c r="AY28" i="40"/>
  <c r="AX28" i="40"/>
  <c r="AW28" i="40"/>
  <c r="AV28" i="40"/>
  <c r="AU28" i="40"/>
  <c r="AT28" i="40"/>
  <c r="AS28" i="40"/>
  <c r="AR28" i="40"/>
  <c r="AQ28" i="40"/>
  <c r="AP28" i="40"/>
  <c r="AO28" i="40"/>
  <c r="AN28" i="40"/>
  <c r="AM28" i="40"/>
  <c r="AL28" i="40"/>
  <c r="AK28" i="40"/>
  <c r="AJ28" i="40"/>
  <c r="AI28" i="40"/>
  <c r="AH28" i="40"/>
  <c r="AG28" i="40"/>
  <c r="AF28" i="40"/>
  <c r="AE28" i="40"/>
  <c r="AD28" i="40"/>
  <c r="AC28" i="40"/>
  <c r="AB28" i="40"/>
  <c r="AA28" i="40"/>
  <c r="Z28" i="40"/>
  <c r="Y28" i="40"/>
  <c r="F28" i="40"/>
  <c r="E28" i="40"/>
  <c r="W26" i="40"/>
  <c r="U26" i="40"/>
  <c r="T23" i="40"/>
  <c r="T22" i="40"/>
  <c r="E21" i="40"/>
  <c r="EJ20" i="40"/>
  <c r="EI20" i="40"/>
  <c r="EH20" i="40"/>
  <c r="EG20" i="40"/>
  <c r="EF20" i="40"/>
  <c r="EE20" i="40"/>
  <c r="ED20" i="40"/>
  <c r="EC20" i="40"/>
  <c r="EB20" i="40"/>
  <c r="EA20" i="40"/>
  <c r="DZ20" i="40"/>
  <c r="DY20" i="40"/>
  <c r="DX20" i="40"/>
  <c r="DW20" i="40"/>
  <c r="DV20" i="40"/>
  <c r="DU20" i="40"/>
  <c r="DT20" i="40"/>
  <c r="DS20" i="40"/>
  <c r="DR20" i="40"/>
  <c r="DQ20" i="40"/>
  <c r="DP20" i="40"/>
  <c r="DO20" i="40"/>
  <c r="DN20" i="40"/>
  <c r="DM20" i="40"/>
  <c r="DL20" i="40"/>
  <c r="DK20" i="40"/>
  <c r="DJ20" i="40"/>
  <c r="DI20" i="40"/>
  <c r="DH20" i="40"/>
  <c r="DG20" i="40"/>
  <c r="DF20" i="40"/>
  <c r="DE20" i="40"/>
  <c r="DD20" i="40"/>
  <c r="DC20" i="40"/>
  <c r="DB20" i="40"/>
  <c r="DA20" i="40"/>
  <c r="CZ20" i="40"/>
  <c r="CY20" i="40"/>
  <c r="CX20" i="40"/>
  <c r="CW20" i="40"/>
  <c r="CV20" i="40"/>
  <c r="CU20" i="40"/>
  <c r="CT20" i="40"/>
  <c r="CS20" i="40"/>
  <c r="CR20" i="40"/>
  <c r="CQ20" i="40"/>
  <c r="CP20" i="40"/>
  <c r="CO20" i="40"/>
  <c r="CN20" i="40"/>
  <c r="CM20" i="40"/>
  <c r="CL20" i="40"/>
  <c r="CK20" i="40"/>
  <c r="CJ20" i="40"/>
  <c r="CI20" i="40"/>
  <c r="CH20" i="40"/>
  <c r="CG20" i="40"/>
  <c r="CF20" i="40"/>
  <c r="CE20" i="40"/>
  <c r="CD20" i="40"/>
  <c r="CC20" i="40"/>
  <c r="CB20" i="40"/>
  <c r="CA20" i="40"/>
  <c r="BZ20" i="40"/>
  <c r="BY20" i="40"/>
  <c r="BX20" i="40"/>
  <c r="BW20" i="40"/>
  <c r="BV20" i="40"/>
  <c r="BU20" i="40"/>
  <c r="BT20" i="40"/>
  <c r="BS20" i="40"/>
  <c r="BR20" i="40"/>
  <c r="BQ20" i="40"/>
  <c r="BP20" i="40"/>
  <c r="BO20" i="40"/>
  <c r="BN20" i="40"/>
  <c r="BM20" i="40"/>
  <c r="BL20" i="40"/>
  <c r="BK20" i="40"/>
  <c r="BJ20" i="40"/>
  <c r="BI20" i="40"/>
  <c r="BH20" i="40"/>
  <c r="BG20" i="40"/>
  <c r="BF20" i="40"/>
  <c r="BE20" i="40"/>
  <c r="BD20" i="40"/>
  <c r="BC20" i="40"/>
  <c r="BB20" i="40"/>
  <c r="BA20" i="40"/>
  <c r="AZ20" i="40"/>
  <c r="AY20" i="40"/>
  <c r="AX20" i="40"/>
  <c r="AW20" i="40"/>
  <c r="AV20" i="40"/>
  <c r="AU20" i="40"/>
  <c r="AT20" i="40"/>
  <c r="AS20" i="40"/>
  <c r="AR20" i="40"/>
  <c r="AQ20" i="40"/>
  <c r="AP20" i="40"/>
  <c r="AO20" i="40"/>
  <c r="AN20" i="40"/>
  <c r="AM20" i="40"/>
  <c r="AL20" i="40"/>
  <c r="AK20" i="40"/>
  <c r="AJ20" i="40"/>
  <c r="AI20" i="40"/>
  <c r="AH20" i="40"/>
  <c r="AG20" i="40"/>
  <c r="AF20" i="40"/>
  <c r="AE20" i="40"/>
  <c r="AD20" i="40"/>
  <c r="AC20" i="40"/>
  <c r="AB20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EJ19" i="40"/>
  <c r="EI19" i="40"/>
  <c r="EH19" i="40"/>
  <c r="EG19" i="40"/>
  <c r="EF19" i="40"/>
  <c r="EE19" i="40"/>
  <c r="ED19" i="40"/>
  <c r="EC19" i="40"/>
  <c r="EB19" i="40"/>
  <c r="EA19" i="40"/>
  <c r="DZ19" i="40"/>
  <c r="DY19" i="40"/>
  <c r="DX19" i="40"/>
  <c r="DW19" i="40"/>
  <c r="DV19" i="40"/>
  <c r="DU19" i="40"/>
  <c r="DT19" i="40"/>
  <c r="DS19" i="40"/>
  <c r="DR19" i="40"/>
  <c r="DQ19" i="40"/>
  <c r="DP19" i="40"/>
  <c r="DO19" i="40"/>
  <c r="DN19" i="40"/>
  <c r="DM19" i="40"/>
  <c r="DL19" i="40"/>
  <c r="DK19" i="40"/>
  <c r="DJ19" i="40"/>
  <c r="DI19" i="40"/>
  <c r="DH19" i="40"/>
  <c r="DG19" i="40"/>
  <c r="DF19" i="40"/>
  <c r="DE19" i="40"/>
  <c r="DD19" i="40"/>
  <c r="DC19" i="40"/>
  <c r="DB19" i="40"/>
  <c r="DA19" i="40"/>
  <c r="CZ19" i="40"/>
  <c r="CY19" i="40"/>
  <c r="CX19" i="40"/>
  <c r="CW19" i="40"/>
  <c r="CV19" i="40"/>
  <c r="CU19" i="40"/>
  <c r="CT19" i="40"/>
  <c r="CS19" i="40"/>
  <c r="CR19" i="40"/>
  <c r="CQ19" i="40"/>
  <c r="CP19" i="40"/>
  <c r="CO19" i="40"/>
  <c r="CN19" i="40"/>
  <c r="CM19" i="40"/>
  <c r="CL19" i="40"/>
  <c r="CK19" i="40"/>
  <c r="CJ19" i="40"/>
  <c r="CI19" i="40"/>
  <c r="CH19" i="40"/>
  <c r="CG19" i="40"/>
  <c r="CF19" i="40"/>
  <c r="CE19" i="40"/>
  <c r="CD19" i="40"/>
  <c r="CC19" i="40"/>
  <c r="CB19" i="40"/>
  <c r="CA19" i="40"/>
  <c r="BZ19" i="40"/>
  <c r="BY19" i="40"/>
  <c r="BX19" i="40"/>
  <c r="BW19" i="40"/>
  <c r="BV19" i="40"/>
  <c r="BU19" i="40"/>
  <c r="BT19" i="40"/>
  <c r="BS19" i="40"/>
  <c r="BR19" i="40"/>
  <c r="BQ19" i="40"/>
  <c r="BP19" i="40"/>
  <c r="BO19" i="40"/>
  <c r="BN19" i="40"/>
  <c r="BM19" i="40"/>
  <c r="BL19" i="40"/>
  <c r="BK19" i="40"/>
  <c r="BJ19" i="40"/>
  <c r="BI19" i="40"/>
  <c r="BH19" i="40"/>
  <c r="BG19" i="40"/>
  <c r="BF19" i="40"/>
  <c r="BE19" i="40"/>
  <c r="BD19" i="40"/>
  <c r="BC19" i="40"/>
  <c r="BB19" i="40"/>
  <c r="BA19" i="40"/>
  <c r="AZ19" i="40"/>
  <c r="AY19" i="40"/>
  <c r="AX19" i="40"/>
  <c r="AW19" i="40"/>
  <c r="AV19" i="40"/>
  <c r="AU19" i="40"/>
  <c r="AT19" i="40"/>
  <c r="AS19" i="40"/>
  <c r="AR19" i="40"/>
  <c r="AQ19" i="40"/>
  <c r="AP19" i="40"/>
  <c r="AO19" i="40"/>
  <c r="AN19" i="40"/>
  <c r="AM19" i="40"/>
  <c r="AL19" i="40"/>
  <c r="AK19" i="40"/>
  <c r="AJ19" i="40"/>
  <c r="AI19" i="40"/>
  <c r="AH19" i="40"/>
  <c r="AG19" i="40"/>
  <c r="AF19" i="40"/>
  <c r="AE19" i="40"/>
  <c r="AD19" i="40"/>
  <c r="AC19" i="40"/>
  <c r="AB19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EJ18" i="40"/>
  <c r="EI18" i="40"/>
  <c r="EH18" i="40"/>
  <c r="EG18" i="40"/>
  <c r="EF18" i="40"/>
  <c r="EE18" i="40"/>
  <c r="ED18" i="40"/>
  <c r="EC18" i="40"/>
  <c r="EB18" i="40"/>
  <c r="EA18" i="40"/>
  <c r="DZ18" i="40"/>
  <c r="DY18" i="40"/>
  <c r="DX18" i="40"/>
  <c r="DW18" i="40"/>
  <c r="DV18" i="40"/>
  <c r="DU18" i="40"/>
  <c r="DT18" i="40"/>
  <c r="DS18" i="40"/>
  <c r="DR18" i="40"/>
  <c r="DQ18" i="40"/>
  <c r="DP18" i="40"/>
  <c r="DO18" i="40"/>
  <c r="DN18" i="40"/>
  <c r="DM18" i="40"/>
  <c r="DL18" i="40"/>
  <c r="DK18" i="40"/>
  <c r="DJ18" i="40"/>
  <c r="DI18" i="40"/>
  <c r="DH18" i="40"/>
  <c r="DG18" i="40"/>
  <c r="DF18" i="40"/>
  <c r="DE18" i="40"/>
  <c r="DD18" i="40"/>
  <c r="DC18" i="40"/>
  <c r="DB18" i="40"/>
  <c r="DA18" i="40"/>
  <c r="CZ18" i="40"/>
  <c r="CY18" i="40"/>
  <c r="CX18" i="40"/>
  <c r="CW18" i="40"/>
  <c r="CV18" i="40"/>
  <c r="CU18" i="40"/>
  <c r="CT18" i="40"/>
  <c r="CS18" i="40"/>
  <c r="CR18" i="40"/>
  <c r="CQ18" i="40"/>
  <c r="CP18" i="40"/>
  <c r="CO18" i="40"/>
  <c r="CN18" i="40"/>
  <c r="CM18" i="40"/>
  <c r="CL18" i="40"/>
  <c r="CK18" i="40"/>
  <c r="CJ18" i="40"/>
  <c r="CI18" i="40"/>
  <c r="CH18" i="40"/>
  <c r="CG18" i="40"/>
  <c r="CF18" i="40"/>
  <c r="CE18" i="40"/>
  <c r="CD18" i="40"/>
  <c r="CC18" i="40"/>
  <c r="CB18" i="40"/>
  <c r="CA18" i="40"/>
  <c r="BZ18" i="40"/>
  <c r="BY18" i="40"/>
  <c r="BX18" i="40"/>
  <c r="BW18" i="40"/>
  <c r="BV18" i="40"/>
  <c r="BU18" i="40"/>
  <c r="BT18" i="40"/>
  <c r="BS18" i="40"/>
  <c r="BR18" i="40"/>
  <c r="BQ18" i="40"/>
  <c r="BP18" i="40"/>
  <c r="BO18" i="40"/>
  <c r="BN18" i="40"/>
  <c r="BM18" i="40"/>
  <c r="BL18" i="40"/>
  <c r="BK18" i="40"/>
  <c r="BJ18" i="40"/>
  <c r="BI18" i="40"/>
  <c r="BH18" i="40"/>
  <c r="BG18" i="40"/>
  <c r="BF18" i="40"/>
  <c r="BE18" i="40"/>
  <c r="BD18" i="40"/>
  <c r="BC18" i="40"/>
  <c r="BB18" i="40"/>
  <c r="BA18" i="40"/>
  <c r="AZ18" i="40"/>
  <c r="AX18" i="40"/>
  <c r="AW18" i="40"/>
  <c r="AV18" i="40"/>
  <c r="AU18" i="40"/>
  <c r="AT18" i="40"/>
  <c r="AS18" i="40"/>
  <c r="AR18" i="40"/>
  <c r="AQ18" i="40"/>
  <c r="AP18" i="40"/>
  <c r="AO18" i="40"/>
  <c r="AN18" i="40"/>
  <c r="AM18" i="40"/>
  <c r="AL18" i="40"/>
  <c r="AK18" i="40"/>
  <c r="AJ18" i="40"/>
  <c r="AI18" i="40"/>
  <c r="AH18" i="40"/>
  <c r="AG18" i="40"/>
  <c r="AF18" i="40"/>
  <c r="AE18" i="40"/>
  <c r="AD18" i="40"/>
  <c r="AC18" i="40"/>
  <c r="AB18" i="40"/>
  <c r="AA18" i="40"/>
  <c r="Y18" i="40"/>
  <c r="X18" i="40"/>
  <c r="I18" i="40"/>
  <c r="G18" i="40"/>
  <c r="E18" i="40"/>
  <c r="EI17" i="40"/>
  <c r="EG17" i="40"/>
  <c r="EE17" i="40"/>
  <c r="EC17" i="40"/>
  <c r="EA17" i="40"/>
  <c r="DY17" i="40"/>
  <c r="DW17" i="40"/>
  <c r="DU17" i="40"/>
  <c r="DS17" i="40"/>
  <c r="DQ17" i="40"/>
  <c r="DO17" i="40"/>
  <c r="DM17" i="40"/>
  <c r="DK17" i="40"/>
  <c r="DI17" i="40"/>
  <c r="DG17" i="40"/>
  <c r="DE17" i="40"/>
  <c r="DC17" i="40"/>
  <c r="DA17" i="40"/>
  <c r="CY17" i="40"/>
  <c r="CW17" i="40"/>
  <c r="CU17" i="40"/>
  <c r="CS17" i="40"/>
  <c r="CQ17" i="40"/>
  <c r="CO17" i="40"/>
  <c r="CM17" i="40"/>
  <c r="CK17" i="40"/>
  <c r="CI17" i="40"/>
  <c r="CG17" i="40"/>
  <c r="CE17" i="40"/>
  <c r="CC17" i="40"/>
  <c r="CA17" i="40"/>
  <c r="BY17" i="40"/>
  <c r="BW17" i="40"/>
  <c r="BU17" i="40"/>
  <c r="BS17" i="40"/>
  <c r="BQ17" i="40"/>
  <c r="BO17" i="40"/>
  <c r="BM17" i="40"/>
  <c r="BK17" i="40"/>
  <c r="BI17" i="40"/>
  <c r="BG17" i="40"/>
  <c r="BE17" i="40"/>
  <c r="BC17" i="40"/>
  <c r="BA17" i="40"/>
  <c r="AY17" i="40"/>
  <c r="AW17" i="40"/>
  <c r="AU17" i="40"/>
  <c r="AS17" i="40"/>
  <c r="AQ17" i="40"/>
  <c r="AO17" i="40"/>
  <c r="AM17" i="40"/>
  <c r="AK17" i="40"/>
  <c r="AI17" i="40"/>
  <c r="AG17" i="40"/>
  <c r="AE17" i="40"/>
  <c r="AC17" i="40"/>
  <c r="AA17" i="40"/>
  <c r="Y17" i="40"/>
  <c r="X17" i="40"/>
  <c r="G17" i="40"/>
  <c r="E17" i="40"/>
  <c r="EJ16" i="40"/>
  <c r="EI16" i="40"/>
  <c r="EH16" i="40"/>
  <c r="EG16" i="40"/>
  <c r="EF16" i="40"/>
  <c r="EE16" i="40"/>
  <c r="ED16" i="40"/>
  <c r="EC16" i="40"/>
  <c r="EB16" i="40"/>
  <c r="EA16" i="40"/>
  <c r="DZ16" i="40"/>
  <c r="DY16" i="40"/>
  <c r="DX16" i="40"/>
  <c r="DW16" i="40"/>
  <c r="DV16" i="40"/>
  <c r="DU16" i="40"/>
  <c r="DT16" i="40"/>
  <c r="DS16" i="40"/>
  <c r="DR16" i="40"/>
  <c r="DQ16" i="40"/>
  <c r="DP16" i="40"/>
  <c r="DO16" i="40"/>
  <c r="DN16" i="40"/>
  <c r="DM16" i="40"/>
  <c r="DL16" i="40"/>
  <c r="DK16" i="40"/>
  <c r="DJ16" i="40"/>
  <c r="DI16" i="40"/>
  <c r="DH16" i="40"/>
  <c r="DG16" i="40"/>
  <c r="DF16" i="40"/>
  <c r="DE16" i="40"/>
  <c r="DD16" i="40"/>
  <c r="DC16" i="40"/>
  <c r="DB16" i="40"/>
  <c r="DA16" i="40"/>
  <c r="CZ16" i="40"/>
  <c r="CY16" i="40"/>
  <c r="CX16" i="40"/>
  <c r="CW16" i="40"/>
  <c r="CV16" i="40"/>
  <c r="CU16" i="40"/>
  <c r="CT16" i="40"/>
  <c r="CS16" i="40"/>
  <c r="CR16" i="40"/>
  <c r="CQ16" i="40"/>
  <c r="CP16" i="40"/>
  <c r="CO16" i="40"/>
  <c r="CN16" i="40"/>
  <c r="CM16" i="40"/>
  <c r="CL16" i="40"/>
  <c r="CK16" i="40"/>
  <c r="CJ16" i="40"/>
  <c r="CI16" i="40"/>
  <c r="CH16" i="40"/>
  <c r="CG16" i="40"/>
  <c r="CF16" i="40"/>
  <c r="CE16" i="40"/>
  <c r="CD16" i="40"/>
  <c r="CC16" i="40"/>
  <c r="CB16" i="40"/>
  <c r="CA16" i="40"/>
  <c r="BZ16" i="40"/>
  <c r="BY16" i="40"/>
  <c r="BX16" i="40"/>
  <c r="BW16" i="40"/>
  <c r="BV16" i="40"/>
  <c r="BU16" i="40"/>
  <c r="BT16" i="40"/>
  <c r="BS16" i="40"/>
  <c r="BR16" i="40"/>
  <c r="BQ16" i="40"/>
  <c r="BP16" i="40"/>
  <c r="BO16" i="40"/>
  <c r="BN16" i="40"/>
  <c r="BM16" i="40"/>
  <c r="BL16" i="40"/>
  <c r="BK16" i="40"/>
  <c r="BJ16" i="40"/>
  <c r="BI16" i="40"/>
  <c r="BH16" i="40"/>
  <c r="BG16" i="40"/>
  <c r="BF16" i="40"/>
  <c r="BE16" i="40"/>
  <c r="BD16" i="40"/>
  <c r="BC16" i="40"/>
  <c r="BB16" i="40"/>
  <c r="BA16" i="40"/>
  <c r="AZ16" i="40"/>
  <c r="AY16" i="40"/>
  <c r="AX16" i="40"/>
  <c r="AW16" i="40"/>
  <c r="AV16" i="40"/>
  <c r="AU16" i="40"/>
  <c r="AT16" i="40"/>
  <c r="AS16" i="40"/>
  <c r="AR16" i="40"/>
  <c r="AQ16" i="40"/>
  <c r="AP16" i="40"/>
  <c r="AO16" i="40"/>
  <c r="AN16" i="40"/>
  <c r="AM16" i="40"/>
  <c r="AL16" i="40"/>
  <c r="AK16" i="40"/>
  <c r="AJ16" i="40"/>
  <c r="AI16" i="40"/>
  <c r="AH16" i="40"/>
  <c r="AG16" i="40"/>
  <c r="AF16" i="40"/>
  <c r="AE16" i="40"/>
  <c r="AD16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EJ15" i="40"/>
  <c r="EI15" i="40"/>
  <c r="EH15" i="40"/>
  <c r="EG15" i="40"/>
  <c r="EF15" i="40"/>
  <c r="EE15" i="40"/>
  <c r="ED15" i="40"/>
  <c r="EC15" i="40"/>
  <c r="EB15" i="40"/>
  <c r="EA15" i="40"/>
  <c r="DZ15" i="40"/>
  <c r="DY15" i="40"/>
  <c r="DX15" i="40"/>
  <c r="DW15" i="40"/>
  <c r="DV15" i="40"/>
  <c r="DU15" i="40"/>
  <c r="DT15" i="40"/>
  <c r="DS15" i="40"/>
  <c r="DR15" i="40"/>
  <c r="DQ15" i="40"/>
  <c r="DP15" i="40"/>
  <c r="DO15" i="40"/>
  <c r="DN15" i="40"/>
  <c r="DM15" i="40"/>
  <c r="DL15" i="40"/>
  <c r="DK15" i="40"/>
  <c r="DJ15" i="40"/>
  <c r="DI15" i="40"/>
  <c r="DH15" i="40"/>
  <c r="DG15" i="40"/>
  <c r="DF15" i="40"/>
  <c r="DE15" i="40"/>
  <c r="DD15" i="40"/>
  <c r="DC15" i="40"/>
  <c r="DB15" i="40"/>
  <c r="DA15" i="40"/>
  <c r="CZ15" i="40"/>
  <c r="CY15" i="40"/>
  <c r="CX15" i="40"/>
  <c r="CW15" i="40"/>
  <c r="CV15" i="40"/>
  <c r="CU15" i="40"/>
  <c r="CT15" i="40"/>
  <c r="CS15" i="40"/>
  <c r="CR15" i="40"/>
  <c r="CQ15" i="40"/>
  <c r="CP15" i="40"/>
  <c r="CO15" i="40"/>
  <c r="CN15" i="40"/>
  <c r="CM15" i="40"/>
  <c r="CL15" i="40"/>
  <c r="CK15" i="40"/>
  <c r="CJ15" i="40"/>
  <c r="CI15" i="40"/>
  <c r="CH15" i="40"/>
  <c r="CG15" i="40"/>
  <c r="CF15" i="40"/>
  <c r="CE15" i="40"/>
  <c r="CD15" i="40"/>
  <c r="CC15" i="40"/>
  <c r="CB15" i="40"/>
  <c r="CA15" i="40"/>
  <c r="BZ15" i="40"/>
  <c r="BY15" i="40"/>
  <c r="BX15" i="40"/>
  <c r="BW15" i="40"/>
  <c r="BV15" i="40"/>
  <c r="BU15" i="40"/>
  <c r="BT15" i="40"/>
  <c r="BS15" i="40"/>
  <c r="BR15" i="40"/>
  <c r="BQ15" i="40"/>
  <c r="BP15" i="40"/>
  <c r="BO15" i="40"/>
  <c r="BN15" i="40"/>
  <c r="BM15" i="40"/>
  <c r="BL15" i="40"/>
  <c r="BK15" i="40"/>
  <c r="BJ15" i="40"/>
  <c r="BI15" i="40"/>
  <c r="BH15" i="40"/>
  <c r="BG15" i="40"/>
  <c r="BF15" i="40"/>
  <c r="BE15" i="40"/>
  <c r="BD15" i="40"/>
  <c r="BC15" i="40"/>
  <c r="BB15" i="40"/>
  <c r="BA15" i="40"/>
  <c r="AZ15" i="40"/>
  <c r="AY15" i="40"/>
  <c r="AX15" i="40"/>
  <c r="AW15" i="40"/>
  <c r="AV15" i="40"/>
  <c r="AU15" i="40"/>
  <c r="AT15" i="40"/>
  <c r="AS15" i="40"/>
  <c r="AR15" i="40"/>
  <c r="AQ15" i="40"/>
  <c r="AP15" i="40"/>
  <c r="AO15" i="40"/>
  <c r="AN15" i="40"/>
  <c r="AM15" i="40"/>
  <c r="AL15" i="40"/>
  <c r="AK15" i="40"/>
  <c r="AJ15" i="40"/>
  <c r="AI15" i="40"/>
  <c r="AH15" i="40"/>
  <c r="AG15" i="40"/>
  <c r="AF15" i="40"/>
  <c r="AE15" i="40"/>
  <c r="AD15" i="40"/>
  <c r="AC15" i="40"/>
  <c r="AB15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EJ14" i="40"/>
  <c r="EI14" i="40"/>
  <c r="EH14" i="40"/>
  <c r="EG14" i="40"/>
  <c r="EF14" i="40"/>
  <c r="EE14" i="40"/>
  <c r="ED14" i="40"/>
  <c r="EC14" i="40"/>
  <c r="EB14" i="40"/>
  <c r="EA14" i="40"/>
  <c r="DZ14" i="40"/>
  <c r="DY14" i="40"/>
  <c r="DX14" i="40"/>
  <c r="DW14" i="40"/>
  <c r="DV14" i="40"/>
  <c r="DU14" i="40"/>
  <c r="DT14" i="40"/>
  <c r="DS14" i="40"/>
  <c r="DR14" i="40"/>
  <c r="DQ14" i="40"/>
  <c r="DP14" i="40"/>
  <c r="DO14" i="40"/>
  <c r="DN14" i="40"/>
  <c r="DM14" i="40"/>
  <c r="DL14" i="40"/>
  <c r="DK14" i="40"/>
  <c r="DJ14" i="40"/>
  <c r="DI14" i="40"/>
  <c r="DH14" i="40"/>
  <c r="DG14" i="40"/>
  <c r="DF14" i="40"/>
  <c r="DE14" i="40"/>
  <c r="DD14" i="40"/>
  <c r="DC14" i="40"/>
  <c r="DB14" i="40"/>
  <c r="DA14" i="40"/>
  <c r="CZ14" i="40"/>
  <c r="CY14" i="40"/>
  <c r="CX14" i="40"/>
  <c r="CW14" i="40"/>
  <c r="CV14" i="40"/>
  <c r="CU14" i="40"/>
  <c r="CT14" i="40"/>
  <c r="CS14" i="40"/>
  <c r="CR14" i="40"/>
  <c r="CQ14" i="40"/>
  <c r="CP14" i="40"/>
  <c r="CO14" i="40"/>
  <c r="CN14" i="40"/>
  <c r="CM14" i="40"/>
  <c r="CL14" i="40"/>
  <c r="CK14" i="40"/>
  <c r="CJ14" i="40"/>
  <c r="CI14" i="40"/>
  <c r="CH14" i="40"/>
  <c r="CG14" i="40"/>
  <c r="CF14" i="40"/>
  <c r="CE14" i="40"/>
  <c r="CD14" i="40"/>
  <c r="CC14" i="40"/>
  <c r="CB14" i="40"/>
  <c r="CA14" i="40"/>
  <c r="BZ14" i="40"/>
  <c r="BY14" i="40"/>
  <c r="BX14" i="40"/>
  <c r="BW14" i="40"/>
  <c r="BV14" i="40"/>
  <c r="BU14" i="40"/>
  <c r="BT14" i="40"/>
  <c r="BS14" i="40"/>
  <c r="BR14" i="40"/>
  <c r="BQ14" i="40"/>
  <c r="BP14" i="40"/>
  <c r="BO14" i="40"/>
  <c r="BN14" i="40"/>
  <c r="BM14" i="40"/>
  <c r="BL14" i="40"/>
  <c r="BK14" i="40"/>
  <c r="BJ14" i="40"/>
  <c r="BI14" i="40"/>
  <c r="BH14" i="40"/>
  <c r="BG14" i="40"/>
  <c r="BF14" i="40"/>
  <c r="BE14" i="40"/>
  <c r="BD14" i="40"/>
  <c r="BC14" i="40"/>
  <c r="BB14" i="40"/>
  <c r="BA14" i="40"/>
  <c r="AZ14" i="40"/>
  <c r="AY14" i="40"/>
  <c r="AX14" i="40"/>
  <c r="AW14" i="40"/>
  <c r="AV14" i="40"/>
  <c r="AU14" i="40"/>
  <c r="AT14" i="40"/>
  <c r="AS14" i="40"/>
  <c r="AR14" i="40"/>
  <c r="AQ14" i="40"/>
  <c r="AP14" i="40"/>
  <c r="AO14" i="40"/>
  <c r="AN14" i="40"/>
  <c r="AM14" i="40"/>
  <c r="AL14" i="40"/>
  <c r="AK14" i="40"/>
  <c r="AJ14" i="40"/>
  <c r="AI14" i="40"/>
  <c r="AH14" i="40"/>
  <c r="AG14" i="40"/>
  <c r="AF14" i="40"/>
  <c r="AE14" i="40"/>
  <c r="AD14" i="40"/>
  <c r="AC14" i="40"/>
  <c r="AB14" i="40"/>
  <c r="AA14" i="40"/>
  <c r="Z14" i="40"/>
  <c r="Y14" i="40"/>
  <c r="X14" i="40"/>
  <c r="I14" i="40"/>
  <c r="H14" i="40"/>
  <c r="G14" i="40"/>
  <c r="F14" i="40"/>
  <c r="E14" i="40"/>
  <c r="EJ13" i="40"/>
  <c r="EI13" i="40"/>
  <c r="EH13" i="40"/>
  <c r="EG13" i="40"/>
  <c r="EF13" i="40"/>
  <c r="EE13" i="40"/>
  <c r="ED13" i="40"/>
  <c r="EC13" i="40"/>
  <c r="EB13" i="40"/>
  <c r="EA13" i="40"/>
  <c r="DZ13" i="40"/>
  <c r="DY13" i="40"/>
  <c r="DX13" i="40"/>
  <c r="DW13" i="40"/>
  <c r="DV13" i="40"/>
  <c r="DU13" i="40"/>
  <c r="DT13" i="40"/>
  <c r="DS13" i="40"/>
  <c r="DR13" i="40"/>
  <c r="DQ13" i="40"/>
  <c r="DP13" i="40"/>
  <c r="DO13" i="40"/>
  <c r="DN13" i="40"/>
  <c r="DM13" i="40"/>
  <c r="DL13" i="40"/>
  <c r="DK13" i="40"/>
  <c r="DJ13" i="40"/>
  <c r="DI13" i="40"/>
  <c r="DH13" i="40"/>
  <c r="DG13" i="40"/>
  <c r="DF13" i="40"/>
  <c r="DE13" i="40"/>
  <c r="DD13" i="40"/>
  <c r="DC13" i="40"/>
  <c r="DB13" i="40"/>
  <c r="DA13" i="40"/>
  <c r="CZ13" i="40"/>
  <c r="CY13" i="40"/>
  <c r="CX13" i="40"/>
  <c r="CW13" i="40"/>
  <c r="CV13" i="40"/>
  <c r="CU13" i="40"/>
  <c r="CT13" i="40"/>
  <c r="CS13" i="40"/>
  <c r="CR13" i="40"/>
  <c r="CQ13" i="40"/>
  <c r="CP13" i="40"/>
  <c r="CO13" i="40"/>
  <c r="CN13" i="40"/>
  <c r="CM13" i="40"/>
  <c r="CL13" i="40"/>
  <c r="CK13" i="40"/>
  <c r="CJ13" i="40"/>
  <c r="CI13" i="40"/>
  <c r="CH13" i="40"/>
  <c r="CG13" i="40"/>
  <c r="CF13" i="40"/>
  <c r="CE13" i="40"/>
  <c r="CD13" i="40"/>
  <c r="CC13" i="40"/>
  <c r="CB13" i="40"/>
  <c r="CA13" i="40"/>
  <c r="BZ13" i="40"/>
  <c r="BY13" i="40"/>
  <c r="BX13" i="40"/>
  <c r="BW13" i="40"/>
  <c r="BV13" i="40"/>
  <c r="BU13" i="40"/>
  <c r="BT13" i="40"/>
  <c r="BS13" i="40"/>
  <c r="BR13" i="40"/>
  <c r="BQ13" i="40"/>
  <c r="BP13" i="40"/>
  <c r="BO13" i="40"/>
  <c r="BN13" i="40"/>
  <c r="BM13" i="40"/>
  <c r="BL13" i="40"/>
  <c r="BK13" i="40"/>
  <c r="BJ13" i="40"/>
  <c r="BI13" i="40"/>
  <c r="BH13" i="40"/>
  <c r="BG13" i="40"/>
  <c r="BF13" i="40"/>
  <c r="BE13" i="40"/>
  <c r="BD13" i="40"/>
  <c r="BC13" i="40"/>
  <c r="BB13" i="40"/>
  <c r="BA13" i="40"/>
  <c r="AZ13" i="40"/>
  <c r="AY13" i="40"/>
  <c r="AX13" i="40"/>
  <c r="AW13" i="40"/>
  <c r="AV13" i="40"/>
  <c r="AU13" i="40"/>
  <c r="AT13" i="40"/>
  <c r="AS13" i="40"/>
  <c r="AR13" i="40"/>
  <c r="AQ13" i="40"/>
  <c r="AP13" i="40"/>
  <c r="AO13" i="40"/>
  <c r="AN13" i="40"/>
  <c r="AM13" i="40"/>
  <c r="AL13" i="40"/>
  <c r="AK13" i="40"/>
  <c r="AJ13" i="40"/>
  <c r="AI13" i="40"/>
  <c r="AH13" i="40"/>
  <c r="AG13" i="40"/>
  <c r="AF13" i="40"/>
  <c r="AE13" i="40"/>
  <c r="AD13" i="40"/>
  <c r="AC13" i="40"/>
  <c r="AB13" i="40"/>
  <c r="AA13" i="40"/>
  <c r="Z13" i="40"/>
  <c r="Y13" i="40"/>
  <c r="X13" i="40"/>
  <c r="G13" i="40"/>
  <c r="F13" i="40"/>
  <c r="E13" i="40"/>
  <c r="EJ12" i="40"/>
  <c r="EI12" i="40"/>
  <c r="EH12" i="40"/>
  <c r="EG12" i="40"/>
  <c r="EF12" i="40"/>
  <c r="EE12" i="40"/>
  <c r="ED12" i="40"/>
  <c r="EC12" i="40"/>
  <c r="EB12" i="40"/>
  <c r="EA12" i="40"/>
  <c r="DZ12" i="40"/>
  <c r="DY12" i="40"/>
  <c r="DX12" i="40"/>
  <c r="DW12" i="40"/>
  <c r="DV12" i="40"/>
  <c r="DU12" i="40"/>
  <c r="DT12" i="40"/>
  <c r="DS12" i="40"/>
  <c r="DR12" i="40"/>
  <c r="DQ12" i="40"/>
  <c r="DP12" i="40"/>
  <c r="DO12" i="40"/>
  <c r="DN12" i="40"/>
  <c r="DM12" i="40"/>
  <c r="DL12" i="40"/>
  <c r="DK12" i="40"/>
  <c r="DJ12" i="40"/>
  <c r="DI12" i="40"/>
  <c r="DH12" i="40"/>
  <c r="DG12" i="40"/>
  <c r="DF12" i="40"/>
  <c r="DE12" i="40"/>
  <c r="DD12" i="40"/>
  <c r="DC12" i="40"/>
  <c r="DB12" i="40"/>
  <c r="DA12" i="40"/>
  <c r="CZ12" i="40"/>
  <c r="CY12" i="40"/>
  <c r="CX12" i="40"/>
  <c r="CW12" i="40"/>
  <c r="CV12" i="40"/>
  <c r="CU12" i="40"/>
  <c r="CT12" i="40"/>
  <c r="CS12" i="40"/>
  <c r="CR12" i="40"/>
  <c r="CQ12" i="40"/>
  <c r="CP12" i="40"/>
  <c r="CO12" i="40"/>
  <c r="CN12" i="40"/>
  <c r="CM12" i="40"/>
  <c r="CL12" i="40"/>
  <c r="CK12" i="40"/>
  <c r="CJ12" i="40"/>
  <c r="CI12" i="40"/>
  <c r="CH12" i="40"/>
  <c r="CG12" i="40"/>
  <c r="CF12" i="40"/>
  <c r="CE12" i="40"/>
  <c r="CD12" i="40"/>
  <c r="CC12" i="40"/>
  <c r="CB12" i="40"/>
  <c r="CA12" i="40"/>
  <c r="BZ12" i="40"/>
  <c r="BY12" i="40"/>
  <c r="BX12" i="40"/>
  <c r="BW12" i="40"/>
  <c r="BV12" i="40"/>
  <c r="BU12" i="40"/>
  <c r="BT12" i="40"/>
  <c r="BS12" i="40"/>
  <c r="BR12" i="40"/>
  <c r="BQ12" i="40"/>
  <c r="BP12" i="40"/>
  <c r="BO12" i="40"/>
  <c r="BN12" i="40"/>
  <c r="BM12" i="40"/>
  <c r="BL12" i="40"/>
  <c r="BK12" i="40"/>
  <c r="BJ12" i="40"/>
  <c r="BI12" i="40"/>
  <c r="BH12" i="40"/>
  <c r="BF12" i="40"/>
  <c r="BE12" i="40"/>
  <c r="BD12" i="40"/>
  <c r="BC12" i="40"/>
  <c r="BB12" i="40"/>
  <c r="BA12" i="40"/>
  <c r="AZ12" i="40"/>
  <c r="AX12" i="40"/>
  <c r="AW12" i="40"/>
  <c r="AV12" i="40"/>
  <c r="AU12" i="40"/>
  <c r="AT12" i="40"/>
  <c r="AS12" i="40"/>
  <c r="AR12" i="40"/>
  <c r="AQ12" i="40"/>
  <c r="AP12" i="40"/>
  <c r="AO12" i="40"/>
  <c r="AN12" i="40"/>
  <c r="AM12" i="40"/>
  <c r="AL12" i="40"/>
  <c r="AK12" i="40"/>
  <c r="AJ12" i="40"/>
  <c r="AI12" i="40"/>
  <c r="AH12" i="40"/>
  <c r="AG12" i="40"/>
  <c r="AF12" i="40"/>
  <c r="AE12" i="40"/>
  <c r="AD12" i="40"/>
  <c r="AC12" i="40"/>
  <c r="AB12" i="40"/>
  <c r="Z12" i="40"/>
  <c r="Y12" i="40"/>
  <c r="J12" i="40"/>
  <c r="I12" i="40"/>
  <c r="H12" i="40"/>
  <c r="G12" i="40"/>
  <c r="F12" i="40"/>
  <c r="E12" i="40"/>
  <c r="EJ11" i="40"/>
  <c r="EI11" i="40"/>
  <c r="EH11" i="40"/>
  <c r="EG11" i="40"/>
  <c r="EF11" i="40"/>
  <c r="EE11" i="40"/>
  <c r="ED11" i="40"/>
  <c r="EC11" i="40"/>
  <c r="EB11" i="40"/>
  <c r="EA11" i="40"/>
  <c r="DZ11" i="40"/>
  <c r="DY11" i="40"/>
  <c r="DX11" i="40"/>
  <c r="DW11" i="40"/>
  <c r="DV11" i="40"/>
  <c r="DU11" i="40"/>
  <c r="DT11" i="40"/>
  <c r="DS11" i="40"/>
  <c r="DR11" i="40"/>
  <c r="DQ11" i="40"/>
  <c r="DP11" i="40"/>
  <c r="DO11" i="40"/>
  <c r="DN11" i="40"/>
  <c r="DM11" i="40"/>
  <c r="DL11" i="40"/>
  <c r="DK11" i="40"/>
  <c r="DJ11" i="40"/>
  <c r="DI11" i="40"/>
  <c r="DH11" i="40"/>
  <c r="DG11" i="40"/>
  <c r="DF11" i="40"/>
  <c r="DE11" i="40"/>
  <c r="DD11" i="40"/>
  <c r="DC11" i="40"/>
  <c r="DB11" i="40"/>
  <c r="DA11" i="40"/>
  <c r="CZ11" i="40"/>
  <c r="CY11" i="40"/>
  <c r="CX11" i="40"/>
  <c r="CW11" i="40"/>
  <c r="CV11" i="40"/>
  <c r="CU11" i="40"/>
  <c r="CT11" i="40"/>
  <c r="CS11" i="40"/>
  <c r="CR11" i="40"/>
  <c r="CQ11" i="40"/>
  <c r="CP11" i="40"/>
  <c r="CO11" i="40"/>
  <c r="CN11" i="40"/>
  <c r="CM11" i="40"/>
  <c r="CL11" i="40"/>
  <c r="CK11" i="40"/>
  <c r="CJ11" i="40"/>
  <c r="CI11" i="40"/>
  <c r="CH11" i="40"/>
  <c r="CG11" i="40"/>
  <c r="CF11" i="40"/>
  <c r="CE11" i="40"/>
  <c r="CD11" i="40"/>
  <c r="CC11" i="40"/>
  <c r="CB11" i="40"/>
  <c r="CA11" i="40"/>
  <c r="BZ11" i="40"/>
  <c r="BY11" i="40"/>
  <c r="BX11" i="40"/>
  <c r="BW11" i="40"/>
  <c r="BV11" i="40"/>
  <c r="BU11" i="40"/>
  <c r="BT11" i="40"/>
  <c r="BS11" i="40"/>
  <c r="BR11" i="40"/>
  <c r="BQ11" i="40"/>
  <c r="BP11" i="40"/>
  <c r="BO11" i="40"/>
  <c r="BN11" i="40"/>
  <c r="BM11" i="40"/>
  <c r="BL11" i="40"/>
  <c r="BK11" i="40"/>
  <c r="BJ11" i="40"/>
  <c r="BI11" i="40"/>
  <c r="BH11" i="40"/>
  <c r="BG11" i="40"/>
  <c r="BF11" i="40"/>
  <c r="BE11" i="40"/>
  <c r="BD11" i="40"/>
  <c r="BC11" i="40"/>
  <c r="BB11" i="40"/>
  <c r="BA11" i="40"/>
  <c r="AZ11" i="40"/>
  <c r="AY11" i="40"/>
  <c r="AX11" i="40"/>
  <c r="AW11" i="40"/>
  <c r="AV11" i="40"/>
  <c r="AU11" i="40"/>
  <c r="AT11" i="40"/>
  <c r="AS11" i="40"/>
  <c r="AR11" i="40"/>
  <c r="AQ11" i="40"/>
  <c r="AP11" i="40"/>
  <c r="AO11" i="40"/>
  <c r="AN11" i="40"/>
  <c r="AM11" i="40"/>
  <c r="AL11" i="40"/>
  <c r="AK11" i="40"/>
  <c r="AJ11" i="40"/>
  <c r="AI11" i="40"/>
  <c r="AH11" i="40"/>
  <c r="AG11" i="40"/>
  <c r="AF11" i="40"/>
  <c r="AE11" i="40"/>
  <c r="AD11" i="40"/>
  <c r="AC11" i="40"/>
  <c r="AB11" i="40"/>
  <c r="AA11" i="40"/>
  <c r="Z11" i="40"/>
  <c r="Y11" i="40"/>
  <c r="J11" i="40"/>
  <c r="H11" i="40"/>
  <c r="F11" i="40"/>
  <c r="E11" i="40"/>
  <c r="EJ9" i="40"/>
  <c r="EI9" i="40"/>
  <c r="EH9" i="40"/>
  <c r="EG9" i="40"/>
  <c r="EF9" i="40"/>
  <c r="EE9" i="40"/>
  <c r="ED9" i="40"/>
  <c r="EC9" i="40"/>
  <c r="EB9" i="40"/>
  <c r="EA9" i="40"/>
  <c r="DZ9" i="40"/>
  <c r="DY9" i="40"/>
  <c r="DX9" i="40"/>
  <c r="DW9" i="40"/>
  <c r="DV9" i="40"/>
  <c r="DU9" i="40"/>
  <c r="DT9" i="40"/>
  <c r="DS9" i="40"/>
  <c r="DR9" i="40"/>
  <c r="DQ9" i="40"/>
  <c r="DP9" i="40"/>
  <c r="DO9" i="40"/>
  <c r="DN9" i="40"/>
  <c r="DM9" i="40"/>
  <c r="DL9" i="40"/>
  <c r="DK9" i="40"/>
  <c r="DJ9" i="40"/>
  <c r="DI9" i="40"/>
  <c r="DH9" i="40"/>
  <c r="DG9" i="40"/>
  <c r="DF9" i="40"/>
  <c r="DE9" i="40"/>
  <c r="DD9" i="40"/>
  <c r="DC9" i="40"/>
  <c r="DB9" i="40"/>
  <c r="DA9" i="40"/>
  <c r="CZ9" i="40"/>
  <c r="CY9" i="40"/>
  <c r="CX9" i="40"/>
  <c r="CW9" i="40"/>
  <c r="CV9" i="40"/>
  <c r="CU9" i="40"/>
  <c r="CT9" i="40"/>
  <c r="CS9" i="40"/>
  <c r="CR9" i="40"/>
  <c r="CQ9" i="40"/>
  <c r="CP9" i="40"/>
  <c r="CO9" i="40"/>
  <c r="CN9" i="40"/>
  <c r="CM9" i="40"/>
  <c r="CL9" i="40"/>
  <c r="CK9" i="40"/>
  <c r="CJ9" i="40"/>
  <c r="CI9" i="40"/>
  <c r="CH9" i="40"/>
  <c r="CG9" i="40"/>
  <c r="CF9" i="40"/>
  <c r="CE9" i="40"/>
  <c r="CD9" i="40"/>
  <c r="CC9" i="40"/>
  <c r="CB9" i="40"/>
  <c r="CA9" i="40"/>
  <c r="BZ9" i="40"/>
  <c r="BY9" i="40"/>
  <c r="BX9" i="40"/>
  <c r="BW9" i="40"/>
  <c r="BV9" i="40"/>
  <c r="BU9" i="40"/>
  <c r="BT9" i="40"/>
  <c r="BS9" i="40"/>
  <c r="BR9" i="40"/>
  <c r="BQ9" i="40"/>
  <c r="BP9" i="40"/>
  <c r="BO9" i="40"/>
  <c r="BN9" i="40"/>
  <c r="BM9" i="40"/>
  <c r="BL9" i="40"/>
  <c r="BK9" i="40"/>
  <c r="BJ9" i="40"/>
  <c r="BI9" i="40"/>
  <c r="BH9" i="40"/>
  <c r="BG9" i="40"/>
  <c r="BF9" i="40"/>
  <c r="BE9" i="40"/>
  <c r="BD9" i="40"/>
  <c r="BC9" i="40"/>
  <c r="BB9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L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EJ8" i="40"/>
  <c r="EI8" i="40"/>
  <c r="EH8" i="40"/>
  <c r="EG8" i="40"/>
  <c r="EF8" i="40"/>
  <c r="EE8" i="40"/>
  <c r="ED8" i="40"/>
  <c r="EC8" i="40"/>
  <c r="EB8" i="40"/>
  <c r="EA8" i="40"/>
  <c r="DZ8" i="40"/>
  <c r="DY8" i="40"/>
  <c r="DX8" i="40"/>
  <c r="DW8" i="40"/>
  <c r="DV8" i="40"/>
  <c r="DU8" i="40"/>
  <c r="DT8" i="40"/>
  <c r="DS8" i="40"/>
  <c r="DR8" i="40"/>
  <c r="DQ8" i="40"/>
  <c r="DP8" i="40"/>
  <c r="DO8" i="40"/>
  <c r="DN8" i="40"/>
  <c r="DM8" i="40"/>
  <c r="DL8" i="40"/>
  <c r="DK8" i="40"/>
  <c r="DJ8" i="40"/>
  <c r="DI8" i="40"/>
  <c r="DH8" i="40"/>
  <c r="DG8" i="40"/>
  <c r="DF8" i="40"/>
  <c r="DE8" i="40"/>
  <c r="DD8" i="40"/>
  <c r="DC8" i="40"/>
  <c r="DB8" i="40"/>
  <c r="DA8" i="40"/>
  <c r="CZ8" i="40"/>
  <c r="CY8" i="40"/>
  <c r="CX8" i="40"/>
  <c r="CW8" i="40"/>
  <c r="CV8" i="40"/>
  <c r="CU8" i="40"/>
  <c r="CT8" i="40"/>
  <c r="CS8" i="40"/>
  <c r="CR8" i="40"/>
  <c r="CQ8" i="40"/>
  <c r="CP8" i="40"/>
  <c r="CO8" i="40"/>
  <c r="CN8" i="40"/>
  <c r="CM8" i="40"/>
  <c r="CL8" i="40"/>
  <c r="CK8" i="40"/>
  <c r="CJ8" i="40"/>
  <c r="CI8" i="40"/>
  <c r="CH8" i="40"/>
  <c r="CG8" i="40"/>
  <c r="CF8" i="40"/>
  <c r="CE8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R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E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L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EJ7" i="40"/>
  <c r="EI7" i="40"/>
  <c r="EH7" i="40"/>
  <c r="EG7" i="40"/>
  <c r="EF7" i="40"/>
  <c r="EE7" i="40"/>
  <c r="ED7" i="40"/>
  <c r="EC7" i="40"/>
  <c r="EB7" i="40"/>
  <c r="EA7" i="40"/>
  <c r="DZ7" i="40"/>
  <c r="DY7" i="40"/>
  <c r="DX7" i="40"/>
  <c r="DW7" i="40"/>
  <c r="DV7" i="40"/>
  <c r="DU7" i="40"/>
  <c r="DT7" i="40"/>
  <c r="DS7" i="40"/>
  <c r="DR7" i="40"/>
  <c r="DQ7" i="40"/>
  <c r="DP7" i="40"/>
  <c r="DO7" i="40"/>
  <c r="DN7" i="40"/>
  <c r="DM7" i="40"/>
  <c r="DL7" i="40"/>
  <c r="DK7" i="40"/>
  <c r="DJ7" i="40"/>
  <c r="DI7" i="40"/>
  <c r="DH7" i="40"/>
  <c r="DG7" i="40"/>
  <c r="DF7" i="40"/>
  <c r="DE7" i="40"/>
  <c r="DD7" i="40"/>
  <c r="DC7" i="40"/>
  <c r="DB7" i="40"/>
  <c r="DA7" i="40"/>
  <c r="CZ7" i="40"/>
  <c r="CY7" i="40"/>
  <c r="CX7" i="40"/>
  <c r="CW7" i="40"/>
  <c r="CV7" i="40"/>
  <c r="CU7" i="40"/>
  <c r="CT7" i="40"/>
  <c r="CS7" i="40"/>
  <c r="CR7" i="40"/>
  <c r="CQ7" i="40"/>
  <c r="CP7" i="40"/>
  <c r="CO7" i="40"/>
  <c r="CN7" i="40"/>
  <c r="CM7" i="40"/>
  <c r="CL7" i="40"/>
  <c r="CK7" i="40"/>
  <c r="CJ7" i="40"/>
  <c r="CI7" i="40"/>
  <c r="CH7" i="40"/>
  <c r="CG7" i="40"/>
  <c r="CF7" i="40"/>
  <c r="CE7" i="40"/>
  <c r="CD7" i="40"/>
  <c r="CC7" i="40"/>
  <c r="CB7" i="40"/>
  <c r="CA7" i="40"/>
  <c r="BZ7" i="40"/>
  <c r="BY7" i="40"/>
  <c r="BX7" i="40"/>
  <c r="BW7" i="40"/>
  <c r="BV7" i="40"/>
  <c r="BU7" i="40"/>
  <c r="BT7" i="40"/>
  <c r="BS7" i="40"/>
  <c r="BR7" i="40"/>
  <c r="BQ7" i="40"/>
  <c r="BP7" i="40"/>
  <c r="BO7" i="40"/>
  <c r="BN7" i="40"/>
  <c r="BM7" i="40"/>
  <c r="BL7" i="40"/>
  <c r="BK7" i="40"/>
  <c r="BJ7" i="40"/>
  <c r="BI7" i="40"/>
  <c r="BH7" i="40"/>
  <c r="BG7" i="40"/>
  <c r="BF7" i="40"/>
  <c r="BE7" i="40"/>
  <c r="BD7" i="40"/>
  <c r="BC7" i="40"/>
  <c r="BB7" i="40"/>
  <c r="BA7" i="40"/>
  <c r="AZ7" i="40"/>
  <c r="AY7" i="40"/>
  <c r="AX7" i="40"/>
  <c r="AW7" i="40"/>
  <c r="AV7" i="40"/>
  <c r="AU7" i="40"/>
  <c r="AT7" i="40"/>
  <c r="AS7" i="40"/>
  <c r="AR7" i="40"/>
  <c r="AQ7" i="40"/>
  <c r="AP7" i="40"/>
  <c r="AO7" i="40"/>
  <c r="AN7" i="40"/>
  <c r="AM7" i="40"/>
  <c r="AL7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EJ6" i="40"/>
  <c r="EI6" i="40"/>
  <c r="EH6" i="40"/>
  <c r="EG6" i="40"/>
  <c r="EF6" i="40"/>
  <c r="EE6" i="40"/>
  <c r="ED6" i="40"/>
  <c r="EC6" i="40"/>
  <c r="EB6" i="40"/>
  <c r="EA6" i="40"/>
  <c r="DZ6" i="40"/>
  <c r="DY6" i="40"/>
  <c r="DX6" i="40"/>
  <c r="DW6" i="40"/>
  <c r="DV6" i="40"/>
  <c r="DU6" i="40"/>
  <c r="DT6" i="40"/>
  <c r="DS6" i="40"/>
  <c r="DR6" i="40"/>
  <c r="DQ6" i="40"/>
  <c r="DP6" i="40"/>
  <c r="DO6" i="40"/>
  <c r="DN6" i="40"/>
  <c r="DM6" i="40"/>
  <c r="DL6" i="40"/>
  <c r="DK6" i="40"/>
  <c r="DJ6" i="40"/>
  <c r="DI6" i="40"/>
  <c r="DH6" i="40"/>
  <c r="DG6" i="40"/>
  <c r="DF6" i="40"/>
  <c r="DE6" i="40"/>
  <c r="DD6" i="40"/>
  <c r="DC6" i="40"/>
  <c r="DB6" i="40"/>
  <c r="DA6" i="40"/>
  <c r="CZ6" i="40"/>
  <c r="CY6" i="40"/>
  <c r="CX6" i="40"/>
  <c r="CW6" i="40"/>
  <c r="CV6" i="40"/>
  <c r="CU6" i="40"/>
  <c r="CT6" i="40"/>
  <c r="CS6" i="40"/>
  <c r="CR6" i="40"/>
  <c r="CQ6" i="40"/>
  <c r="CP6" i="40"/>
  <c r="CO6" i="40"/>
  <c r="CN6" i="40"/>
  <c r="CM6" i="40"/>
  <c r="CL6" i="40"/>
  <c r="CK6" i="40"/>
  <c r="CJ6" i="40"/>
  <c r="CI6" i="40"/>
  <c r="CH6" i="40"/>
  <c r="CG6" i="40"/>
  <c r="CF6" i="40"/>
  <c r="CE6" i="40"/>
  <c r="CD6" i="40"/>
  <c r="CC6" i="40"/>
  <c r="CB6" i="40"/>
  <c r="CA6" i="40"/>
  <c r="BZ6" i="40"/>
  <c r="BY6" i="40"/>
  <c r="BX6" i="40"/>
  <c r="BW6" i="40"/>
  <c r="BV6" i="40"/>
  <c r="BU6" i="40"/>
  <c r="BT6" i="40"/>
  <c r="BS6" i="40"/>
  <c r="BR6" i="40"/>
  <c r="BQ6" i="40"/>
  <c r="BP6" i="40"/>
  <c r="BO6" i="40"/>
  <c r="BN6" i="40"/>
  <c r="BM6" i="40"/>
  <c r="BL6" i="40"/>
  <c r="BK6" i="40"/>
  <c r="BJ6" i="40"/>
  <c r="BI6" i="40"/>
  <c r="BH6" i="40"/>
  <c r="BG6" i="40"/>
  <c r="BF6" i="40"/>
  <c r="BE6" i="40"/>
  <c r="BD6" i="40"/>
  <c r="BC6" i="40"/>
  <c r="BB6" i="40"/>
  <c r="BA6" i="40"/>
  <c r="AZ6" i="40"/>
  <c r="AY6" i="40"/>
  <c r="AX6" i="40"/>
  <c r="AW6" i="40"/>
  <c r="AV6" i="40"/>
  <c r="AU6" i="40"/>
  <c r="AT6" i="40"/>
  <c r="AS6" i="40"/>
  <c r="AR6" i="40"/>
  <c r="AQ6" i="40"/>
  <c r="AP6" i="40"/>
  <c r="AO6" i="40"/>
  <c r="AN6" i="40"/>
  <c r="AM6" i="40"/>
  <c r="AL6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EJ5" i="40"/>
  <c r="EI5" i="40"/>
  <c r="EH5" i="40"/>
  <c r="EG5" i="40"/>
  <c r="EF5" i="40"/>
  <c r="EE5" i="40"/>
  <c r="ED5" i="40"/>
  <c r="EC5" i="40"/>
  <c r="EB5" i="40"/>
  <c r="EA5" i="40"/>
  <c r="DZ5" i="40"/>
  <c r="DY5" i="40"/>
  <c r="DX5" i="40"/>
  <c r="DW5" i="40"/>
  <c r="DV5" i="40"/>
  <c r="DU5" i="40"/>
  <c r="DT5" i="40"/>
  <c r="DS5" i="40"/>
  <c r="DR5" i="40"/>
  <c r="DQ5" i="40"/>
  <c r="DP5" i="40"/>
  <c r="DO5" i="40"/>
  <c r="DN5" i="40"/>
  <c r="DM5" i="40"/>
  <c r="DL5" i="40"/>
  <c r="DK5" i="40"/>
  <c r="DJ5" i="40"/>
  <c r="DI5" i="40"/>
  <c r="DH5" i="40"/>
  <c r="DG5" i="40"/>
  <c r="DF5" i="40"/>
  <c r="DE5" i="40"/>
  <c r="DD5" i="40"/>
  <c r="DC5" i="40"/>
  <c r="DB5" i="40"/>
  <c r="DA5" i="40"/>
  <c r="CZ5" i="40"/>
  <c r="CY5" i="40"/>
  <c r="CX5" i="40"/>
  <c r="CW5" i="40"/>
  <c r="CV5" i="40"/>
  <c r="CU5" i="40"/>
  <c r="CT5" i="40"/>
  <c r="CS5" i="40"/>
  <c r="CR5" i="40"/>
  <c r="CQ5" i="40"/>
  <c r="CP5" i="40"/>
  <c r="CO5" i="40"/>
  <c r="CN5" i="40"/>
  <c r="CM5" i="40"/>
  <c r="CL5" i="40"/>
  <c r="CK5" i="40"/>
  <c r="CJ5" i="40"/>
  <c r="CI5" i="40"/>
  <c r="CH5" i="40"/>
  <c r="CG5" i="40"/>
  <c r="CF5" i="40"/>
  <c r="CE5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R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E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L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BJ4" i="40"/>
  <c r="BV4" i="40" s="1"/>
  <c r="CH4" i="40" s="1"/>
  <c r="CT4" i="40" s="1"/>
  <c r="DF4" i="40" s="1"/>
  <c r="DR4" i="40" s="1"/>
  <c r="ED4" i="40" s="1"/>
  <c r="BI4" i="40"/>
  <c r="BU4" i="40" s="1"/>
  <c r="CG4" i="40" s="1"/>
  <c r="CS4" i="40" s="1"/>
  <c r="DE4" i="40" s="1"/>
  <c r="DQ4" i="40" s="1"/>
  <c r="EC4" i="40" s="1"/>
  <c r="BH4" i="40"/>
  <c r="BT4" i="40" s="1"/>
  <c r="CF4" i="40" s="1"/>
  <c r="CR4" i="40" s="1"/>
  <c r="DD4" i="40" s="1"/>
  <c r="DP4" i="40" s="1"/>
  <c r="EB4" i="40" s="1"/>
  <c r="BG4" i="40"/>
  <c r="BS4" i="40" s="1"/>
  <c r="CE4" i="40" s="1"/>
  <c r="CQ4" i="40" s="1"/>
  <c r="DC4" i="40" s="1"/>
  <c r="DO4" i="40" s="1"/>
  <c r="EA4" i="40" s="1"/>
  <c r="BF4" i="40"/>
  <c r="BR4" i="40" s="1"/>
  <c r="CD4" i="40" s="1"/>
  <c r="CP4" i="40" s="1"/>
  <c r="DB4" i="40" s="1"/>
  <c r="DN4" i="40" s="1"/>
  <c r="DZ4" i="40" s="1"/>
  <c r="BE4" i="40"/>
  <c r="BQ4" i="40" s="1"/>
  <c r="CC4" i="40" s="1"/>
  <c r="CO4" i="40" s="1"/>
  <c r="DA4" i="40" s="1"/>
  <c r="DM4" i="40" s="1"/>
  <c r="DY4" i="40" s="1"/>
  <c r="BD4" i="40"/>
  <c r="BP4" i="40" s="1"/>
  <c r="CB4" i="40" s="1"/>
  <c r="CN4" i="40" s="1"/>
  <c r="CZ4" i="40" s="1"/>
  <c r="DL4" i="40" s="1"/>
  <c r="DX4" i="40" s="1"/>
  <c r="EJ4" i="40" s="1"/>
  <c r="BC4" i="40"/>
  <c r="BO4" i="40" s="1"/>
  <c r="CA4" i="40" s="1"/>
  <c r="CM4" i="40" s="1"/>
  <c r="CY4" i="40" s="1"/>
  <c r="DK4" i="40" s="1"/>
  <c r="DW4" i="40" s="1"/>
  <c r="EI4" i="40" s="1"/>
  <c r="BB4" i="40"/>
  <c r="BN4" i="40" s="1"/>
  <c r="BZ4" i="40" s="1"/>
  <c r="CL4" i="40" s="1"/>
  <c r="CX4" i="40" s="1"/>
  <c r="DJ4" i="40" s="1"/>
  <c r="DV4" i="40" s="1"/>
  <c r="EH4" i="40" s="1"/>
  <c r="BA4" i="40"/>
  <c r="BM4" i="40" s="1"/>
  <c r="BY4" i="40" s="1"/>
  <c r="CK4" i="40" s="1"/>
  <c r="CW4" i="40" s="1"/>
  <c r="DI4" i="40" s="1"/>
  <c r="DU4" i="40" s="1"/>
  <c r="EG4" i="40" s="1"/>
  <c r="AZ4" i="40"/>
  <c r="BL4" i="40" s="1"/>
  <c r="BX4" i="40" s="1"/>
  <c r="CJ4" i="40" s="1"/>
  <c r="CV4" i="40" s="1"/>
  <c r="DH4" i="40" s="1"/>
  <c r="DT4" i="40" s="1"/>
  <c r="EF4" i="40" s="1"/>
  <c r="AY4" i="40"/>
  <c r="BK4" i="40" s="1"/>
  <c r="BW4" i="40" s="1"/>
  <c r="CI4" i="40" s="1"/>
  <c r="CU4" i="40" s="1"/>
  <c r="DG4" i="40" s="1"/>
  <c r="DS4" i="40" s="1"/>
  <c r="EE4" i="40" s="1"/>
  <c r="G28" i="40" l="1"/>
  <c r="G11" i="40" s="1"/>
  <c r="AA29" i="40"/>
  <c r="AA12" i="40" s="1"/>
  <c r="BG29" i="40"/>
  <c r="BG12" i="40" s="1"/>
  <c r="H30" i="40"/>
  <c r="J31" i="40"/>
  <c r="F34" i="40"/>
  <c r="AF38" i="40"/>
  <c r="AR38" i="40"/>
  <c r="AV38" i="40"/>
  <c r="AZ38" i="40"/>
  <c r="BD38" i="40"/>
  <c r="F35" i="40"/>
  <c r="F18" i="40" s="1"/>
  <c r="AC38" i="40"/>
  <c r="AG38" i="40"/>
  <c r="AK38" i="40"/>
  <c r="AY35" i="40"/>
  <c r="AY18" i="40" s="1"/>
  <c r="AP38" i="40"/>
  <c r="AT38" i="40"/>
  <c r="AX38" i="40"/>
  <c r="BB38" i="40"/>
  <c r="H35" i="40"/>
  <c r="H18" i="40" s="1"/>
  <c r="AA38" i="40"/>
  <c r="AI38" i="40"/>
  <c r="AM38" i="40"/>
  <c r="Y45" i="40"/>
  <c r="AC45" i="40"/>
  <c r="AG45" i="40"/>
  <c r="AK45" i="40"/>
  <c r="AO45" i="40"/>
  <c r="AS45" i="40"/>
  <c r="AW45" i="40"/>
  <c r="BA45" i="40"/>
  <c r="BE45" i="40"/>
  <c r="BI45" i="40"/>
  <c r="BM45" i="40"/>
  <c r="BQ45" i="40"/>
  <c r="BU45" i="40"/>
  <c r="BY45" i="40"/>
  <c r="CC45" i="40"/>
  <c r="CG45" i="40"/>
  <c r="CK45" i="40"/>
  <c r="CO45" i="40"/>
  <c r="CS45" i="40"/>
  <c r="CW45" i="40"/>
  <c r="DA45" i="40"/>
  <c r="DE45" i="40"/>
  <c r="DI45" i="40"/>
  <c r="DM45" i="40"/>
  <c r="DQ45" i="40"/>
  <c r="DU45" i="40"/>
  <c r="DY45" i="40"/>
  <c r="EC45" i="40"/>
  <c r="EG45" i="40"/>
  <c r="Z50" i="40"/>
  <c r="AB50" i="40"/>
  <c r="AD50" i="40"/>
  <c r="AF50" i="40"/>
  <c r="AH50" i="40"/>
  <c r="AJ50" i="40"/>
  <c r="AL50" i="40"/>
  <c r="AN50" i="40"/>
  <c r="AP50" i="40"/>
  <c r="AR50" i="40"/>
  <c r="AT50" i="40"/>
  <c r="AV50" i="40"/>
  <c r="AX50" i="40"/>
  <c r="AZ50" i="40"/>
  <c r="BB50" i="40"/>
  <c r="BD50" i="40"/>
  <c r="BF50" i="40"/>
  <c r="BH50" i="40"/>
  <c r="BJ50" i="40"/>
  <c r="BL50" i="40"/>
  <c r="BN50" i="40"/>
  <c r="BP50" i="40"/>
  <c r="BR50" i="40"/>
  <c r="BT50" i="40"/>
  <c r="BV50" i="40"/>
  <c r="BX50" i="40"/>
  <c r="BZ50" i="40"/>
  <c r="CB50" i="40"/>
  <c r="CD50" i="40"/>
  <c r="CF50" i="40"/>
  <c r="CH50" i="40"/>
  <c r="CJ50" i="40"/>
  <c r="CL50" i="40"/>
  <c r="CN50" i="40"/>
  <c r="CP50" i="40"/>
  <c r="CR50" i="40"/>
  <c r="CT50" i="40"/>
  <c r="CV50" i="40"/>
  <c r="CX50" i="40"/>
  <c r="CZ50" i="40"/>
  <c r="DB50" i="40"/>
  <c r="DD50" i="40"/>
  <c r="DF50" i="40"/>
  <c r="DH50" i="40"/>
  <c r="DJ50" i="40"/>
  <c r="DL50" i="40"/>
  <c r="DN50" i="40"/>
  <c r="DP50" i="40"/>
  <c r="DR50" i="40"/>
  <c r="DT50" i="40"/>
  <c r="DV50" i="40"/>
  <c r="DX50" i="40"/>
  <c r="DZ50" i="40"/>
  <c r="EB50" i="40"/>
  <c r="ED50" i="40"/>
  <c r="EF50" i="40"/>
  <c r="EH50" i="40"/>
  <c r="EJ50" i="40"/>
  <c r="N62" i="40"/>
  <c r="M60" i="40"/>
  <c r="M46" i="40"/>
  <c r="M44" i="40" s="1"/>
  <c r="M66" i="40"/>
  <c r="BE38" i="40"/>
  <c r="BI38" i="40"/>
  <c r="BK38" i="40"/>
  <c r="BM38" i="40"/>
  <c r="BO38" i="40"/>
  <c r="BQ38" i="40"/>
  <c r="BS38" i="40"/>
  <c r="BU38" i="40"/>
  <c r="BW38" i="40"/>
  <c r="BY38" i="40"/>
  <c r="CA38" i="40"/>
  <c r="CC38" i="40"/>
  <c r="CE38" i="40"/>
  <c r="CG38" i="40"/>
  <c r="CI38" i="40"/>
  <c r="CK38" i="40"/>
  <c r="CM38" i="40"/>
  <c r="CO38" i="40"/>
  <c r="CQ38" i="40"/>
  <c r="CS38" i="40"/>
  <c r="CU38" i="40"/>
  <c r="CW38" i="40"/>
  <c r="CY38" i="40"/>
  <c r="DA38" i="40"/>
  <c r="DC38" i="40"/>
  <c r="DE38" i="40"/>
  <c r="DG38" i="40"/>
  <c r="DI38" i="40"/>
  <c r="DK38" i="40"/>
  <c r="DM38" i="40"/>
  <c r="DO38" i="40"/>
  <c r="DQ38" i="40"/>
  <c r="DS38" i="40"/>
  <c r="DU38" i="40"/>
  <c r="DW38" i="40"/>
  <c r="DY38" i="40"/>
  <c r="EA38" i="40"/>
  <c r="EC38" i="40"/>
  <c r="EE38" i="40"/>
  <c r="EG38" i="40"/>
  <c r="EI38" i="40"/>
  <c r="Z70" i="40"/>
  <c r="AB70" i="40"/>
  <c r="AD70" i="40"/>
  <c r="AF70" i="40"/>
  <c r="AH70" i="40"/>
  <c r="AJ70" i="40"/>
  <c r="AL70" i="40"/>
  <c r="AN70" i="40"/>
  <c r="AP70" i="40"/>
  <c r="AR70" i="40"/>
  <c r="AU70" i="40"/>
  <c r="BX70" i="40"/>
  <c r="BZ70" i="40"/>
  <c r="CB70" i="40"/>
  <c r="CD70" i="40"/>
  <c r="CF70" i="40"/>
  <c r="CH70" i="40"/>
  <c r="CJ70" i="40"/>
  <c r="CL70" i="40"/>
  <c r="CN70" i="40"/>
  <c r="CP70" i="40"/>
  <c r="CR70" i="40"/>
  <c r="CT70" i="40"/>
  <c r="CV70" i="40"/>
  <c r="CX70" i="40"/>
  <c r="CZ70" i="40"/>
  <c r="DB70" i="40"/>
  <c r="DD70" i="40"/>
  <c r="DF70" i="40"/>
  <c r="DH70" i="40"/>
  <c r="DJ70" i="40"/>
  <c r="DL70" i="40"/>
  <c r="DN70" i="40"/>
  <c r="DP70" i="40"/>
  <c r="DR70" i="40"/>
  <c r="DT70" i="40"/>
  <c r="DV70" i="40"/>
  <c r="DX70" i="40"/>
  <c r="DZ70" i="40"/>
  <c r="EB70" i="40"/>
  <c r="ED70" i="40"/>
  <c r="EF70" i="40"/>
  <c r="EH70" i="40"/>
  <c r="EJ70" i="40"/>
  <c r="N82" i="40"/>
  <c r="N76" i="40"/>
  <c r="O78" i="40"/>
  <c r="BW86" i="40"/>
  <c r="N67" i="40"/>
  <c r="O63" i="40"/>
  <c r="BW70" i="40"/>
  <c r="M82" i="40"/>
  <c r="M86" i="40" s="1"/>
  <c r="AA102" i="40"/>
  <c r="N77" i="40"/>
  <c r="O79" i="40"/>
  <c r="O94" i="40"/>
  <c r="Y102" i="40"/>
  <c r="Y54" i="40" s="1"/>
  <c r="Y21" i="40" s="1"/>
  <c r="AC102" i="40"/>
  <c r="AG102" i="40"/>
  <c r="AK102" i="40"/>
  <c r="AO102" i="40"/>
  <c r="AS102" i="40"/>
  <c r="AW102" i="40"/>
  <c r="BA102" i="40"/>
  <c r="BE102" i="40"/>
  <c r="BI102" i="40"/>
  <c r="BM102" i="40"/>
  <c r="BQ102" i="40"/>
  <c r="BU102" i="40"/>
  <c r="BY102" i="40"/>
  <c r="CC102" i="40"/>
  <c r="CG102" i="40"/>
  <c r="CK102" i="40"/>
  <c r="CO102" i="40"/>
  <c r="CS102" i="40"/>
  <c r="CW102" i="40"/>
  <c r="DA102" i="40"/>
  <c r="DE102" i="40"/>
  <c r="DI102" i="40"/>
  <c r="DM102" i="40"/>
  <c r="DQ102" i="40"/>
  <c r="DU102" i="40"/>
  <c r="DY102" i="40"/>
  <c r="EC102" i="40"/>
  <c r="EG102" i="40"/>
  <c r="M99" i="40"/>
  <c r="M51" i="40" s="1"/>
  <c r="N95" i="40"/>
  <c r="AE102" i="40"/>
  <c r="AI102" i="40"/>
  <c r="AM102" i="40"/>
  <c r="AQ102" i="40"/>
  <c r="AU102" i="40"/>
  <c r="AY102" i="40"/>
  <c r="BC102" i="40"/>
  <c r="BG102" i="40"/>
  <c r="BK102" i="40"/>
  <c r="BO102" i="40"/>
  <c r="BS102" i="40"/>
  <c r="BW102" i="40"/>
  <c r="CA102" i="40"/>
  <c r="CE102" i="40"/>
  <c r="CI102" i="40"/>
  <c r="CM102" i="40"/>
  <c r="CQ102" i="40"/>
  <c r="CU102" i="40"/>
  <c r="CY102" i="40"/>
  <c r="DC102" i="40"/>
  <c r="DG102" i="40"/>
  <c r="DK102" i="40"/>
  <c r="DO102" i="40"/>
  <c r="DS102" i="40"/>
  <c r="DW102" i="40"/>
  <c r="EA102" i="40"/>
  <c r="EE102" i="40"/>
  <c r="EI102" i="40"/>
  <c r="O83" i="40" l="1"/>
  <c r="P79" i="40"/>
  <c r="O77" i="40"/>
  <c r="M70" i="40"/>
  <c r="M54" i="40" s="1"/>
  <c r="M50" i="40"/>
  <c r="EJ54" i="40"/>
  <c r="EJ21" i="40" s="1"/>
  <c r="EJ17" i="40"/>
  <c r="EF54" i="40"/>
  <c r="EF21" i="40" s="1"/>
  <c r="EF17" i="40"/>
  <c r="EB54" i="40"/>
  <c r="EB21" i="40" s="1"/>
  <c r="EB17" i="40"/>
  <c r="DX54" i="40"/>
  <c r="DX21" i="40" s="1"/>
  <c r="DX17" i="40"/>
  <c r="DT54" i="40"/>
  <c r="DT21" i="40" s="1"/>
  <c r="DT17" i="40"/>
  <c r="DP54" i="40"/>
  <c r="DP21" i="40" s="1"/>
  <c r="DP17" i="40"/>
  <c r="DL54" i="40"/>
  <c r="DL21" i="40" s="1"/>
  <c r="DL17" i="40"/>
  <c r="DH54" i="40"/>
  <c r="DH21" i="40" s="1"/>
  <c r="DH17" i="40"/>
  <c r="DD54" i="40"/>
  <c r="DD21" i="40" s="1"/>
  <c r="DD17" i="40"/>
  <c r="CZ54" i="40"/>
  <c r="CZ21" i="40" s="1"/>
  <c r="CZ17" i="40"/>
  <c r="CV54" i="40"/>
  <c r="CV21" i="40" s="1"/>
  <c r="CV17" i="40"/>
  <c r="CR54" i="40"/>
  <c r="CR21" i="40" s="1"/>
  <c r="CR17" i="40"/>
  <c r="CN54" i="40"/>
  <c r="CN21" i="40" s="1"/>
  <c r="CN17" i="40"/>
  <c r="CJ54" i="40"/>
  <c r="CJ21" i="40" s="1"/>
  <c r="CJ17" i="40"/>
  <c r="CF54" i="40"/>
  <c r="CF21" i="40" s="1"/>
  <c r="CF17" i="40"/>
  <c r="CB54" i="40"/>
  <c r="CB21" i="40" s="1"/>
  <c r="CB17" i="40"/>
  <c r="BX54" i="40"/>
  <c r="BX21" i="40" s="1"/>
  <c r="BX17" i="40"/>
  <c r="BT54" i="40"/>
  <c r="BT21" i="40" s="1"/>
  <c r="BT17" i="40"/>
  <c r="BP54" i="40"/>
  <c r="BP21" i="40" s="1"/>
  <c r="BP17" i="40"/>
  <c r="BL54" i="40"/>
  <c r="BL21" i="40" s="1"/>
  <c r="BL17" i="40"/>
  <c r="BH54" i="40"/>
  <c r="BH21" i="40" s="1"/>
  <c r="BH17" i="40"/>
  <c r="BD54" i="40"/>
  <c r="BD17" i="40"/>
  <c r="AZ54" i="40"/>
  <c r="AZ17" i="40"/>
  <c r="AV54" i="40"/>
  <c r="AV21" i="40" s="1"/>
  <c r="AV17" i="40"/>
  <c r="AR54" i="40"/>
  <c r="AR17" i="40"/>
  <c r="AN54" i="40"/>
  <c r="AN21" i="40" s="1"/>
  <c r="AN17" i="40"/>
  <c r="AJ54" i="40"/>
  <c r="AJ21" i="40" s="1"/>
  <c r="AJ17" i="40"/>
  <c r="AF54" i="40"/>
  <c r="AF17" i="40"/>
  <c r="AB54" i="40"/>
  <c r="AB21" i="40" s="1"/>
  <c r="AB17" i="40"/>
  <c r="EG54" i="40"/>
  <c r="EG21" i="40" s="1"/>
  <c r="EC54" i="40"/>
  <c r="EC21" i="40" s="1"/>
  <c r="DY54" i="40"/>
  <c r="DY21" i="40" s="1"/>
  <c r="DU54" i="40"/>
  <c r="DU21" i="40" s="1"/>
  <c r="DQ54" i="40"/>
  <c r="DQ21" i="40" s="1"/>
  <c r="DM54" i="40"/>
  <c r="DM21" i="40" s="1"/>
  <c r="DI54" i="40"/>
  <c r="DI21" i="40" s="1"/>
  <c r="DE54" i="40"/>
  <c r="DE21" i="40" s="1"/>
  <c r="DA54" i="40"/>
  <c r="DA21" i="40" s="1"/>
  <c r="CW54" i="40"/>
  <c r="CW21" i="40" s="1"/>
  <c r="CS54" i="40"/>
  <c r="CS21" i="40" s="1"/>
  <c r="CO54" i="40"/>
  <c r="CO21" i="40" s="1"/>
  <c r="CK54" i="40"/>
  <c r="CK21" i="40" s="1"/>
  <c r="CG54" i="40"/>
  <c r="CG21" i="40" s="1"/>
  <c r="CC54" i="40"/>
  <c r="CC21" i="40" s="1"/>
  <c r="BY54" i="40"/>
  <c r="BY21" i="40" s="1"/>
  <c r="BU54" i="40"/>
  <c r="BU21" i="40" s="1"/>
  <c r="BQ54" i="40"/>
  <c r="BQ21" i="40" s="1"/>
  <c r="BM54" i="40"/>
  <c r="BM21" i="40" s="1"/>
  <c r="BI54" i="40"/>
  <c r="BI21" i="40" s="1"/>
  <c r="BE54" i="40"/>
  <c r="BE21" i="40" s="1"/>
  <c r="BA54" i="40"/>
  <c r="BA21" i="40" s="1"/>
  <c r="AW54" i="40"/>
  <c r="AW21" i="40" s="1"/>
  <c r="AS54" i="40"/>
  <c r="AS21" i="40" s="1"/>
  <c r="AO54" i="40"/>
  <c r="AO21" i="40" s="1"/>
  <c r="AK54" i="40"/>
  <c r="AG54" i="40"/>
  <c r="AC54" i="40"/>
  <c r="AK21" i="40"/>
  <c r="AC21" i="40"/>
  <c r="BD21" i="40"/>
  <c r="AF21" i="40"/>
  <c r="K31" i="40"/>
  <c r="J14" i="40"/>
  <c r="J35" i="40"/>
  <c r="J18" i="40" s="1"/>
  <c r="N93" i="40"/>
  <c r="N99" i="40"/>
  <c r="N51" i="40" s="1"/>
  <c r="O95" i="40"/>
  <c r="O47" i="40" s="1"/>
  <c r="O45" i="40" s="1"/>
  <c r="N47" i="40"/>
  <c r="N45" i="40" s="1"/>
  <c r="O98" i="40"/>
  <c r="O102" i="40" s="1"/>
  <c r="P94" i="40"/>
  <c r="O92" i="40"/>
  <c r="O67" i="40"/>
  <c r="O61" i="40"/>
  <c r="P63" i="40"/>
  <c r="P78" i="40"/>
  <c r="O82" i="40"/>
  <c r="O86" i="40" s="1"/>
  <c r="O76" i="40"/>
  <c r="N86" i="40"/>
  <c r="EE21" i="40"/>
  <c r="DW21" i="40"/>
  <c r="DO21" i="40"/>
  <c r="DG21" i="40"/>
  <c r="CY21" i="40"/>
  <c r="CQ21" i="40"/>
  <c r="CI21" i="40"/>
  <c r="CA21" i="40"/>
  <c r="BS21" i="40"/>
  <c r="BK21" i="40"/>
  <c r="N66" i="40"/>
  <c r="O62" i="40"/>
  <c r="N46" i="40"/>
  <c r="N44" i="40" s="1"/>
  <c r="N60" i="40"/>
  <c r="EH54" i="40"/>
  <c r="EH21" i="40" s="1"/>
  <c r="EH17" i="40"/>
  <c r="ED54" i="40"/>
  <c r="ED21" i="40" s="1"/>
  <c r="ED17" i="40"/>
  <c r="DZ54" i="40"/>
  <c r="DZ21" i="40" s="1"/>
  <c r="DZ17" i="40"/>
  <c r="DV54" i="40"/>
  <c r="DV21" i="40" s="1"/>
  <c r="DV17" i="40"/>
  <c r="DR54" i="40"/>
  <c r="DR21" i="40" s="1"/>
  <c r="DR17" i="40"/>
  <c r="DN54" i="40"/>
  <c r="DN21" i="40" s="1"/>
  <c r="DN17" i="40"/>
  <c r="DJ54" i="40"/>
  <c r="DJ21" i="40" s="1"/>
  <c r="DJ17" i="40"/>
  <c r="DF54" i="40"/>
  <c r="DF21" i="40" s="1"/>
  <c r="DF17" i="40"/>
  <c r="DB54" i="40"/>
  <c r="DB21" i="40" s="1"/>
  <c r="DB17" i="40"/>
  <c r="CX54" i="40"/>
  <c r="CX21" i="40" s="1"/>
  <c r="CX17" i="40"/>
  <c r="CT54" i="40"/>
  <c r="CT21" i="40" s="1"/>
  <c r="CT17" i="40"/>
  <c r="CP54" i="40"/>
  <c r="CP21" i="40" s="1"/>
  <c r="CP17" i="40"/>
  <c r="CL54" i="40"/>
  <c r="CL21" i="40" s="1"/>
  <c r="CL17" i="40"/>
  <c r="CH54" i="40"/>
  <c r="CH21" i="40" s="1"/>
  <c r="CH17" i="40"/>
  <c r="CD54" i="40"/>
  <c r="CD21" i="40" s="1"/>
  <c r="CD17" i="40"/>
  <c r="BZ54" i="40"/>
  <c r="BZ21" i="40" s="1"/>
  <c r="BZ17" i="40"/>
  <c r="BV54" i="40"/>
  <c r="BV21" i="40" s="1"/>
  <c r="BV17" i="40"/>
  <c r="BR54" i="40"/>
  <c r="BR21" i="40" s="1"/>
  <c r="BR17" i="40"/>
  <c r="BN54" i="40"/>
  <c r="BN21" i="40" s="1"/>
  <c r="BN17" i="40"/>
  <c r="BJ54" i="40"/>
  <c r="BJ21" i="40" s="1"/>
  <c r="BJ17" i="40"/>
  <c r="BF54" i="40"/>
  <c r="BF21" i="40" s="1"/>
  <c r="BF17" i="40"/>
  <c r="BB54" i="40"/>
  <c r="BB21" i="40" s="1"/>
  <c r="BB17" i="40"/>
  <c r="AX54" i="40"/>
  <c r="AX17" i="40"/>
  <c r="AT54" i="40"/>
  <c r="AT21" i="40" s="1"/>
  <c r="AT17" i="40"/>
  <c r="AP54" i="40"/>
  <c r="AP21" i="40" s="1"/>
  <c r="AP17" i="40"/>
  <c r="AL54" i="40"/>
  <c r="AL21" i="40" s="1"/>
  <c r="AL17" i="40"/>
  <c r="AH54" i="40"/>
  <c r="AH21" i="40" s="1"/>
  <c r="AH17" i="40"/>
  <c r="AD54" i="40"/>
  <c r="AD21" i="40" s="1"/>
  <c r="AD17" i="40"/>
  <c r="Z54" i="40"/>
  <c r="Z21" i="40" s="1"/>
  <c r="Z17" i="40"/>
  <c r="EI54" i="40"/>
  <c r="EI21" i="40" s="1"/>
  <c r="EE54" i="40"/>
  <c r="EA54" i="40"/>
  <c r="EA21" i="40" s="1"/>
  <c r="DW54" i="40"/>
  <c r="DS54" i="40"/>
  <c r="DS21" i="40" s="1"/>
  <c r="DO54" i="40"/>
  <c r="DK54" i="40"/>
  <c r="DK21" i="40" s="1"/>
  <c r="DG54" i="40"/>
  <c r="DC54" i="40"/>
  <c r="DC21" i="40" s="1"/>
  <c r="CY54" i="40"/>
  <c r="CU54" i="40"/>
  <c r="CU21" i="40" s="1"/>
  <c r="CQ54" i="40"/>
  <c r="CM54" i="40"/>
  <c r="CM21" i="40" s="1"/>
  <c r="CI54" i="40"/>
  <c r="CE54" i="40"/>
  <c r="CE21" i="40" s="1"/>
  <c r="CA54" i="40"/>
  <c r="BW54" i="40"/>
  <c r="BW21" i="40" s="1"/>
  <c r="BS54" i="40"/>
  <c r="BO54" i="40"/>
  <c r="BO21" i="40" s="1"/>
  <c r="BK54" i="40"/>
  <c r="BG54" i="40"/>
  <c r="BG21" i="40" s="1"/>
  <c r="BC54" i="40"/>
  <c r="BC21" i="40" s="1"/>
  <c r="AY54" i="40"/>
  <c r="AY21" i="40" s="1"/>
  <c r="AU54" i="40"/>
  <c r="AU21" i="40" s="1"/>
  <c r="AQ54" i="40"/>
  <c r="AQ21" i="40" s="1"/>
  <c r="AM54" i="40"/>
  <c r="AM21" i="40" s="1"/>
  <c r="AI54" i="40"/>
  <c r="AI21" i="40" s="1"/>
  <c r="AE54" i="40"/>
  <c r="AE21" i="40" s="1"/>
  <c r="AA54" i="40"/>
  <c r="AA21" i="40" s="1"/>
  <c r="AX21" i="40"/>
  <c r="AG21" i="40"/>
  <c r="AZ21" i="40"/>
  <c r="AR21" i="40"/>
  <c r="F38" i="40"/>
  <c r="F21" i="40" s="1"/>
  <c r="F17" i="40"/>
  <c r="I30" i="40"/>
  <c r="H34" i="40"/>
  <c r="H13" i="40"/>
  <c r="G38" i="40"/>
  <c r="G21" i="40" s="1"/>
  <c r="I34" i="40" l="1"/>
  <c r="J30" i="40"/>
  <c r="I28" i="40"/>
  <c r="I11" i="40" s="1"/>
  <c r="I13" i="40"/>
  <c r="O66" i="40"/>
  <c r="P62" i="40"/>
  <c r="O60" i="40"/>
  <c r="O46" i="40"/>
  <c r="O44" i="40" s="1"/>
  <c r="P82" i="40"/>
  <c r="P86" i="40" s="1"/>
  <c r="P76" i="40"/>
  <c r="Q78" i="40"/>
  <c r="P98" i="40"/>
  <c r="P102" i="40" s="1"/>
  <c r="Q94" i="40"/>
  <c r="P92" i="40"/>
  <c r="K35" i="40"/>
  <c r="K18" i="40" s="1"/>
  <c r="L31" i="40"/>
  <c r="K29" i="40"/>
  <c r="K12" i="40" s="1"/>
  <c r="K14" i="40"/>
  <c r="P83" i="40"/>
  <c r="Q79" i="40"/>
  <c r="P77" i="40"/>
  <c r="H38" i="40"/>
  <c r="H21" i="40" s="1"/>
  <c r="H17" i="40"/>
  <c r="N70" i="40"/>
  <c r="N54" i="40" s="1"/>
  <c r="N50" i="40"/>
  <c r="P67" i="40"/>
  <c r="Q63" i="40"/>
  <c r="P61" i="40"/>
  <c r="O99" i="40"/>
  <c r="O51" i="40" s="1"/>
  <c r="P95" i="40"/>
  <c r="O93" i="40"/>
  <c r="P99" i="40" l="1"/>
  <c r="Q95" i="40"/>
  <c r="P93" i="40"/>
  <c r="P47" i="40"/>
  <c r="P45" i="40" s="1"/>
  <c r="Q67" i="40"/>
  <c r="R63" i="40"/>
  <c r="Q61" i="40"/>
  <c r="Q47" i="40"/>
  <c r="Q45" i="40" s="1"/>
  <c r="Q98" i="40"/>
  <c r="Q102" i="40" s="1"/>
  <c r="R94" i="40"/>
  <c r="Q92" i="40"/>
  <c r="P66" i="40"/>
  <c r="P60" i="40"/>
  <c r="Q62" i="40"/>
  <c r="P46" i="40"/>
  <c r="P44" i="40" s="1"/>
  <c r="K30" i="40"/>
  <c r="J13" i="40"/>
  <c r="J34" i="40"/>
  <c r="P51" i="40"/>
  <c r="Q83" i="40"/>
  <c r="R79" i="40"/>
  <c r="M31" i="40"/>
  <c r="L35" i="40"/>
  <c r="L18" i="40" s="1"/>
  <c r="L29" i="40"/>
  <c r="L12" i="40" s="1"/>
  <c r="L14" i="40"/>
  <c r="R78" i="40"/>
  <c r="Q82" i="40"/>
  <c r="Q86" i="40" s="1"/>
  <c r="O70" i="40"/>
  <c r="O54" i="40" s="1"/>
  <c r="O50" i="40"/>
  <c r="I38" i="40"/>
  <c r="I21" i="40" s="1"/>
  <c r="I17" i="40"/>
  <c r="R82" i="40" l="1"/>
  <c r="R86" i="40" s="1"/>
  <c r="S78" i="40"/>
  <c r="M35" i="40"/>
  <c r="M18" i="40" s="1"/>
  <c r="N31" i="40"/>
  <c r="M29" i="40"/>
  <c r="M12" i="40" s="1"/>
  <c r="M14" i="40"/>
  <c r="J38" i="40"/>
  <c r="J21" i="40" s="1"/>
  <c r="J17" i="40"/>
  <c r="K34" i="40"/>
  <c r="L30" i="40"/>
  <c r="K28" i="40"/>
  <c r="K11" i="40" s="1"/>
  <c r="K13" i="40"/>
  <c r="R62" i="40"/>
  <c r="Q60" i="40"/>
  <c r="Q46" i="40"/>
  <c r="Q44" i="40" s="1"/>
  <c r="Q66" i="40"/>
  <c r="P70" i="40"/>
  <c r="P54" i="40" s="1"/>
  <c r="P50" i="40"/>
  <c r="R98" i="40"/>
  <c r="R102" i="40" s="1"/>
  <c r="S94" i="40"/>
  <c r="R92" i="40"/>
  <c r="R67" i="40"/>
  <c r="S63" i="40"/>
  <c r="R61" i="40"/>
  <c r="Q99" i="40"/>
  <c r="R95" i="40"/>
  <c r="Q93" i="40"/>
  <c r="R83" i="40"/>
  <c r="S79" i="40"/>
  <c r="Q51" i="40"/>
  <c r="R93" i="40" l="1"/>
  <c r="R99" i="40"/>
  <c r="S95" i="40"/>
  <c r="S67" i="40"/>
  <c r="T63" i="40"/>
  <c r="S61" i="40"/>
  <c r="S47" i="40"/>
  <c r="S83" i="40"/>
  <c r="T79" i="40"/>
  <c r="S77" i="40"/>
  <c r="R51" i="40"/>
  <c r="S98" i="40"/>
  <c r="S102" i="40" s="1"/>
  <c r="T94" i="40"/>
  <c r="S92" i="40"/>
  <c r="Q70" i="40"/>
  <c r="Q54" i="40" s="1"/>
  <c r="Q50" i="40"/>
  <c r="M30" i="40"/>
  <c r="L34" i="40"/>
  <c r="L28" i="40"/>
  <c r="L11" i="40" s="1"/>
  <c r="L13" i="40"/>
  <c r="O31" i="40"/>
  <c r="N29" i="40"/>
  <c r="N12" i="40" s="1"/>
  <c r="N14" i="40"/>
  <c r="N35" i="40"/>
  <c r="N18" i="40" s="1"/>
  <c r="T78" i="40"/>
  <c r="S82" i="40"/>
  <c r="S86" i="40" s="1"/>
  <c r="S76" i="40"/>
  <c r="R47" i="40"/>
  <c r="R45" i="40" s="1"/>
  <c r="R66" i="40"/>
  <c r="S62" i="40"/>
  <c r="R46" i="40"/>
  <c r="R44" i="40" s="1"/>
  <c r="R60" i="40"/>
  <c r="K38" i="40"/>
  <c r="K21" i="40" s="1"/>
  <c r="K17" i="40"/>
  <c r="R70" i="40" l="1"/>
  <c r="R54" i="40" s="1"/>
  <c r="R50" i="40"/>
  <c r="T82" i="40"/>
  <c r="T86" i="40" s="1"/>
  <c r="T76" i="40"/>
  <c r="U78" i="40"/>
  <c r="T62" i="40"/>
  <c r="S66" i="40"/>
  <c r="S60" i="40"/>
  <c r="S46" i="40"/>
  <c r="S44" i="40" s="1"/>
  <c r="L38" i="40"/>
  <c r="L21" i="40" s="1"/>
  <c r="L17" i="40"/>
  <c r="O35" i="40"/>
  <c r="O18" i="40" s="1"/>
  <c r="P31" i="40"/>
  <c r="O29" i="40"/>
  <c r="O12" i="40" s="1"/>
  <c r="O14" i="40"/>
  <c r="M34" i="40"/>
  <c r="N30" i="40"/>
  <c r="M28" i="40"/>
  <c r="M11" i="40" s="1"/>
  <c r="M13" i="40"/>
  <c r="U94" i="40"/>
  <c r="T98" i="40"/>
  <c r="T102" i="40" s="1"/>
  <c r="T92" i="40"/>
  <c r="T83" i="40"/>
  <c r="U79" i="40"/>
  <c r="T77" i="40"/>
  <c r="S45" i="40"/>
  <c r="T67" i="40"/>
  <c r="U63" i="40"/>
  <c r="T61" i="40"/>
  <c r="S99" i="40"/>
  <c r="S51" i="40" s="1"/>
  <c r="T95" i="40"/>
  <c r="S93" i="40"/>
  <c r="O30" i="40" l="1"/>
  <c r="N28" i="40"/>
  <c r="N11" i="40" s="1"/>
  <c r="N13" i="40"/>
  <c r="N34" i="40"/>
  <c r="Q31" i="40"/>
  <c r="P35" i="40"/>
  <c r="P18" i="40" s="1"/>
  <c r="P29" i="40"/>
  <c r="P12" i="40" s="1"/>
  <c r="P14" i="40"/>
  <c r="T66" i="40"/>
  <c r="U62" i="40"/>
  <c r="T60" i="40"/>
  <c r="T46" i="40"/>
  <c r="T44" i="40" s="1"/>
  <c r="T99" i="40"/>
  <c r="T51" i="40" s="1"/>
  <c r="U95" i="40"/>
  <c r="T93" i="40"/>
  <c r="T47" i="40"/>
  <c r="T45" i="40" s="1"/>
  <c r="U67" i="40"/>
  <c r="V63" i="40"/>
  <c r="U61" i="40"/>
  <c r="U47" i="40"/>
  <c r="U45" i="40" s="1"/>
  <c r="V79" i="40"/>
  <c r="U77" i="40"/>
  <c r="U83" i="40"/>
  <c r="V94" i="40"/>
  <c r="U92" i="40"/>
  <c r="U98" i="40"/>
  <c r="U102" i="40" s="1"/>
  <c r="M38" i="40"/>
  <c r="M21" i="40" s="1"/>
  <c r="M17" i="40"/>
  <c r="S70" i="40"/>
  <c r="S54" i="40" s="1"/>
  <c r="S50" i="40"/>
  <c r="V78" i="40"/>
  <c r="U76" i="40"/>
  <c r="U82" i="40"/>
  <c r="U86" i="40" s="1"/>
  <c r="V76" i="40" l="1"/>
  <c r="W78" i="40"/>
  <c r="V82" i="40"/>
  <c r="V86" i="40" s="1"/>
  <c r="W79" i="40"/>
  <c r="V77" i="40"/>
  <c r="V83" i="40"/>
  <c r="T70" i="40"/>
  <c r="T54" i="40" s="1"/>
  <c r="T50" i="40"/>
  <c r="Q35" i="40"/>
  <c r="Q18" i="40" s="1"/>
  <c r="R31" i="40"/>
  <c r="Q29" i="40"/>
  <c r="Q12" i="40" s="1"/>
  <c r="Q14" i="40"/>
  <c r="O34" i="40"/>
  <c r="P30" i="40"/>
  <c r="O28" i="40"/>
  <c r="O11" i="40" s="1"/>
  <c r="O13" i="40"/>
  <c r="W94" i="40"/>
  <c r="V98" i="40"/>
  <c r="V102" i="40" s="1"/>
  <c r="V92" i="40"/>
  <c r="V67" i="40"/>
  <c r="W63" i="40"/>
  <c r="V61" i="40"/>
  <c r="V47" i="40"/>
  <c r="V45" i="40" s="1"/>
  <c r="V95" i="40"/>
  <c r="U93" i="40"/>
  <c r="U99" i="40"/>
  <c r="U51" i="40" s="1"/>
  <c r="V62" i="40"/>
  <c r="U60" i="40"/>
  <c r="U46" i="40"/>
  <c r="U44" i="40" s="1"/>
  <c r="U66" i="40"/>
  <c r="N38" i="40"/>
  <c r="N21" i="40" s="1"/>
  <c r="N17" i="40"/>
  <c r="V66" i="40" l="1"/>
  <c r="W62" i="40"/>
  <c r="V46" i="40"/>
  <c r="V44" i="40" s="1"/>
  <c r="V60" i="40"/>
  <c r="X61" i="40"/>
  <c r="W67" i="40"/>
  <c r="W61" i="40"/>
  <c r="X92" i="40"/>
  <c r="W92" i="40"/>
  <c r="W98" i="40"/>
  <c r="O38" i="40"/>
  <c r="O21" i="40" s="1"/>
  <c r="O17" i="40"/>
  <c r="X77" i="40"/>
  <c r="W77" i="40"/>
  <c r="W83" i="40"/>
  <c r="X76" i="40"/>
  <c r="W76" i="40"/>
  <c r="W82" i="40"/>
  <c r="U70" i="40"/>
  <c r="U54" i="40" s="1"/>
  <c r="U50" i="40"/>
  <c r="V93" i="40"/>
  <c r="V99" i="40"/>
  <c r="W95" i="40"/>
  <c r="V51" i="40"/>
  <c r="Q30" i="40"/>
  <c r="P34" i="40"/>
  <c r="P28" i="40"/>
  <c r="P11" i="40" s="1"/>
  <c r="P13" i="40"/>
  <c r="S31" i="40"/>
  <c r="R29" i="40"/>
  <c r="R12" i="40" s="1"/>
  <c r="R14" i="40"/>
  <c r="R35" i="40"/>
  <c r="R18" i="40" s="1"/>
  <c r="S35" i="40" l="1"/>
  <c r="S18" i="40" s="1"/>
  <c r="T31" i="40"/>
  <c r="S29" i="40"/>
  <c r="S12" i="40" s="1"/>
  <c r="S14" i="40"/>
  <c r="Q34" i="40"/>
  <c r="R30" i="40"/>
  <c r="Q28" i="40"/>
  <c r="Q11" i="40" s="1"/>
  <c r="Q13" i="40"/>
  <c r="X93" i="40"/>
  <c r="W93" i="40"/>
  <c r="W99" i="40"/>
  <c r="W47" i="40"/>
  <c r="W51" i="40"/>
  <c r="W66" i="40"/>
  <c r="W60" i="40"/>
  <c r="W46" i="40"/>
  <c r="X60" i="40"/>
  <c r="P38" i="40"/>
  <c r="P21" i="40" s="1"/>
  <c r="P17" i="40"/>
  <c r="W86" i="40"/>
  <c r="X86" i="40"/>
  <c r="W102" i="40"/>
  <c r="X102" i="40"/>
  <c r="V70" i="40"/>
  <c r="V54" i="40" s="1"/>
  <c r="V50" i="40"/>
  <c r="W44" i="40" l="1"/>
  <c r="X44" i="40"/>
  <c r="W70" i="40"/>
  <c r="W54" i="40" s="1"/>
  <c r="W50" i="40"/>
  <c r="X70" i="40"/>
  <c r="X54" i="40" s="1"/>
  <c r="X45" i="40"/>
  <c r="W45" i="40"/>
  <c r="S30" i="40"/>
  <c r="R28" i="40"/>
  <c r="R11" i="40" s="1"/>
  <c r="R13" i="40"/>
  <c r="R34" i="40"/>
  <c r="U31" i="40"/>
  <c r="T35" i="40"/>
  <c r="T18" i="40" s="1"/>
  <c r="T29" i="40"/>
  <c r="T12" i="40" s="1"/>
  <c r="T14" i="40"/>
  <c r="Q38" i="40"/>
  <c r="Q21" i="40" s="1"/>
  <c r="Q17" i="40"/>
  <c r="U35" i="40" l="1"/>
  <c r="U18" i="40" s="1"/>
  <c r="V31" i="40"/>
  <c r="U29" i="40"/>
  <c r="U12" i="40" s="1"/>
  <c r="U14" i="40"/>
  <c r="S34" i="40"/>
  <c r="T30" i="40"/>
  <c r="S28" i="40"/>
  <c r="S11" i="40" s="1"/>
  <c r="S13" i="40"/>
  <c r="R38" i="40"/>
  <c r="R21" i="40" s="1"/>
  <c r="R17" i="40"/>
  <c r="U30" i="40" l="1"/>
  <c r="T34" i="40"/>
  <c r="T28" i="40"/>
  <c r="T11" i="40" s="1"/>
  <c r="T13" i="40"/>
  <c r="W31" i="40"/>
  <c r="V29" i="40"/>
  <c r="V12" i="40" s="1"/>
  <c r="V14" i="40"/>
  <c r="V35" i="40"/>
  <c r="V18" i="40" s="1"/>
  <c r="S38" i="40"/>
  <c r="S21" i="40" s="1"/>
  <c r="S17" i="40"/>
  <c r="T38" i="40" l="1"/>
  <c r="T21" i="40" s="1"/>
  <c r="T17" i="40"/>
  <c r="W35" i="40"/>
  <c r="W18" i="40" s="1"/>
  <c r="X29" i="40"/>
  <c r="X12" i="40" s="1"/>
  <c r="W29" i="40"/>
  <c r="W12" i="40" s="1"/>
  <c r="W14" i="40"/>
  <c r="U34" i="40"/>
  <c r="V30" i="40"/>
  <c r="U28" i="40"/>
  <c r="U11" i="40" s="1"/>
  <c r="U13" i="40"/>
  <c r="W30" i="40" l="1"/>
  <c r="V28" i="40"/>
  <c r="V11" i="40" s="1"/>
  <c r="V13" i="40"/>
  <c r="V34" i="40"/>
  <c r="U38" i="40"/>
  <c r="U21" i="40" s="1"/>
  <c r="U17" i="40"/>
  <c r="V38" i="40" l="1"/>
  <c r="V21" i="40" s="1"/>
  <c r="V17" i="40"/>
  <c r="W34" i="40"/>
  <c r="X28" i="40"/>
  <c r="X11" i="40" s="1"/>
  <c r="W28" i="40"/>
  <c r="W11" i="40" s="1"/>
  <c r="W13" i="40"/>
  <c r="W38" i="40" l="1"/>
  <c r="W21" i="40" s="1"/>
  <c r="W17" i="40"/>
  <c r="X38" i="40"/>
  <c r="X21" i="40" s="1"/>
  <c r="DG12" i="38" l="1"/>
  <c r="DG13" i="38"/>
  <c r="DG14" i="38"/>
  <c r="DG15" i="38"/>
  <c r="DG16" i="38"/>
  <c r="DG17" i="38"/>
  <c r="DG18" i="38"/>
  <c r="DG20" i="38"/>
  <c r="DG26" i="38"/>
  <c r="DG33" i="38"/>
  <c r="DG8" i="38" s="1"/>
  <c r="DG35" i="38"/>
  <c r="DG53" i="37" s="1"/>
  <c r="DG56" i="37" s="1"/>
  <c r="DG37" i="38"/>
  <c r="DG38" i="38"/>
  <c r="DG41" i="38"/>
  <c r="DG44" i="38"/>
  <c r="DG45" i="38"/>
  <c r="DG48" i="38"/>
  <c r="DG51" i="38"/>
  <c r="DG52" i="38"/>
  <c r="DG55" i="38"/>
  <c r="DG4" i="37"/>
  <c r="DG31" i="37"/>
  <c r="DG33" i="37"/>
  <c r="DG34" i="37"/>
  <c r="DG35" i="37"/>
  <c r="DG26" i="37" s="1"/>
  <c r="DG38" i="37"/>
  <c r="DG41" i="37"/>
  <c r="DG44" i="37" s="1"/>
  <c r="DG45" i="37"/>
  <c r="DG46" i="37"/>
  <c r="DG47" i="37"/>
  <c r="DG50" i="37" l="1"/>
  <c r="DG29" i="37" s="1"/>
  <c r="DG5" i="37"/>
  <c r="DG23" i="38"/>
  <c r="DG29" i="38"/>
  <c r="DG30" i="38"/>
  <c r="DG22" i="38"/>
  <c r="DG34" i="38"/>
  <c r="DG51" i="37" s="1"/>
  <c r="DG39" i="37"/>
  <c r="DG6" i="38"/>
  <c r="DG32" i="37"/>
  <c r="DF34" i="37"/>
  <c r="DF33" i="37"/>
  <c r="DG30" i="37" l="1"/>
  <c r="DG5" i="38"/>
  <c r="DG9" i="38"/>
  <c r="DG10" i="38" s="1"/>
  <c r="DB4" i="37" l="1"/>
  <c r="DB20" i="37" s="1"/>
  <c r="DB25" i="37"/>
  <c r="DA25" i="37"/>
  <c r="DC25" i="37" l="1"/>
  <c r="CZ25" i="37"/>
  <c r="CM25" i="37"/>
  <c r="CL25" i="37"/>
  <c r="CK25" i="37"/>
  <c r="CZ7" i="37"/>
  <c r="DC4" i="37"/>
  <c r="DC20" i="37" s="1"/>
  <c r="DA4" i="37"/>
  <c r="DA20" i="37" s="1"/>
  <c r="DF25" i="37" l="1"/>
  <c r="DG25" i="37" s="1"/>
  <c r="DF4" i="37"/>
  <c r="DF20" i="37" s="1"/>
  <c r="DF33" i="38"/>
  <c r="DF35" i="38"/>
  <c r="DE35" i="38"/>
  <c r="DG19" i="38" l="1"/>
  <c r="DG22" i="37"/>
  <c r="DF7" i="37"/>
  <c r="DF12" i="38"/>
  <c r="DF13" i="38"/>
  <c r="DF14" i="38"/>
  <c r="DF15" i="38"/>
  <c r="DF16" i="38"/>
  <c r="DF17" i="38"/>
  <c r="DF18" i="38"/>
  <c r="DF20" i="38"/>
  <c r="DF26" i="38"/>
  <c r="DF8" i="38"/>
  <c r="DF37" i="38"/>
  <c r="DF38" i="38"/>
  <c r="DF41" i="38"/>
  <c r="DF44" i="38"/>
  <c r="DF45" i="38"/>
  <c r="DF48" i="38"/>
  <c r="DF51" i="38"/>
  <c r="DF52" i="38"/>
  <c r="DF55" i="38"/>
  <c r="DF31" i="37"/>
  <c r="DF22" i="38"/>
  <c r="DF35" i="37"/>
  <c r="DF38" i="37"/>
  <c r="DF41" i="37"/>
  <c r="DF45" i="37"/>
  <c r="DF46" i="37"/>
  <c r="DF47" i="37"/>
  <c r="DF53" i="37"/>
  <c r="DF56" i="37" s="1"/>
  <c r="DF26" i="37" l="1"/>
  <c r="DF39" i="37"/>
  <c r="DF29" i="38"/>
  <c r="DF5" i="38" s="1"/>
  <c r="DF5" i="37"/>
  <c r="DF23" i="38"/>
  <c r="DF50" i="37"/>
  <c r="DF29" i="37" s="1"/>
  <c r="DF34" i="38"/>
  <c r="DF51" i="37" s="1"/>
  <c r="DF30" i="38"/>
  <c r="DF32" i="37"/>
  <c r="DF44" i="37"/>
  <c r="DF30" i="37" l="1"/>
  <c r="DF6" i="38"/>
  <c r="DF9" i="38"/>
  <c r="DF10" i="38" s="1"/>
  <c r="DE4" i="37" l="1"/>
  <c r="DE20" i="37" s="1"/>
  <c r="DG23" i="37" s="1"/>
  <c r="DE12" i="38" l="1"/>
  <c r="DE13" i="38"/>
  <c r="DE14" i="38"/>
  <c r="DE15" i="38"/>
  <c r="DE16" i="38"/>
  <c r="DE17" i="38"/>
  <c r="DE18" i="38"/>
  <c r="DE20" i="38"/>
  <c r="DE26" i="38"/>
  <c r="DE33" i="38"/>
  <c r="DE8" i="38" s="1"/>
  <c r="DE37" i="38"/>
  <c r="DE38" i="38"/>
  <c r="DE41" i="38"/>
  <c r="DE44" i="38"/>
  <c r="DE45" i="38"/>
  <c r="DE48" i="38"/>
  <c r="DE34" i="38" s="1"/>
  <c r="DE51" i="38"/>
  <c r="DE52" i="38"/>
  <c r="DE55" i="38"/>
  <c r="DE7" i="37"/>
  <c r="DE31" i="37"/>
  <c r="DE33" i="37"/>
  <c r="DE22" i="38" s="1"/>
  <c r="DE34" i="37"/>
  <c r="DE35" i="37"/>
  <c r="DE38" i="37"/>
  <c r="DE41" i="37"/>
  <c r="DE45" i="37"/>
  <c r="DE46" i="37"/>
  <c r="DE47" i="37"/>
  <c r="DE53" i="37"/>
  <c r="DE56" i="37"/>
  <c r="DE32" i="37"/>
  <c r="DE44" i="37"/>
  <c r="DE39" i="37"/>
  <c r="DC45" i="37"/>
  <c r="DD45" i="37"/>
  <c r="DD33" i="37"/>
  <c r="DD22" i="38" s="1"/>
  <c r="DD34" i="37"/>
  <c r="DD23" i="38" s="1"/>
  <c r="DD26" i="38"/>
  <c r="CZ30" i="37"/>
  <c r="DD30" i="37"/>
  <c r="DD29" i="37"/>
  <c r="DD12" i="38"/>
  <c r="DD13" i="38"/>
  <c r="DD14" i="38"/>
  <c r="DD15" i="38"/>
  <c r="DD16" i="38"/>
  <c r="DD17" i="38"/>
  <c r="DD18" i="38"/>
  <c r="DD20" i="38"/>
  <c r="DD33" i="38"/>
  <c r="DD50" i="37"/>
  <c r="DD35" i="38"/>
  <c r="DD53" i="37"/>
  <c r="DD56" i="37"/>
  <c r="DD37" i="38"/>
  <c r="DD41" i="38"/>
  <c r="DD44" i="38"/>
  <c r="DD48" i="38"/>
  <c r="DD51" i="38"/>
  <c r="DD55" i="38"/>
  <c r="DD7" i="37"/>
  <c r="DD31" i="37"/>
  <c r="DD38" i="37"/>
  <c r="DD41" i="37"/>
  <c r="DD34" i="38"/>
  <c r="DD51" i="37"/>
  <c r="DD39" i="37"/>
  <c r="DD8" i="38"/>
  <c r="DD32" i="37"/>
  <c r="DD44" i="37"/>
  <c r="DA7" i="37"/>
  <c r="DB39" i="37"/>
  <c r="DD9" i="38"/>
  <c r="DD10" i="38"/>
  <c r="DC7" i="37"/>
  <c r="DC12" i="38"/>
  <c r="DC13" i="38"/>
  <c r="DC14" i="38"/>
  <c r="DC15" i="38"/>
  <c r="DC16" i="38"/>
  <c r="DC17" i="38"/>
  <c r="DC18" i="38"/>
  <c r="DC20" i="38"/>
  <c r="DC26" i="38"/>
  <c r="DC33" i="38"/>
  <c r="DC8" i="38"/>
  <c r="DC35" i="38"/>
  <c r="DC37" i="38"/>
  <c r="DC41" i="38"/>
  <c r="DC44" i="38"/>
  <c r="DC48" i="38"/>
  <c r="DC51" i="38"/>
  <c r="DC55" i="38"/>
  <c r="DC29" i="38"/>
  <c r="DC34" i="38"/>
  <c r="DC9" i="38"/>
  <c r="DC10" i="38"/>
  <c r="DC31" i="37"/>
  <c r="DC33" i="37"/>
  <c r="DC38" i="37"/>
  <c r="DC41" i="37"/>
  <c r="DC50" i="37"/>
  <c r="DC29" i="37"/>
  <c r="DC51" i="37"/>
  <c r="DC53" i="37"/>
  <c r="DC56" i="37"/>
  <c r="DC52" i="38"/>
  <c r="DD45" i="38"/>
  <c r="DC47" i="37"/>
  <c r="DC34" i="37"/>
  <c r="DD35" i="37"/>
  <c r="DC35" i="37"/>
  <c r="DD4" i="37"/>
  <c r="DD20" i="37" s="1"/>
  <c r="DD47" i="37"/>
  <c r="DC23" i="38"/>
  <c r="DD52" i="38"/>
  <c r="DC22" i="38"/>
  <c r="DC5" i="38" s="1"/>
  <c r="DD38" i="38"/>
  <c r="DC32" i="37"/>
  <c r="DC44" i="37"/>
  <c r="DC39" i="37"/>
  <c r="DC30" i="37"/>
  <c r="DC38" i="38"/>
  <c r="DC45" i="38"/>
  <c r="DC46" i="37"/>
  <c r="DC5" i="37" s="1"/>
  <c r="DD46" i="37"/>
  <c r="DB7" i="37"/>
  <c r="DA34" i="37"/>
  <c r="CZ4" i="37"/>
  <c r="CZ20" i="37" s="1"/>
  <c r="DB34" i="37"/>
  <c r="DB46" i="37"/>
  <c r="DB12" i="38"/>
  <c r="DB13" i="38"/>
  <c r="DB14" i="38"/>
  <c r="DB15" i="38"/>
  <c r="DB16" i="38"/>
  <c r="DB17" i="38"/>
  <c r="DB18" i="38"/>
  <c r="DB20" i="38"/>
  <c r="DB26" i="38"/>
  <c r="DB33" i="38"/>
  <c r="DB8" i="38"/>
  <c r="DB35" i="38"/>
  <c r="DB53" i="37"/>
  <c r="DB56" i="37"/>
  <c r="DB37" i="38"/>
  <c r="DB38" i="38"/>
  <c r="DB41" i="38"/>
  <c r="DB44" i="38"/>
  <c r="DB45" i="38"/>
  <c r="DB48" i="38"/>
  <c r="DB51" i="38"/>
  <c r="DB52" i="38"/>
  <c r="DB55" i="38"/>
  <c r="DB31" i="37"/>
  <c r="DB33" i="37"/>
  <c r="DB22" i="38" s="1"/>
  <c r="DB35" i="37"/>
  <c r="DB38" i="37"/>
  <c r="DB41" i="37"/>
  <c r="DB45" i="37"/>
  <c r="DB47" i="37"/>
  <c r="DB50" i="37"/>
  <c r="DB29" i="37"/>
  <c r="DB34" i="38"/>
  <c r="DB51" i="37"/>
  <c r="DB23" i="38"/>
  <c r="DB32" i="37"/>
  <c r="DB44" i="37"/>
  <c r="CZ35" i="38"/>
  <c r="CZ53" i="37"/>
  <c r="DB30" i="37"/>
  <c r="DB9" i="38"/>
  <c r="DB10" i="38"/>
  <c r="CZ48" i="38"/>
  <c r="DA12" i="38"/>
  <c r="DA13" i="38"/>
  <c r="DA14" i="38"/>
  <c r="DA15" i="38"/>
  <c r="DA16" i="38"/>
  <c r="DA17" i="38"/>
  <c r="DA18" i="38"/>
  <c r="DA20" i="38"/>
  <c r="DA26" i="38"/>
  <c r="DA33" i="38"/>
  <c r="DA8" i="38"/>
  <c r="DA35" i="38"/>
  <c r="DA37" i="38"/>
  <c r="DA41" i="38"/>
  <c r="DA44" i="38"/>
  <c r="DA48" i="38"/>
  <c r="DA51" i="38"/>
  <c r="DA55" i="38"/>
  <c r="DA52" i="38"/>
  <c r="DA45" i="38"/>
  <c r="DA38" i="38"/>
  <c r="DA34" i="38"/>
  <c r="DA9" i="38"/>
  <c r="DA10" i="38"/>
  <c r="DA31" i="37"/>
  <c r="DA33" i="37"/>
  <c r="DA22" i="38" s="1"/>
  <c r="DA23" i="38"/>
  <c r="DA35" i="37"/>
  <c r="DA38" i="37"/>
  <c r="DA41" i="37"/>
  <c r="DA45" i="37"/>
  <c r="DA46" i="37"/>
  <c r="DA47" i="37"/>
  <c r="DA50" i="37"/>
  <c r="DA51" i="37"/>
  <c r="DA53" i="37"/>
  <c r="DA56" i="37"/>
  <c r="DA29" i="37"/>
  <c r="DA39" i="37"/>
  <c r="DA30" i="37"/>
  <c r="DA44" i="37"/>
  <c r="DA32" i="37"/>
  <c r="CY47" i="37"/>
  <c r="CZ47" i="37"/>
  <c r="CZ12" i="38"/>
  <c r="CZ13" i="38"/>
  <c r="CZ14" i="38"/>
  <c r="CZ15" i="38"/>
  <c r="CZ16" i="38"/>
  <c r="CZ17" i="38"/>
  <c r="CZ18" i="38"/>
  <c r="CZ20" i="38"/>
  <c r="CZ26" i="38"/>
  <c r="CZ33" i="38"/>
  <c r="CZ8" i="38"/>
  <c r="CZ37" i="38"/>
  <c r="CZ38" i="38"/>
  <c r="CZ41" i="38"/>
  <c r="CZ44" i="38"/>
  <c r="CZ45" i="38"/>
  <c r="CZ51" i="38"/>
  <c r="CZ52" i="38"/>
  <c r="CZ55" i="38"/>
  <c r="CZ31" i="37"/>
  <c r="CZ33" i="37"/>
  <c r="CZ22" i="38" s="1"/>
  <c r="CZ34" i="37"/>
  <c r="CZ23" i="38" s="1"/>
  <c r="CZ35" i="37"/>
  <c r="CZ38" i="37"/>
  <c r="CZ41" i="37"/>
  <c r="CZ44" i="37"/>
  <c r="CZ45" i="37"/>
  <c r="CZ46" i="37"/>
  <c r="CZ50" i="37"/>
  <c r="CZ56" i="37"/>
  <c r="CZ39" i="37"/>
  <c r="CZ5" i="37"/>
  <c r="CZ29" i="37"/>
  <c r="CZ34" i="38"/>
  <c r="CZ51" i="37"/>
  <c r="CZ32" i="37"/>
  <c r="CZ9" i="38"/>
  <c r="CZ10" i="38"/>
  <c r="CY20" i="38"/>
  <c r="CY7" i="37"/>
  <c r="CY12" i="38"/>
  <c r="CY13" i="38"/>
  <c r="CY14" i="38"/>
  <c r="CY15" i="38"/>
  <c r="CY16" i="38"/>
  <c r="CY17" i="38"/>
  <c r="CY18" i="38"/>
  <c r="CY26" i="38"/>
  <c r="CY33" i="38"/>
  <c r="CY8" i="38"/>
  <c r="CY35" i="38"/>
  <c r="CY53" i="37"/>
  <c r="CY56" i="37"/>
  <c r="CY37" i="38"/>
  <c r="CY38" i="38"/>
  <c r="CY41" i="38"/>
  <c r="CY44" i="38"/>
  <c r="CY45" i="38"/>
  <c r="CY48" i="38"/>
  <c r="CY51" i="38"/>
  <c r="CY52" i="38"/>
  <c r="CY55" i="38"/>
  <c r="CY4" i="37"/>
  <c r="CY20" i="37" s="1"/>
  <c r="CY31" i="37"/>
  <c r="CY33" i="37"/>
  <c r="CY34" i="37"/>
  <c r="CY23" i="38" s="1"/>
  <c r="CY35" i="37"/>
  <c r="CY38" i="37"/>
  <c r="CY41" i="37"/>
  <c r="CY45" i="37"/>
  <c r="CY46" i="37"/>
  <c r="CY50" i="37"/>
  <c r="CY26" i="37"/>
  <c r="CY29" i="37"/>
  <c r="CY22" i="38"/>
  <c r="CY34" i="38"/>
  <c r="CY51" i="37"/>
  <c r="CY32" i="37"/>
  <c r="CY44" i="37"/>
  <c r="CY39" i="37"/>
  <c r="CY9" i="38"/>
  <c r="CY10" i="38"/>
  <c r="CY30" i="37"/>
  <c r="CX12" i="38"/>
  <c r="CX13" i="38"/>
  <c r="CX14" i="38"/>
  <c r="CX15" i="38"/>
  <c r="CX16" i="38"/>
  <c r="CX17" i="38"/>
  <c r="CX18" i="38"/>
  <c r="CX20" i="38"/>
  <c r="CX26" i="38"/>
  <c r="CX33" i="38"/>
  <c r="CX8" i="38"/>
  <c r="CX35" i="38"/>
  <c r="CX37" i="38"/>
  <c r="CX38" i="38"/>
  <c r="CX41" i="38"/>
  <c r="CX44" i="38"/>
  <c r="CX45" i="38"/>
  <c r="CX48" i="38"/>
  <c r="CX51" i="38"/>
  <c r="CX52" i="38"/>
  <c r="CX55" i="38"/>
  <c r="CX34" i="38"/>
  <c r="CX9" i="38"/>
  <c r="CX10" i="38"/>
  <c r="CX4" i="37"/>
  <c r="CX7" i="37"/>
  <c r="CX20" i="37"/>
  <c r="CX31" i="37"/>
  <c r="CX33" i="37"/>
  <c r="CX22" i="38" s="1"/>
  <c r="CX34" i="37"/>
  <c r="CX23" i="38" s="1"/>
  <c r="CX35" i="37"/>
  <c r="CX38" i="37"/>
  <c r="CX41" i="37"/>
  <c r="CX45" i="37"/>
  <c r="CX46" i="37"/>
  <c r="CX47" i="37"/>
  <c r="CX50" i="37"/>
  <c r="CX51" i="37"/>
  <c r="CX53" i="37"/>
  <c r="CX56" i="37"/>
  <c r="CX39" i="37"/>
  <c r="CX30" i="37"/>
  <c r="CX29" i="37"/>
  <c r="CX32" i="37"/>
  <c r="CX44" i="37"/>
  <c r="CW33" i="37"/>
  <c r="CW22" i="38" s="1"/>
  <c r="CV35" i="38"/>
  <c r="CW12" i="38"/>
  <c r="CW13" i="38"/>
  <c r="CW14" i="38"/>
  <c r="CW15" i="38"/>
  <c r="CW16" i="38"/>
  <c r="CW17" i="38"/>
  <c r="CW18" i="38"/>
  <c r="CW20" i="38"/>
  <c r="CW26" i="38"/>
  <c r="CW33" i="38"/>
  <c r="CW8" i="38"/>
  <c r="CW35" i="38"/>
  <c r="CW37" i="38"/>
  <c r="CW38" i="38"/>
  <c r="CW41" i="38"/>
  <c r="CW44" i="38"/>
  <c r="CW45" i="38"/>
  <c r="CW48" i="38"/>
  <c r="CW51" i="38"/>
  <c r="CW52" i="38"/>
  <c r="CW55" i="38"/>
  <c r="CW4" i="37"/>
  <c r="CW20" i="37" s="1"/>
  <c r="CW34" i="38"/>
  <c r="CW51" i="37"/>
  <c r="CW9" i="38"/>
  <c r="CW10" i="38"/>
  <c r="CW7" i="37"/>
  <c r="CW31" i="37"/>
  <c r="CW34" i="37"/>
  <c r="CW35" i="37"/>
  <c r="CW38" i="37"/>
  <c r="CW41" i="37"/>
  <c r="CW45" i="37"/>
  <c r="CW46" i="37"/>
  <c r="CW47" i="37"/>
  <c r="CW50" i="37"/>
  <c r="CW53" i="37"/>
  <c r="CW56" i="37"/>
  <c r="CW23" i="38"/>
  <c r="CW29" i="37"/>
  <c r="CW39" i="37"/>
  <c r="CW30" i="37"/>
  <c r="CW32" i="37"/>
  <c r="CW44" i="37"/>
  <c r="CV34" i="37"/>
  <c r="CV23" i="38" s="1"/>
  <c r="CV4" i="37"/>
  <c r="CV20" i="37" s="1"/>
  <c r="CM18" i="38" s="1"/>
  <c r="CV12" i="38"/>
  <c r="CV13" i="38"/>
  <c r="CV14" i="38"/>
  <c r="CV15" i="38"/>
  <c r="CV16" i="38"/>
  <c r="CV17" i="38"/>
  <c r="CV18" i="38"/>
  <c r="CV20" i="38"/>
  <c r="CV26" i="38"/>
  <c r="CV33" i="38"/>
  <c r="CV8" i="38"/>
  <c r="CV53" i="37"/>
  <c r="CV56" i="37"/>
  <c r="CV37" i="38"/>
  <c r="CV38" i="38"/>
  <c r="CV41" i="38"/>
  <c r="CV44" i="38"/>
  <c r="CV45" i="38"/>
  <c r="CV48" i="38"/>
  <c r="CV51" i="38"/>
  <c r="CV52" i="38"/>
  <c r="CV55" i="38"/>
  <c r="CV7" i="37"/>
  <c r="CV31" i="37"/>
  <c r="CV33" i="37"/>
  <c r="CV22" i="38" s="1"/>
  <c r="CV35" i="37"/>
  <c r="CV38" i="37"/>
  <c r="CV41" i="37"/>
  <c r="CV44" i="37"/>
  <c r="CV45" i="37"/>
  <c r="CV46" i="37"/>
  <c r="CV5" i="37" s="1"/>
  <c r="CV47" i="37"/>
  <c r="CV26" i="37" s="1"/>
  <c r="CV39" i="37"/>
  <c r="CV50" i="37"/>
  <c r="CV29" i="37"/>
  <c r="CV34" i="38"/>
  <c r="CV51" i="37"/>
  <c r="CV32" i="37"/>
  <c r="CV30" i="37"/>
  <c r="CV9" i="38"/>
  <c r="CV10" i="38"/>
  <c r="CU41" i="37"/>
  <c r="CU33" i="37"/>
  <c r="CU22" i="38" s="1"/>
  <c r="CU12" i="38"/>
  <c r="CU13" i="38"/>
  <c r="CU14" i="38"/>
  <c r="CU15" i="38"/>
  <c r="CU16" i="38"/>
  <c r="CU17" i="38"/>
  <c r="CU20" i="38"/>
  <c r="CU26" i="38"/>
  <c r="CU33" i="38"/>
  <c r="CU8" i="38"/>
  <c r="CU35" i="38"/>
  <c r="CU37" i="38"/>
  <c r="CU38" i="38"/>
  <c r="CU41" i="38"/>
  <c r="CU44" i="38"/>
  <c r="CU45" i="38"/>
  <c r="CU48" i="38"/>
  <c r="CU51" i="38"/>
  <c r="CU52" i="38"/>
  <c r="CU55" i="38"/>
  <c r="CU34" i="38"/>
  <c r="CU9" i="38"/>
  <c r="CU10" i="38"/>
  <c r="CU4" i="37"/>
  <c r="CU20" i="37" s="1"/>
  <c r="CU7" i="37"/>
  <c r="CU31" i="37"/>
  <c r="CU34" i="37"/>
  <c r="CU23" i="38" s="1"/>
  <c r="CU35" i="37"/>
  <c r="CU38" i="37"/>
  <c r="CU45" i="37"/>
  <c r="CU46" i="37"/>
  <c r="CU47" i="37"/>
  <c r="CU50" i="37"/>
  <c r="CU51" i="37"/>
  <c r="CU53" i="37"/>
  <c r="CU32" i="37"/>
  <c r="CU29" i="37"/>
  <c r="CU56" i="37"/>
  <c r="CU39" i="37"/>
  <c r="CU30" i="37"/>
  <c r="CU44" i="37"/>
  <c r="CT35" i="38"/>
  <c r="CT53" i="37"/>
  <c r="CT41" i="37"/>
  <c r="CT44" i="37"/>
  <c r="CT12" i="38"/>
  <c r="CT13" i="38"/>
  <c r="CT14" i="38"/>
  <c r="CT15" i="38"/>
  <c r="CT16" i="38"/>
  <c r="CT17" i="38"/>
  <c r="CT20" i="38"/>
  <c r="CT26" i="38"/>
  <c r="CT33" i="38"/>
  <c r="CT8" i="38"/>
  <c r="CT37" i="38"/>
  <c r="CT38" i="38"/>
  <c r="CT41" i="38"/>
  <c r="CT44" i="38"/>
  <c r="CT45" i="38"/>
  <c r="CT48" i="38"/>
  <c r="CT51" i="38"/>
  <c r="CT52" i="38"/>
  <c r="CT55" i="38"/>
  <c r="CT4" i="37"/>
  <c r="CT20" i="37" s="1"/>
  <c r="CT7" i="37"/>
  <c r="CT31" i="37"/>
  <c r="CT33" i="37"/>
  <c r="CT34" i="37"/>
  <c r="CT35" i="37"/>
  <c r="CT38" i="37"/>
  <c r="CT45" i="37"/>
  <c r="CT46" i="37"/>
  <c r="CT47" i="37"/>
  <c r="CT26" i="37" s="1"/>
  <c r="CT50" i="37"/>
  <c r="CT56" i="37"/>
  <c r="CT29" i="37"/>
  <c r="CT22" i="38"/>
  <c r="CT34" i="38"/>
  <c r="CT51" i="37"/>
  <c r="CT32" i="37"/>
  <c r="CT39" i="37"/>
  <c r="CS12" i="38"/>
  <c r="CS13" i="38"/>
  <c r="CS14" i="38"/>
  <c r="CS15" i="38"/>
  <c r="CS16" i="38"/>
  <c r="CS17" i="38"/>
  <c r="CS20" i="38"/>
  <c r="CS26" i="38"/>
  <c r="CS33" i="38"/>
  <c r="CS8" i="38"/>
  <c r="CS35" i="38"/>
  <c r="CS37" i="38"/>
  <c r="CS38" i="38"/>
  <c r="CS41" i="38"/>
  <c r="CS44" i="38"/>
  <c r="CS45" i="38"/>
  <c r="CS48" i="38"/>
  <c r="CS51" i="38"/>
  <c r="CS52" i="38"/>
  <c r="CS55" i="38"/>
  <c r="CT30" i="37"/>
  <c r="CT9" i="38"/>
  <c r="CT10" i="38"/>
  <c r="CS34" i="38"/>
  <c r="CS9" i="38"/>
  <c r="CS10" i="38"/>
  <c r="CS4" i="37"/>
  <c r="CS7" i="37"/>
  <c r="CS20" i="37"/>
  <c r="CS31" i="37"/>
  <c r="CS33" i="37"/>
  <c r="CS22" i="38" s="1"/>
  <c r="CS34" i="37"/>
  <c r="CS23" i="38" s="1"/>
  <c r="CS35" i="37"/>
  <c r="CS38" i="37"/>
  <c r="CS41" i="37"/>
  <c r="CS44" i="37"/>
  <c r="CS45" i="37"/>
  <c r="CS46" i="37"/>
  <c r="CS47" i="37"/>
  <c r="CS50" i="37"/>
  <c r="CS51" i="37"/>
  <c r="CS53" i="37"/>
  <c r="CS56" i="37"/>
  <c r="CS39" i="37"/>
  <c r="CS30" i="37"/>
  <c r="CS29" i="37"/>
  <c r="CS32" i="37"/>
  <c r="CR12" i="38"/>
  <c r="CR13" i="38"/>
  <c r="CR14" i="38"/>
  <c r="CR15" i="38"/>
  <c r="CR16" i="38"/>
  <c r="CR17" i="38"/>
  <c r="CR20" i="38"/>
  <c r="CR26" i="38"/>
  <c r="CR33" i="38"/>
  <c r="CR8" i="38"/>
  <c r="CR35" i="38"/>
  <c r="CR37" i="38"/>
  <c r="CR38" i="38"/>
  <c r="CR41" i="38"/>
  <c r="CR44" i="38"/>
  <c r="CR45" i="38"/>
  <c r="CR48" i="38"/>
  <c r="CR51" i="38"/>
  <c r="CR52" i="38"/>
  <c r="CR55" i="38"/>
  <c r="CR4" i="37"/>
  <c r="CR20" i="37" s="1"/>
  <c r="CI18" i="38" s="1"/>
  <c r="CR7" i="37"/>
  <c r="CR31" i="37"/>
  <c r="CR33" i="37"/>
  <c r="CR22" i="38" s="1"/>
  <c r="CR34" i="37"/>
  <c r="CR23" i="38" s="1"/>
  <c r="CR35" i="37"/>
  <c r="CR38" i="37"/>
  <c r="CR41" i="37"/>
  <c r="CR44" i="37"/>
  <c r="CR45" i="37"/>
  <c r="CR46" i="37"/>
  <c r="CR47" i="37"/>
  <c r="CR53" i="37"/>
  <c r="CR56" i="37"/>
  <c r="CR50" i="37"/>
  <c r="CR29" i="37"/>
  <c r="CR34" i="38"/>
  <c r="CR51" i="37"/>
  <c r="CR39" i="37"/>
  <c r="CR32" i="37"/>
  <c r="CQ4" i="37"/>
  <c r="CR30" i="37"/>
  <c r="CR9" i="38"/>
  <c r="CR10" i="38"/>
  <c r="CQ12" i="38"/>
  <c r="CQ13" i="38"/>
  <c r="CQ14" i="38"/>
  <c r="CQ15" i="38"/>
  <c r="CQ16" i="38"/>
  <c r="CQ17" i="38"/>
  <c r="CQ20" i="38"/>
  <c r="CQ26" i="38"/>
  <c r="CQ33" i="38"/>
  <c r="CQ8" i="38"/>
  <c r="CQ35" i="38"/>
  <c r="CQ37" i="38"/>
  <c r="CQ38" i="38"/>
  <c r="CQ41" i="38"/>
  <c r="CQ44" i="38"/>
  <c r="CQ45" i="38"/>
  <c r="CQ48" i="38"/>
  <c r="CQ51" i="38"/>
  <c r="CQ52" i="38"/>
  <c r="CQ55" i="38"/>
  <c r="CQ20" i="37"/>
  <c r="CQ7" i="37"/>
  <c r="CQ31" i="37"/>
  <c r="CQ33" i="37"/>
  <c r="CQ22" i="38" s="1"/>
  <c r="CQ34" i="37"/>
  <c r="CQ23" i="38" s="1"/>
  <c r="CQ35" i="37"/>
  <c r="CQ38" i="37"/>
  <c r="CQ41" i="37"/>
  <c r="CQ44" i="37"/>
  <c r="CQ45" i="37"/>
  <c r="CQ46" i="37"/>
  <c r="CQ47" i="37"/>
  <c r="CQ26" i="37" s="1"/>
  <c r="CQ53" i="37"/>
  <c r="CQ56" i="37"/>
  <c r="CQ39" i="37"/>
  <c r="CQ34" i="38"/>
  <c r="CQ51" i="37"/>
  <c r="CQ50" i="37"/>
  <c r="CQ29" i="37"/>
  <c r="CQ9" i="38"/>
  <c r="CQ10" i="38"/>
  <c r="CQ30" i="37"/>
  <c r="CQ32" i="37"/>
  <c r="CP4" i="37"/>
  <c r="CP20" i="37" s="1"/>
  <c r="CP7" i="37"/>
  <c r="CP31" i="37"/>
  <c r="CP33" i="37"/>
  <c r="CP34" i="37"/>
  <c r="CP35" i="37"/>
  <c r="CP38" i="37"/>
  <c r="CP41" i="37"/>
  <c r="CP45" i="37"/>
  <c r="CP46" i="37"/>
  <c r="CP47" i="37"/>
  <c r="CP52" i="38"/>
  <c r="CP45" i="38"/>
  <c r="CP38" i="38"/>
  <c r="CP12" i="38"/>
  <c r="CP13" i="38"/>
  <c r="CP14" i="38"/>
  <c r="CP15" i="38"/>
  <c r="CP16" i="38"/>
  <c r="CP17" i="38"/>
  <c r="CP20" i="38"/>
  <c r="CP26" i="38"/>
  <c r="CP33" i="38"/>
  <c r="CP8" i="38"/>
  <c r="CP35" i="38"/>
  <c r="CP53" i="37"/>
  <c r="CP56" i="37"/>
  <c r="CP37" i="38"/>
  <c r="CP41" i="38"/>
  <c r="CP44" i="38"/>
  <c r="CP48" i="38"/>
  <c r="CP51" i="38"/>
  <c r="CP55" i="38"/>
  <c r="CP29" i="38"/>
  <c r="CP32" i="37"/>
  <c r="CP34" i="38"/>
  <c r="CP51" i="37"/>
  <c r="CP50" i="37"/>
  <c r="CP29" i="37"/>
  <c r="CP44" i="37"/>
  <c r="CP39" i="37"/>
  <c r="CP22" i="38"/>
  <c r="CP9" i="38"/>
  <c r="CP10" i="38"/>
  <c r="CP30" i="37"/>
  <c r="CO4" i="37"/>
  <c r="CO20" i="37" s="1"/>
  <c r="CO7" i="37"/>
  <c r="CO31" i="37"/>
  <c r="CO33" i="37"/>
  <c r="CO22" i="38" s="1"/>
  <c r="CO34" i="37"/>
  <c r="CO23" i="38" s="1"/>
  <c r="CO35" i="37"/>
  <c r="CO38" i="37"/>
  <c r="CO41" i="37"/>
  <c r="CO44" i="37"/>
  <c r="CO45" i="37"/>
  <c r="CO47" i="37"/>
  <c r="CO12" i="38"/>
  <c r="CO13" i="38"/>
  <c r="CO14" i="38"/>
  <c r="CO15" i="38"/>
  <c r="CO16" i="38"/>
  <c r="CO17" i="38"/>
  <c r="CO18" i="38"/>
  <c r="CO20" i="38"/>
  <c r="CO26" i="38"/>
  <c r="CO33" i="38"/>
  <c r="CO8" i="38"/>
  <c r="CO35" i="38"/>
  <c r="CO53" i="37"/>
  <c r="CO56" i="37"/>
  <c r="CO37" i="38"/>
  <c r="CO38" i="38"/>
  <c r="CO41" i="38"/>
  <c r="CO44" i="38"/>
  <c r="CO45" i="38"/>
  <c r="CO48" i="38"/>
  <c r="CO51" i="38"/>
  <c r="CO52" i="38"/>
  <c r="CO55" i="38"/>
  <c r="CO32" i="37"/>
  <c r="CO39" i="37"/>
  <c r="CO50" i="37"/>
  <c r="CO29" i="37"/>
  <c r="CO34" i="38"/>
  <c r="CO46" i="37"/>
  <c r="CO9" i="38"/>
  <c r="CO10" i="38"/>
  <c r="CO51" i="37"/>
  <c r="CO30" i="37"/>
  <c r="CN12" i="38"/>
  <c r="CN13" i="38"/>
  <c r="CN14" i="38"/>
  <c r="CN15" i="38"/>
  <c r="CN16" i="38"/>
  <c r="CN17" i="38"/>
  <c r="CN20" i="38"/>
  <c r="CN26" i="38"/>
  <c r="CN33" i="38"/>
  <c r="CN8" i="38"/>
  <c r="CN35" i="38"/>
  <c r="CN37" i="38"/>
  <c r="CN38" i="38"/>
  <c r="CN41" i="38"/>
  <c r="CN44" i="38"/>
  <c r="CN45" i="38"/>
  <c r="CN48" i="38"/>
  <c r="CN51" i="38"/>
  <c r="CN52" i="38"/>
  <c r="CN55" i="38"/>
  <c r="CN4" i="37"/>
  <c r="CN20" i="37" s="1"/>
  <c r="CN7" i="37"/>
  <c r="CN31" i="37"/>
  <c r="CN33" i="37"/>
  <c r="CN22" i="38" s="1"/>
  <c r="CN34" i="37"/>
  <c r="CN23" i="38" s="1"/>
  <c r="CN35" i="37"/>
  <c r="CN38" i="37"/>
  <c r="CN41" i="37"/>
  <c r="CN45" i="37"/>
  <c r="CN46" i="37"/>
  <c r="CN47" i="37"/>
  <c r="CN53" i="37"/>
  <c r="CN56" i="37"/>
  <c r="CN39" i="37"/>
  <c r="CN44" i="37"/>
  <c r="CN50" i="37"/>
  <c r="CN29" i="37"/>
  <c r="CN34" i="38"/>
  <c r="CN51" i="37"/>
  <c r="CN30" i="37"/>
  <c r="CN32" i="37"/>
  <c r="E38" i="38"/>
  <c r="E37" i="38"/>
  <c r="R38" i="38"/>
  <c r="R37" i="38"/>
  <c r="S38" i="38"/>
  <c r="S37" i="38"/>
  <c r="T38" i="38"/>
  <c r="T37" i="38"/>
  <c r="U38" i="38"/>
  <c r="U37" i="38"/>
  <c r="V38" i="38"/>
  <c r="V37" i="38"/>
  <c r="W38" i="38"/>
  <c r="W37" i="38"/>
  <c r="X38" i="38"/>
  <c r="X37" i="38"/>
  <c r="Y38" i="38"/>
  <c r="Y37" i="38"/>
  <c r="Z38" i="38"/>
  <c r="Z37" i="38"/>
  <c r="AA38" i="38"/>
  <c r="AA37" i="38"/>
  <c r="AB38" i="38"/>
  <c r="AB37" i="38"/>
  <c r="AC38" i="38"/>
  <c r="AC37" i="38"/>
  <c r="AD38" i="38"/>
  <c r="AD37" i="38"/>
  <c r="AE38" i="38"/>
  <c r="AE37" i="38"/>
  <c r="AF38" i="38"/>
  <c r="AF37" i="38"/>
  <c r="AG38" i="38"/>
  <c r="AG37" i="38"/>
  <c r="AH38" i="38"/>
  <c r="AH37" i="38"/>
  <c r="AI38" i="38"/>
  <c r="AI37" i="38"/>
  <c r="AJ38" i="38"/>
  <c r="AJ37" i="38"/>
  <c r="AK38" i="38"/>
  <c r="AK37" i="38"/>
  <c r="AL38" i="38"/>
  <c r="AL37" i="38"/>
  <c r="AM38" i="38"/>
  <c r="AM37" i="38"/>
  <c r="AN38" i="38"/>
  <c r="AN37" i="38"/>
  <c r="AO38" i="38"/>
  <c r="AO37" i="38"/>
  <c r="AP38" i="38"/>
  <c r="AP37" i="38"/>
  <c r="AQ38" i="38"/>
  <c r="AQ37" i="38"/>
  <c r="AR38" i="38"/>
  <c r="AR37" i="38"/>
  <c r="AS38" i="38"/>
  <c r="AS37" i="38"/>
  <c r="AT38" i="38"/>
  <c r="AT37" i="38"/>
  <c r="AU38" i="38"/>
  <c r="AU37" i="38"/>
  <c r="AV38" i="38"/>
  <c r="AV37" i="38"/>
  <c r="AW38" i="38"/>
  <c r="AW37" i="38"/>
  <c r="AX38" i="38"/>
  <c r="AX37" i="38"/>
  <c r="AY38" i="38"/>
  <c r="AY37" i="38"/>
  <c r="AZ38" i="38"/>
  <c r="AZ37" i="38"/>
  <c r="BA38" i="38"/>
  <c r="BA37" i="38"/>
  <c r="BB38" i="38"/>
  <c r="BB37" i="38"/>
  <c r="BC38" i="38"/>
  <c r="BC37" i="38"/>
  <c r="BD38" i="38"/>
  <c r="BD37" i="38"/>
  <c r="BE38" i="38"/>
  <c r="BE37" i="38"/>
  <c r="BF38" i="38"/>
  <c r="BF37" i="38"/>
  <c r="BG38" i="38"/>
  <c r="BG37" i="38"/>
  <c r="BH38" i="38"/>
  <c r="BH37" i="38"/>
  <c r="BI38" i="38"/>
  <c r="BI37" i="38"/>
  <c r="BJ38" i="38"/>
  <c r="BJ37" i="38"/>
  <c r="BK38" i="38"/>
  <c r="BK37" i="38"/>
  <c r="BL38" i="38"/>
  <c r="BL37" i="38"/>
  <c r="BM38" i="38"/>
  <c r="BM37" i="38"/>
  <c r="BN38" i="38"/>
  <c r="BN37" i="38"/>
  <c r="BO38" i="38"/>
  <c r="BO37" i="38"/>
  <c r="BP38" i="38"/>
  <c r="BP37" i="38"/>
  <c r="BQ38" i="38"/>
  <c r="BQ37" i="38"/>
  <c r="BR38" i="38"/>
  <c r="BR37" i="38"/>
  <c r="BS38" i="38"/>
  <c r="BS37" i="38"/>
  <c r="BT38" i="38"/>
  <c r="BT37" i="38"/>
  <c r="BU38" i="38"/>
  <c r="BU37" i="38"/>
  <c r="BV38" i="38"/>
  <c r="BV37" i="38"/>
  <c r="BW38" i="38"/>
  <c r="BW37" i="38"/>
  <c r="BX38" i="38"/>
  <c r="BX37" i="38"/>
  <c r="BY38" i="38"/>
  <c r="BY37" i="38"/>
  <c r="BZ38" i="38"/>
  <c r="BZ37" i="38"/>
  <c r="CA38" i="38"/>
  <c r="CA37" i="38"/>
  <c r="CB38" i="38"/>
  <c r="CB37" i="38"/>
  <c r="CC38" i="38"/>
  <c r="CC37" i="38"/>
  <c r="CD38" i="38"/>
  <c r="CD37" i="38"/>
  <c r="CE38" i="38"/>
  <c r="CE37" i="38"/>
  <c r="CF38" i="38"/>
  <c r="CF37" i="38"/>
  <c r="CG38" i="38"/>
  <c r="CG37" i="38"/>
  <c r="CH38" i="38"/>
  <c r="CH37" i="38"/>
  <c r="CI38" i="38"/>
  <c r="CI37" i="38"/>
  <c r="CJ38" i="38"/>
  <c r="CJ37" i="38"/>
  <c r="CK38" i="38"/>
  <c r="CK37" i="38"/>
  <c r="CL38" i="38"/>
  <c r="CL37" i="38"/>
  <c r="CM38" i="38"/>
  <c r="CM37" i="38"/>
  <c r="E45" i="38"/>
  <c r="E44" i="38"/>
  <c r="R45" i="38"/>
  <c r="R44" i="38"/>
  <c r="S45" i="38"/>
  <c r="S44" i="38"/>
  <c r="T45" i="38"/>
  <c r="T44" i="38"/>
  <c r="U45" i="38"/>
  <c r="U44" i="38"/>
  <c r="V45" i="38"/>
  <c r="V44" i="38"/>
  <c r="W45" i="38"/>
  <c r="W44" i="38"/>
  <c r="X45" i="38"/>
  <c r="X44" i="38"/>
  <c r="Y45" i="38"/>
  <c r="Y44" i="38"/>
  <c r="Z45" i="38"/>
  <c r="Z44" i="38"/>
  <c r="AA45" i="38"/>
  <c r="AA44" i="38"/>
  <c r="AB45" i="38"/>
  <c r="AB44" i="38"/>
  <c r="AC45" i="38"/>
  <c r="AC44" i="38"/>
  <c r="AD45" i="38"/>
  <c r="AD44" i="38"/>
  <c r="AE45" i="38"/>
  <c r="AE44" i="38"/>
  <c r="AF45" i="38"/>
  <c r="AF44" i="38"/>
  <c r="AG45" i="38"/>
  <c r="AG44" i="38"/>
  <c r="AH45" i="38"/>
  <c r="AH44" i="38"/>
  <c r="AI45" i="38"/>
  <c r="AI44" i="38"/>
  <c r="AJ45" i="38"/>
  <c r="AJ44" i="38"/>
  <c r="AK45" i="38"/>
  <c r="AK44" i="38"/>
  <c r="AL45" i="38"/>
  <c r="AL44" i="38"/>
  <c r="AM45" i="38"/>
  <c r="AM44" i="38"/>
  <c r="AN45" i="38"/>
  <c r="AN44" i="38"/>
  <c r="AO45" i="38"/>
  <c r="AO44" i="38"/>
  <c r="AP45" i="38"/>
  <c r="AP44" i="38"/>
  <c r="AQ45" i="38"/>
  <c r="AQ44" i="38"/>
  <c r="AR45" i="38"/>
  <c r="AR44" i="38"/>
  <c r="AS45" i="38"/>
  <c r="AS44" i="38"/>
  <c r="AT45" i="38"/>
  <c r="AT44" i="38"/>
  <c r="AU45" i="38"/>
  <c r="AU44" i="38"/>
  <c r="AV45" i="38"/>
  <c r="AV44" i="38"/>
  <c r="AW45" i="38"/>
  <c r="AW44" i="38"/>
  <c r="AX45" i="38"/>
  <c r="AX44" i="38"/>
  <c r="AY45" i="38"/>
  <c r="AY44" i="38"/>
  <c r="AZ45" i="38"/>
  <c r="AZ44" i="38"/>
  <c r="BA45" i="38"/>
  <c r="BA44" i="38"/>
  <c r="BB45" i="38"/>
  <c r="BB44" i="38"/>
  <c r="BC45" i="38"/>
  <c r="BC44" i="38"/>
  <c r="BD45" i="38"/>
  <c r="BD44" i="38"/>
  <c r="BE45" i="38"/>
  <c r="BE44" i="38"/>
  <c r="BF45" i="38"/>
  <c r="BF44" i="38"/>
  <c r="BG45" i="38"/>
  <c r="BG44" i="38"/>
  <c r="BH45" i="38"/>
  <c r="BH44" i="38"/>
  <c r="BI45" i="38"/>
  <c r="BI44" i="38"/>
  <c r="BJ45" i="38"/>
  <c r="BJ44" i="38"/>
  <c r="BK45" i="38"/>
  <c r="BK44" i="38"/>
  <c r="BL45" i="38"/>
  <c r="BL44" i="38"/>
  <c r="BM45" i="38"/>
  <c r="BM44" i="38"/>
  <c r="BN45" i="38"/>
  <c r="BN44" i="38"/>
  <c r="BO45" i="38"/>
  <c r="BO44" i="38"/>
  <c r="BP45" i="38"/>
  <c r="BP44" i="38"/>
  <c r="BQ45" i="38"/>
  <c r="BQ44" i="38"/>
  <c r="BR45" i="38"/>
  <c r="BR44" i="38"/>
  <c r="BS45" i="38"/>
  <c r="BS44" i="38"/>
  <c r="BT45" i="38"/>
  <c r="BT44" i="38"/>
  <c r="BU45" i="38"/>
  <c r="BU44" i="38"/>
  <c r="BV45" i="38"/>
  <c r="BV44" i="38"/>
  <c r="BW45" i="38"/>
  <c r="BW44" i="38"/>
  <c r="BX45" i="38"/>
  <c r="BX44" i="38"/>
  <c r="BY45" i="38"/>
  <c r="BY44" i="38"/>
  <c r="BZ45" i="38"/>
  <c r="BZ44" i="38"/>
  <c r="CA45" i="38"/>
  <c r="CA44" i="38"/>
  <c r="CB45" i="38"/>
  <c r="CB44" i="38"/>
  <c r="CC45" i="38"/>
  <c r="CC44" i="38"/>
  <c r="CD45" i="38"/>
  <c r="CD44" i="38"/>
  <c r="CE45" i="38"/>
  <c r="CE44" i="38"/>
  <c r="CF45" i="38"/>
  <c r="CF44" i="38"/>
  <c r="CG45" i="38"/>
  <c r="CG44" i="38"/>
  <c r="CH45" i="38"/>
  <c r="CH44" i="38"/>
  <c r="CI45" i="38"/>
  <c r="CI44" i="38"/>
  <c r="CJ45" i="38"/>
  <c r="CJ44" i="38"/>
  <c r="CK45" i="38"/>
  <c r="CK44" i="38"/>
  <c r="CL45" i="38"/>
  <c r="CL44" i="38"/>
  <c r="CM45" i="38"/>
  <c r="CM44" i="38"/>
  <c r="E52" i="38"/>
  <c r="E51" i="38"/>
  <c r="R52" i="38"/>
  <c r="R51" i="38"/>
  <c r="S52" i="38"/>
  <c r="S30" i="38" s="1"/>
  <c r="S6" i="38" s="1"/>
  <c r="S51" i="38"/>
  <c r="T52" i="38"/>
  <c r="T51" i="38"/>
  <c r="U52" i="38"/>
  <c r="U51" i="38"/>
  <c r="V52" i="38"/>
  <c r="V51" i="38"/>
  <c r="W52" i="38"/>
  <c r="W51" i="38"/>
  <c r="X52" i="38"/>
  <c r="X51" i="38"/>
  <c r="Y52" i="38"/>
  <c r="Y30" i="38" s="1"/>
  <c r="Y6" i="38" s="1"/>
  <c r="Y51" i="38"/>
  <c r="Z52" i="38"/>
  <c r="Z30" i="38" s="1"/>
  <c r="Z6" i="38" s="1"/>
  <c r="Z51" i="38"/>
  <c r="AA52" i="38"/>
  <c r="AA51" i="38"/>
  <c r="AB52" i="38"/>
  <c r="AB51" i="38"/>
  <c r="AC52" i="38"/>
  <c r="AC30" i="38" s="1"/>
  <c r="AC6" i="38" s="1"/>
  <c r="AC51" i="38"/>
  <c r="AD52" i="38"/>
  <c r="AD51" i="38"/>
  <c r="AE52" i="38"/>
  <c r="AE51" i="38"/>
  <c r="AF52" i="38"/>
  <c r="AF51" i="38"/>
  <c r="AG52" i="38"/>
  <c r="AG30" i="38" s="1"/>
  <c r="AG6" i="38" s="1"/>
  <c r="AG51" i="38"/>
  <c r="AH52" i="38"/>
  <c r="AH51" i="38"/>
  <c r="AI52" i="38"/>
  <c r="AI51" i="38"/>
  <c r="AJ52" i="38"/>
  <c r="AJ51" i="38"/>
  <c r="AK52" i="38"/>
  <c r="AK51" i="38"/>
  <c r="AL52" i="38"/>
  <c r="AL51" i="38"/>
  <c r="AM52" i="38"/>
  <c r="AM51" i="38"/>
  <c r="AN52" i="38"/>
  <c r="AN51" i="38"/>
  <c r="AO52" i="38"/>
  <c r="AO51" i="38"/>
  <c r="AP52" i="38"/>
  <c r="AP51" i="38"/>
  <c r="AQ52" i="38"/>
  <c r="AQ51" i="38"/>
  <c r="AR52" i="38"/>
  <c r="AR51" i="38"/>
  <c r="AS52" i="38"/>
  <c r="AS51" i="38"/>
  <c r="AT52" i="38"/>
  <c r="AT51" i="38"/>
  <c r="AU52" i="38"/>
  <c r="AU51" i="38"/>
  <c r="AV52" i="38"/>
  <c r="AV51" i="38"/>
  <c r="AW52" i="38"/>
  <c r="AW51" i="38"/>
  <c r="AX52" i="38"/>
  <c r="AX51" i="38"/>
  <c r="AY52" i="38"/>
  <c r="AY51" i="38"/>
  <c r="AZ52" i="38"/>
  <c r="AZ51" i="38"/>
  <c r="BA52" i="38"/>
  <c r="BA51" i="38"/>
  <c r="BB52" i="38"/>
  <c r="BB51" i="38"/>
  <c r="BC52" i="38"/>
  <c r="BC51" i="38"/>
  <c r="BD52" i="38"/>
  <c r="BD51" i="38"/>
  <c r="BE52" i="38"/>
  <c r="BE51" i="38"/>
  <c r="BF52" i="38"/>
  <c r="BF51" i="38"/>
  <c r="BG52" i="38"/>
  <c r="BG51" i="38"/>
  <c r="BH52" i="38"/>
  <c r="BH51" i="38"/>
  <c r="BI52" i="38"/>
  <c r="BI51" i="38"/>
  <c r="BJ52" i="38"/>
  <c r="BJ51" i="38"/>
  <c r="BK52" i="38"/>
  <c r="BK51" i="38"/>
  <c r="BL52" i="38"/>
  <c r="BL51" i="38"/>
  <c r="BM52" i="38"/>
  <c r="BM51" i="38"/>
  <c r="BN52" i="38"/>
  <c r="BN51" i="38"/>
  <c r="BO52" i="38"/>
  <c r="BO51" i="38"/>
  <c r="BP52" i="38"/>
  <c r="BP51" i="38"/>
  <c r="BQ52" i="38"/>
  <c r="BQ51" i="38"/>
  <c r="BR52" i="38"/>
  <c r="BR51" i="38"/>
  <c r="BS52" i="38"/>
  <c r="BS51" i="38"/>
  <c r="BT52" i="38"/>
  <c r="BT51" i="38"/>
  <c r="BU52" i="38"/>
  <c r="BU51" i="38"/>
  <c r="BV52" i="38"/>
  <c r="BV51" i="38"/>
  <c r="BW52" i="38"/>
  <c r="BW51" i="38"/>
  <c r="BX52" i="38"/>
  <c r="BX51" i="38"/>
  <c r="BY52" i="38"/>
  <c r="BY51" i="38"/>
  <c r="BZ52" i="38"/>
  <c r="BZ51" i="38"/>
  <c r="CA52" i="38"/>
  <c r="CA51" i="38"/>
  <c r="CB52" i="38"/>
  <c r="CB51" i="38"/>
  <c r="CC52" i="38"/>
  <c r="CC51" i="38"/>
  <c r="CD52" i="38"/>
  <c r="CD51" i="38"/>
  <c r="CE52" i="38"/>
  <c r="CE51" i="38"/>
  <c r="CE29" i="38" s="1"/>
  <c r="CF52" i="38"/>
  <c r="CF51" i="38"/>
  <c r="CF29" i="38" s="1"/>
  <c r="CG52" i="38"/>
  <c r="CG51" i="38"/>
  <c r="CG29" i="38" s="1"/>
  <c r="CH52" i="38"/>
  <c r="CH51" i="38"/>
  <c r="CI52" i="38"/>
  <c r="CI51" i="38"/>
  <c r="CJ52" i="38"/>
  <c r="CJ51" i="38"/>
  <c r="CJ29" i="38" s="1"/>
  <c r="CK52" i="38"/>
  <c r="CK51" i="38"/>
  <c r="CL52" i="38"/>
  <c r="CL51" i="38"/>
  <c r="CM52" i="38"/>
  <c r="CM30" i="38" s="1"/>
  <c r="CM51" i="38"/>
  <c r="CM12" i="38"/>
  <c r="CM13" i="38"/>
  <c r="CM14" i="38"/>
  <c r="CM15" i="38"/>
  <c r="CM16" i="38"/>
  <c r="CM17" i="38"/>
  <c r="CM20" i="38"/>
  <c r="CM33" i="37"/>
  <c r="CM22" i="38" s="1"/>
  <c r="CM34" i="37"/>
  <c r="CM23" i="38" s="1"/>
  <c r="CA34" i="37"/>
  <c r="CA33" i="37"/>
  <c r="CB34" i="37"/>
  <c r="CB23" i="38" s="1"/>
  <c r="CB33" i="37"/>
  <c r="CB22" i="38" s="1"/>
  <c r="CC34" i="37"/>
  <c r="CC23" i="38" s="1"/>
  <c r="CC33" i="37"/>
  <c r="CD34" i="37"/>
  <c r="CD23" i="38" s="1"/>
  <c r="CD33" i="37"/>
  <c r="CE34" i="37"/>
  <c r="CE23" i="38" s="1"/>
  <c r="CE33" i="37"/>
  <c r="CF34" i="37"/>
  <c r="CF23" i="38" s="1"/>
  <c r="CF33" i="37"/>
  <c r="CF22" i="38" s="1"/>
  <c r="CG34" i="37"/>
  <c r="CG23" i="38" s="1"/>
  <c r="CG33" i="37"/>
  <c r="CH34" i="37"/>
  <c r="CH23" i="38" s="1"/>
  <c r="CH33" i="37"/>
  <c r="CH22" i="38" s="1"/>
  <c r="CI34" i="37"/>
  <c r="CI23" i="38" s="1"/>
  <c r="CI33" i="37"/>
  <c r="CI22" i="38" s="1"/>
  <c r="CJ34" i="37"/>
  <c r="CJ23" i="38" s="1"/>
  <c r="CJ33" i="37"/>
  <c r="CJ22" i="38" s="1"/>
  <c r="CK34" i="37"/>
  <c r="CK23" i="38" s="1"/>
  <c r="CK33" i="37"/>
  <c r="CK22" i="38" s="1"/>
  <c r="CL34" i="37"/>
  <c r="CL33" i="37"/>
  <c r="CL22" i="38" s="1"/>
  <c r="CM26" i="38"/>
  <c r="CM33" i="38"/>
  <c r="CM8" i="38"/>
  <c r="CM35" i="38"/>
  <c r="CM53" i="37"/>
  <c r="CM41" i="38"/>
  <c r="CM48" i="38"/>
  <c r="CM55" i="38"/>
  <c r="CM4" i="37"/>
  <c r="CK4" i="37"/>
  <c r="CK20" i="37" s="1"/>
  <c r="CL4" i="37"/>
  <c r="CL20" i="37" s="1"/>
  <c r="CC18" i="38" s="1"/>
  <c r="CM7" i="37"/>
  <c r="CD13" i="38" s="1"/>
  <c r="CM31" i="37"/>
  <c r="CM46" i="37"/>
  <c r="CM35" i="37"/>
  <c r="CM47" i="37"/>
  <c r="CM38" i="37"/>
  <c r="CM41" i="37"/>
  <c r="CM45" i="37"/>
  <c r="CA46" i="37"/>
  <c r="CA45" i="37"/>
  <c r="CB46" i="37"/>
  <c r="CB45" i="37"/>
  <c r="CC46" i="37"/>
  <c r="CC45" i="37"/>
  <c r="CD46" i="37"/>
  <c r="CD45" i="37"/>
  <c r="CE46" i="37"/>
  <c r="CE45" i="37"/>
  <c r="CF46" i="37"/>
  <c r="CF45" i="37"/>
  <c r="CG46" i="37"/>
  <c r="CG45" i="37"/>
  <c r="CH46" i="37"/>
  <c r="CH45" i="37"/>
  <c r="CI46" i="37"/>
  <c r="CI45" i="37"/>
  <c r="CJ46" i="37"/>
  <c r="CJ45" i="37"/>
  <c r="CK46" i="37"/>
  <c r="CK45" i="37"/>
  <c r="CL46" i="37"/>
  <c r="CL45" i="37"/>
  <c r="CL7" i="37"/>
  <c r="CL12" i="38"/>
  <c r="CL13" i="38"/>
  <c r="CL14" i="38"/>
  <c r="CL15" i="38"/>
  <c r="CL16" i="38"/>
  <c r="CL17" i="38"/>
  <c r="CL20" i="38"/>
  <c r="CL26" i="38"/>
  <c r="CL33" i="38"/>
  <c r="CL8" i="38"/>
  <c r="CL35" i="38"/>
  <c r="CL53" i="37"/>
  <c r="CL56" i="37"/>
  <c r="CL41" i="38"/>
  <c r="CL48" i="38"/>
  <c r="CL34" i="38"/>
  <c r="CL51" i="37"/>
  <c r="CL55" i="38"/>
  <c r="CL31" i="37"/>
  <c r="CL35" i="37"/>
  <c r="CL47" i="37"/>
  <c r="CL38" i="37"/>
  <c r="CL41" i="37"/>
  <c r="CK33" i="38"/>
  <c r="CK8" i="38"/>
  <c r="CK35" i="38"/>
  <c r="CK53" i="37"/>
  <c r="CK7" i="37"/>
  <c r="CB13" i="38" s="1"/>
  <c r="CK31" i="37"/>
  <c r="CK35" i="37"/>
  <c r="CK38" i="37"/>
  <c r="CK41" i="37"/>
  <c r="CK44" i="37"/>
  <c r="CK47" i="37"/>
  <c r="CK12" i="38"/>
  <c r="CK13" i="38"/>
  <c r="CK14" i="38"/>
  <c r="CK15" i="38"/>
  <c r="CK16" i="38"/>
  <c r="CK17" i="38"/>
  <c r="CK20" i="38"/>
  <c r="CK26" i="38"/>
  <c r="CK41" i="38"/>
  <c r="CK48" i="38"/>
  <c r="CK55" i="38"/>
  <c r="CJ38" i="37"/>
  <c r="CJ41" i="38"/>
  <c r="CJ48" i="38"/>
  <c r="CJ55" i="38"/>
  <c r="CJ34" i="38"/>
  <c r="CJ51" i="37"/>
  <c r="CJ4" i="37"/>
  <c r="CJ20" i="37" s="1"/>
  <c r="CA18" i="38" s="1"/>
  <c r="CJ7" i="37"/>
  <c r="CA13" i="38" s="1"/>
  <c r="CJ31" i="37"/>
  <c r="CJ35" i="37"/>
  <c r="CJ47" i="37"/>
  <c r="CJ41" i="37"/>
  <c r="CJ39" i="37"/>
  <c r="CJ12" i="38"/>
  <c r="CJ13" i="38"/>
  <c r="CJ14" i="38"/>
  <c r="CJ15" i="38"/>
  <c r="CJ16" i="38"/>
  <c r="CJ17" i="38"/>
  <c r="CJ18" i="38"/>
  <c r="CJ20" i="38"/>
  <c r="CJ26" i="38"/>
  <c r="CJ9" i="38"/>
  <c r="CJ33" i="38"/>
  <c r="CJ8" i="38"/>
  <c r="CJ35" i="38"/>
  <c r="CJ53" i="37"/>
  <c r="CI41" i="37"/>
  <c r="CI35" i="38"/>
  <c r="CI33" i="38"/>
  <c r="CI8" i="38"/>
  <c r="CI12" i="38"/>
  <c r="CI13" i="38"/>
  <c r="CI14" i="38"/>
  <c r="CI15" i="38"/>
  <c r="CI16" i="38"/>
  <c r="CI17" i="38"/>
  <c r="CI20" i="38"/>
  <c r="CI26" i="38"/>
  <c r="CI41" i="38"/>
  <c r="CI48" i="38"/>
  <c r="CI55" i="38"/>
  <c r="CI4" i="37"/>
  <c r="CI20" i="37" s="1"/>
  <c r="BZ18" i="38" s="1"/>
  <c r="CI7" i="37"/>
  <c r="CG4" i="37"/>
  <c r="CG20" i="37" s="1"/>
  <c r="CH4" i="37"/>
  <c r="CH20" i="37" s="1"/>
  <c r="CI31" i="37"/>
  <c r="CI35" i="37"/>
  <c r="CI38" i="37"/>
  <c r="CI47" i="37"/>
  <c r="CI53" i="37"/>
  <c r="CI56" i="37"/>
  <c r="CI44" i="37"/>
  <c r="CH7" i="37"/>
  <c r="CH31" i="37"/>
  <c r="CH35" i="37"/>
  <c r="CH38" i="37"/>
  <c r="CH41" i="37"/>
  <c r="CH44" i="37"/>
  <c r="CH47" i="37"/>
  <c r="CH12" i="38"/>
  <c r="CH13" i="38"/>
  <c r="CH14" i="38"/>
  <c r="CH15" i="38"/>
  <c r="CH16" i="38"/>
  <c r="CH17" i="38"/>
  <c r="CH18" i="38"/>
  <c r="CH20" i="38"/>
  <c r="CH26" i="38"/>
  <c r="CH33" i="38"/>
  <c r="CH8" i="38"/>
  <c r="CH35" i="38"/>
  <c r="CH53" i="37"/>
  <c r="CH41" i="38"/>
  <c r="CH48" i="38"/>
  <c r="CH55" i="38"/>
  <c r="CH34" i="38"/>
  <c r="CH51" i="37"/>
  <c r="CH50" i="37"/>
  <c r="CG47" i="37"/>
  <c r="CG41" i="37"/>
  <c r="CG44" i="37"/>
  <c r="CG38" i="37"/>
  <c r="CG35" i="37"/>
  <c r="CG22" i="38"/>
  <c r="CG31" i="37"/>
  <c r="CG7" i="37"/>
  <c r="CG55" i="38"/>
  <c r="CG48" i="38"/>
  <c r="CG41" i="38"/>
  <c r="CG35" i="38"/>
  <c r="CG53" i="37"/>
  <c r="CG33" i="38"/>
  <c r="CG8" i="38"/>
  <c r="CG26" i="38"/>
  <c r="CG20" i="38"/>
  <c r="CG17" i="38"/>
  <c r="CG16" i="38"/>
  <c r="CG15" i="38"/>
  <c r="CG14" i="38"/>
  <c r="CG13" i="38"/>
  <c r="CG12" i="38"/>
  <c r="CG50" i="37"/>
  <c r="CG34" i="38"/>
  <c r="CG51" i="37"/>
  <c r="CF41" i="38"/>
  <c r="CF12" i="38"/>
  <c r="CF13" i="38"/>
  <c r="CF14" i="38"/>
  <c r="CF15" i="38"/>
  <c r="CF16" i="38"/>
  <c r="CF17" i="38"/>
  <c r="CF20" i="38"/>
  <c r="CF26" i="38"/>
  <c r="CF33" i="38"/>
  <c r="CF8" i="38"/>
  <c r="CF35" i="38"/>
  <c r="CF53" i="37"/>
  <c r="CF56" i="37"/>
  <c r="CF48" i="38"/>
  <c r="CF55" i="38"/>
  <c r="CF4" i="37"/>
  <c r="CF7" i="37"/>
  <c r="CF20" i="37"/>
  <c r="CH23" i="37" s="1"/>
  <c r="CF31" i="37"/>
  <c r="CF35" i="37"/>
  <c r="CF38" i="37"/>
  <c r="CF41" i="37"/>
  <c r="CF44" i="37"/>
  <c r="CF47" i="37"/>
  <c r="CF50" i="37"/>
  <c r="CF30" i="38"/>
  <c r="CF34" i="38"/>
  <c r="CF51" i="37"/>
  <c r="CF9" i="38"/>
  <c r="CE4" i="37"/>
  <c r="CE20" i="37" s="1"/>
  <c r="CE7" i="37"/>
  <c r="CE31" i="37"/>
  <c r="CE35" i="37"/>
  <c r="CE38" i="37"/>
  <c r="CE41" i="37"/>
  <c r="CE44" i="37"/>
  <c r="CE47" i="37"/>
  <c r="CE12" i="38"/>
  <c r="CE13" i="38"/>
  <c r="CE14" i="38"/>
  <c r="CE15" i="38"/>
  <c r="CE16" i="38"/>
  <c r="CE17" i="38"/>
  <c r="CE20" i="38"/>
  <c r="CE26" i="38"/>
  <c r="CE33" i="38"/>
  <c r="CE8" i="38"/>
  <c r="CE35" i="38"/>
  <c r="CE53" i="37"/>
  <c r="CE41" i="38"/>
  <c r="CE48" i="38"/>
  <c r="CE55" i="38"/>
  <c r="CE22" i="38"/>
  <c r="CE34" i="38"/>
  <c r="CE9" i="38"/>
  <c r="CD4" i="37"/>
  <c r="CD20" i="37" s="1"/>
  <c r="CD7" i="37"/>
  <c r="CD31" i="37"/>
  <c r="CD35" i="37"/>
  <c r="CD38" i="37"/>
  <c r="CD41" i="37"/>
  <c r="CD44" i="37"/>
  <c r="CD47" i="37"/>
  <c r="CD12" i="38"/>
  <c r="CD14" i="38"/>
  <c r="CD15" i="38"/>
  <c r="CD16" i="38"/>
  <c r="CD17" i="38"/>
  <c r="CD20" i="38"/>
  <c r="CD26" i="38"/>
  <c r="CD33" i="38"/>
  <c r="CD8" i="38"/>
  <c r="CD35" i="38"/>
  <c r="CD53" i="37"/>
  <c r="CD56" i="37"/>
  <c r="CD41" i="38"/>
  <c r="CD34" i="38"/>
  <c r="CD51" i="37"/>
  <c r="CD48" i="38"/>
  <c r="CD55" i="38"/>
  <c r="CD50" i="37"/>
  <c r="CD29" i="37"/>
  <c r="CD22" i="38"/>
  <c r="CC4" i="37"/>
  <c r="CC20" i="37" s="1"/>
  <c r="CC12" i="38"/>
  <c r="CC13" i="38"/>
  <c r="CC14" i="38"/>
  <c r="CC15" i="38"/>
  <c r="CC16" i="38"/>
  <c r="CC17" i="38"/>
  <c r="CC20" i="38"/>
  <c r="CC26" i="38"/>
  <c r="CC33" i="38"/>
  <c r="CC8" i="38"/>
  <c r="CC35" i="38"/>
  <c r="CC53" i="37"/>
  <c r="CC41" i="38"/>
  <c r="CC48" i="38"/>
  <c r="CC55" i="38"/>
  <c r="CC7" i="37"/>
  <c r="BT13" i="38" s="1"/>
  <c r="CC31" i="37"/>
  <c r="CC22" i="38"/>
  <c r="CC35" i="37"/>
  <c r="CC38" i="37"/>
  <c r="CC41" i="37"/>
  <c r="CC47" i="37"/>
  <c r="CB7" i="37"/>
  <c r="BS13" i="38" s="1"/>
  <c r="CB4" i="37"/>
  <c r="CB20" i="37" s="1"/>
  <c r="BS18" i="38" s="1"/>
  <c r="CB31" i="37"/>
  <c r="CB35" i="37"/>
  <c r="CB38" i="37"/>
  <c r="CB41" i="37"/>
  <c r="CB47" i="37"/>
  <c r="CB12" i="38"/>
  <c r="CB14" i="38"/>
  <c r="CB15" i="38"/>
  <c r="CB16" i="38"/>
  <c r="CB17" i="38"/>
  <c r="CB20" i="38"/>
  <c r="CB26" i="38"/>
  <c r="CB33" i="38"/>
  <c r="CB50" i="37"/>
  <c r="CB35" i="38"/>
  <c r="CB53" i="37"/>
  <c r="CB41" i="38"/>
  <c r="CB48" i="38"/>
  <c r="CB55" i="38"/>
  <c r="BY53" i="37"/>
  <c r="BY56" i="37" s="1"/>
  <c r="CA7" i="37"/>
  <c r="BY45" i="37"/>
  <c r="BY46" i="37"/>
  <c r="CA12" i="38"/>
  <c r="CA14" i="38"/>
  <c r="CA15" i="38"/>
  <c r="CA16" i="38"/>
  <c r="CA17" i="38"/>
  <c r="CA20" i="38"/>
  <c r="CA26" i="38"/>
  <c r="CA33" i="38"/>
  <c r="CA8" i="38"/>
  <c r="CA35" i="38"/>
  <c r="CA53" i="37"/>
  <c r="CA41" i="38"/>
  <c r="CA48" i="38"/>
  <c r="CA55" i="38"/>
  <c r="CA4" i="37"/>
  <c r="CA20" i="37" s="1"/>
  <c r="BR18" i="38" s="1"/>
  <c r="CA31" i="37"/>
  <c r="CA22" i="38"/>
  <c r="CA35" i="37"/>
  <c r="CA38" i="37"/>
  <c r="CA41" i="37"/>
  <c r="BY51" i="37"/>
  <c r="BY50" i="37"/>
  <c r="BY47" i="37"/>
  <c r="BY41" i="37"/>
  <c r="BY44" i="37" s="1"/>
  <c r="BY38" i="37"/>
  <c r="BY35" i="37"/>
  <c r="BY34" i="37"/>
  <c r="BY5" i="37" s="1"/>
  <c r="BY33" i="37"/>
  <c r="BY22" i="38"/>
  <c r="BY31" i="37"/>
  <c r="BY7" i="37"/>
  <c r="BP13" i="38"/>
  <c r="BY4" i="37"/>
  <c r="BY20" i="37"/>
  <c r="BP18" i="38" s="1"/>
  <c r="BZ12" i="38"/>
  <c r="BZ13" i="38"/>
  <c r="BZ14" i="38"/>
  <c r="BZ15" i="38"/>
  <c r="BZ16" i="38"/>
  <c r="BZ17" i="38"/>
  <c r="BZ20" i="38"/>
  <c r="BZ26" i="38"/>
  <c r="BZ33" i="38"/>
  <c r="BZ8" i="38"/>
  <c r="BZ35" i="38"/>
  <c r="BZ53" i="37"/>
  <c r="BZ56" i="37"/>
  <c r="BZ41" i="38"/>
  <c r="BZ48" i="38"/>
  <c r="BZ55" i="38"/>
  <c r="BZ7" i="37"/>
  <c r="BZ45" i="37"/>
  <c r="BZ41" i="37"/>
  <c r="BZ44" i="37"/>
  <c r="BZ38" i="37"/>
  <c r="BZ35" i="37"/>
  <c r="BZ33" i="37"/>
  <c r="BZ22" i="38" s="1"/>
  <c r="BZ31" i="37"/>
  <c r="BZ4" i="37"/>
  <c r="BZ20" i="37" s="1"/>
  <c r="CB23" i="37" s="1"/>
  <c r="BY12" i="38"/>
  <c r="BY13" i="38"/>
  <c r="BY14" i="38"/>
  <c r="BY15" i="38"/>
  <c r="BY16" i="38"/>
  <c r="BY17" i="38"/>
  <c r="BY20" i="38"/>
  <c r="BY26" i="38"/>
  <c r="BY33" i="38"/>
  <c r="BY8" i="38"/>
  <c r="BY35" i="38"/>
  <c r="BY41" i="38"/>
  <c r="BY48" i="38"/>
  <c r="BY55" i="38"/>
  <c r="BX20" i="38"/>
  <c r="BX47" i="37"/>
  <c r="BX45" i="37"/>
  <c r="BX41" i="37"/>
  <c r="BX44" i="37"/>
  <c r="BX38" i="37"/>
  <c r="BX35" i="37"/>
  <c r="BX33" i="37"/>
  <c r="BX22" i="38" s="1"/>
  <c r="BX31" i="37"/>
  <c r="BX7" i="37"/>
  <c r="BX4" i="37"/>
  <c r="BX20" i="37" s="1"/>
  <c r="BX55" i="38"/>
  <c r="BX48" i="38"/>
  <c r="BX41" i="38"/>
  <c r="BX35" i="38"/>
  <c r="BX53" i="37"/>
  <c r="BX33" i="38"/>
  <c r="BX26" i="38"/>
  <c r="BX17" i="38"/>
  <c r="BX16" i="38"/>
  <c r="BX15" i="38"/>
  <c r="BX14" i="38"/>
  <c r="BX13" i="38"/>
  <c r="BX12" i="38"/>
  <c r="BW33" i="37"/>
  <c r="BW22" i="38" s="1"/>
  <c r="BV41" i="37"/>
  <c r="BV44" i="37"/>
  <c r="BW41" i="37"/>
  <c r="BW44" i="37"/>
  <c r="BW35" i="37"/>
  <c r="BW38" i="37"/>
  <c r="BW55" i="38"/>
  <c r="BW48" i="38"/>
  <c r="BW41" i="38"/>
  <c r="BW35" i="38"/>
  <c r="BW53" i="37"/>
  <c r="BW33" i="38"/>
  <c r="BW50" i="37"/>
  <c r="BW29" i="37"/>
  <c r="BW26" i="38"/>
  <c r="BW20" i="38"/>
  <c r="BW17" i="38"/>
  <c r="BW16" i="38"/>
  <c r="BW15" i="38"/>
  <c r="BW14" i="38"/>
  <c r="BW13" i="38"/>
  <c r="BW12" i="38"/>
  <c r="BW45" i="37"/>
  <c r="BW31" i="37"/>
  <c r="BW7" i="37"/>
  <c r="BW4" i="37"/>
  <c r="BW20" i="37" s="1"/>
  <c r="BV4" i="37"/>
  <c r="BV20" i="37" s="1"/>
  <c r="BO18" i="38" s="1"/>
  <c r="BV7" i="37"/>
  <c r="BV45" i="37"/>
  <c r="BV38" i="37"/>
  <c r="BV35" i="37"/>
  <c r="BV33" i="37"/>
  <c r="BV22" i="38" s="1"/>
  <c r="BV31" i="37"/>
  <c r="BV55" i="38"/>
  <c r="BV48" i="38"/>
  <c r="BV41" i="38"/>
  <c r="BV35" i="38"/>
  <c r="BV53" i="37"/>
  <c r="BV56" i="37"/>
  <c r="BV33" i="38"/>
  <c r="BV50" i="37"/>
  <c r="BV26" i="38"/>
  <c r="BV20" i="38"/>
  <c r="BV17" i="38"/>
  <c r="BV16" i="38"/>
  <c r="BV15" i="38"/>
  <c r="BV14" i="38"/>
  <c r="BV13" i="38"/>
  <c r="BV12" i="38"/>
  <c r="BU47" i="37"/>
  <c r="BU45" i="37"/>
  <c r="BU41" i="37"/>
  <c r="BU38" i="37"/>
  <c r="BU35" i="37"/>
  <c r="BU26" i="37" s="1"/>
  <c r="BU33" i="37"/>
  <c r="BU22" i="38" s="1"/>
  <c r="BU31" i="37"/>
  <c r="BU7" i="37"/>
  <c r="BU4" i="37"/>
  <c r="BU20" i="37" s="1"/>
  <c r="BN18" i="38" s="1"/>
  <c r="BU55" i="38"/>
  <c r="BU48" i="38"/>
  <c r="BU41" i="38"/>
  <c r="BU35" i="38"/>
  <c r="BU53" i="37"/>
  <c r="BU33" i="38"/>
  <c r="BU50" i="37"/>
  <c r="BU26" i="38"/>
  <c r="BU20" i="38"/>
  <c r="BU17" i="38"/>
  <c r="BU16" i="38"/>
  <c r="BU15" i="38"/>
  <c r="BU14" i="38"/>
  <c r="BU13" i="38"/>
  <c r="BU12" i="38"/>
  <c r="BT48" i="38"/>
  <c r="BT35" i="38"/>
  <c r="BT53" i="37"/>
  <c r="BT26" i="38"/>
  <c r="BT41" i="37"/>
  <c r="BT44" i="37"/>
  <c r="BT33" i="37"/>
  <c r="BT22" i="38" s="1"/>
  <c r="BT12" i="38"/>
  <c r="BT14" i="38"/>
  <c r="BT15" i="38"/>
  <c r="BT16" i="38"/>
  <c r="BT17" i="38"/>
  <c r="BT20" i="38"/>
  <c r="BT33" i="38"/>
  <c r="BT8" i="38"/>
  <c r="BT41" i="38"/>
  <c r="BT55" i="38"/>
  <c r="BT45" i="37"/>
  <c r="BT38" i="37"/>
  <c r="BT35" i="37"/>
  <c r="BT31" i="37"/>
  <c r="BT7" i="37"/>
  <c r="BM13" i="38"/>
  <c r="BT4" i="37"/>
  <c r="BT20" i="37" s="1"/>
  <c r="BS48" i="38"/>
  <c r="BS12" i="38"/>
  <c r="BS14" i="38"/>
  <c r="BS15" i="38"/>
  <c r="BS16" i="38"/>
  <c r="BS17" i="38"/>
  <c r="BS20" i="38"/>
  <c r="BS26" i="38"/>
  <c r="BS33" i="38"/>
  <c r="BS8" i="38"/>
  <c r="BS35" i="38"/>
  <c r="BS53" i="37"/>
  <c r="BS41" i="38"/>
  <c r="BS55" i="38"/>
  <c r="BS4" i="37"/>
  <c r="BS20" i="37" s="1"/>
  <c r="BL18" i="38" s="1"/>
  <c r="BS45" i="37"/>
  <c r="BS41" i="37"/>
  <c r="BS44" i="37"/>
  <c r="BS38" i="37"/>
  <c r="BS35" i="37"/>
  <c r="BS33" i="37"/>
  <c r="BS22" i="38" s="1"/>
  <c r="BS31" i="37"/>
  <c r="BS7" i="37"/>
  <c r="BL13" i="38" s="1"/>
  <c r="BQ38" i="37"/>
  <c r="BR38" i="37"/>
  <c r="BR55" i="38"/>
  <c r="BR48" i="38"/>
  <c r="BR41" i="38"/>
  <c r="BR34" i="38"/>
  <c r="BR35" i="38"/>
  <c r="BR53" i="37"/>
  <c r="BR33" i="38"/>
  <c r="BR50" i="37"/>
  <c r="BR26" i="38"/>
  <c r="BR20" i="38"/>
  <c r="BR17" i="38"/>
  <c r="BR16" i="38"/>
  <c r="BR15" i="38"/>
  <c r="BR14" i="38"/>
  <c r="BR13" i="38"/>
  <c r="BR12" i="38"/>
  <c r="BR8" i="38"/>
  <c r="BR45" i="37"/>
  <c r="BR41" i="37"/>
  <c r="BR44" i="37"/>
  <c r="BR35" i="37"/>
  <c r="BR33" i="37"/>
  <c r="BR22" i="38" s="1"/>
  <c r="BR31" i="37"/>
  <c r="BR7" i="37"/>
  <c r="BK13" i="38"/>
  <c r="BR4" i="37"/>
  <c r="BR20" i="37" s="1"/>
  <c r="BQ41" i="37"/>
  <c r="BQ44" i="37"/>
  <c r="BQ55" i="38"/>
  <c r="BQ48" i="38"/>
  <c r="BQ41" i="38"/>
  <c r="BQ35" i="38"/>
  <c r="BQ53" i="37"/>
  <c r="BQ56" i="37"/>
  <c r="BQ33" i="38"/>
  <c r="BQ50" i="37"/>
  <c r="BQ26" i="38"/>
  <c r="BQ20" i="38"/>
  <c r="BQ17" i="38"/>
  <c r="BQ16" i="38"/>
  <c r="BQ15" i="38"/>
  <c r="BQ14" i="38"/>
  <c r="BQ13" i="38"/>
  <c r="BQ12" i="38"/>
  <c r="BQ47" i="37"/>
  <c r="BQ45" i="37"/>
  <c r="BQ35" i="37"/>
  <c r="BQ26" i="37" s="1"/>
  <c r="BQ33" i="37"/>
  <c r="BQ22" i="38" s="1"/>
  <c r="BQ31" i="37"/>
  <c r="BQ4" i="37"/>
  <c r="BQ20" i="37" s="1"/>
  <c r="BP20" i="38"/>
  <c r="BP45" i="37"/>
  <c r="BP41" i="37"/>
  <c r="BP38" i="37"/>
  <c r="BP35" i="37"/>
  <c r="BP33" i="37"/>
  <c r="BP22" i="38" s="1"/>
  <c r="BP31" i="37"/>
  <c r="BP7" i="37"/>
  <c r="BP4" i="37"/>
  <c r="BP20" i="37" s="1"/>
  <c r="BP55" i="38"/>
  <c r="BP48" i="38"/>
  <c r="BP41" i="38"/>
  <c r="BP35" i="38"/>
  <c r="BP53" i="37"/>
  <c r="BP32" i="37"/>
  <c r="BP33" i="38"/>
  <c r="BP50" i="37"/>
  <c r="BP26" i="38"/>
  <c r="BP17" i="38"/>
  <c r="BP16" i="38"/>
  <c r="BP15" i="38"/>
  <c r="BP14" i="38"/>
  <c r="BP12" i="38"/>
  <c r="D38" i="38"/>
  <c r="BO38" i="37"/>
  <c r="BO41" i="37"/>
  <c r="BO44" i="37"/>
  <c r="BO7" i="37"/>
  <c r="BO55" i="38"/>
  <c r="BO48" i="38"/>
  <c r="BO41" i="38"/>
  <c r="BO35" i="38"/>
  <c r="BO53" i="37"/>
  <c r="BO56" i="37"/>
  <c r="BO33" i="38"/>
  <c r="BO50" i="37"/>
  <c r="BO29" i="37"/>
  <c r="BO26" i="38"/>
  <c r="BO20" i="38"/>
  <c r="BO17" i="38"/>
  <c r="BO16" i="38"/>
  <c r="BO15" i="38"/>
  <c r="BO14" i="38"/>
  <c r="BO13" i="38"/>
  <c r="BO12" i="38"/>
  <c r="BO45" i="37"/>
  <c r="BO35" i="37"/>
  <c r="BO33" i="37"/>
  <c r="BO22" i="38" s="1"/>
  <c r="BO31" i="37"/>
  <c r="BO4" i="37"/>
  <c r="BO20" i="37" s="1"/>
  <c r="BN38" i="37"/>
  <c r="BN41" i="37"/>
  <c r="BN55" i="38"/>
  <c r="BN48" i="38"/>
  <c r="BN41" i="38"/>
  <c r="BN35" i="38"/>
  <c r="BN53" i="37"/>
  <c r="BN33" i="38"/>
  <c r="BN50" i="37"/>
  <c r="BN26" i="38"/>
  <c r="BN20" i="38"/>
  <c r="BN17" i="38"/>
  <c r="BN16" i="38"/>
  <c r="BN15" i="38"/>
  <c r="BN14" i="38"/>
  <c r="BN13" i="38"/>
  <c r="BN12" i="38"/>
  <c r="BN45" i="37"/>
  <c r="BN35" i="37"/>
  <c r="BN33" i="37"/>
  <c r="BN22" i="38" s="1"/>
  <c r="BN31" i="37"/>
  <c r="BN7" i="37"/>
  <c r="BN4" i="37"/>
  <c r="BN20" i="37" s="1"/>
  <c r="BJ31" i="37"/>
  <c r="BM20" i="38"/>
  <c r="BM4" i="37"/>
  <c r="BM20" i="37" s="1"/>
  <c r="BI18" i="38" s="1"/>
  <c r="BL4" i="37"/>
  <c r="BL20" i="37" s="1"/>
  <c r="BM55" i="38"/>
  <c r="BM48" i="38"/>
  <c r="BM41" i="38"/>
  <c r="BM35" i="38"/>
  <c r="BM53" i="37"/>
  <c r="BM56" i="37"/>
  <c r="BM33" i="38"/>
  <c r="BM8" i="38"/>
  <c r="BM26" i="38"/>
  <c r="BM17" i="38"/>
  <c r="BM16" i="38"/>
  <c r="BM15" i="38"/>
  <c r="BM14" i="38"/>
  <c r="BM12" i="38"/>
  <c r="BM50" i="37"/>
  <c r="BM45" i="37"/>
  <c r="BM41" i="37"/>
  <c r="BM38" i="37"/>
  <c r="BM35" i="37"/>
  <c r="BM33" i="37"/>
  <c r="BM22" i="38" s="1"/>
  <c r="BM31" i="37"/>
  <c r="BM7" i="37"/>
  <c r="BI13" i="38" s="1"/>
  <c r="BL31" i="37"/>
  <c r="BL7" i="37"/>
  <c r="BH13" i="38"/>
  <c r="BL26" i="38"/>
  <c r="BL41" i="38"/>
  <c r="BL45" i="37"/>
  <c r="BL41" i="37"/>
  <c r="BL38" i="37"/>
  <c r="BL35" i="37"/>
  <c r="BL33" i="37"/>
  <c r="BL22" i="38" s="1"/>
  <c r="BL55" i="38"/>
  <c r="BL48" i="38"/>
  <c r="BL35" i="38"/>
  <c r="BL53" i="37"/>
  <c r="BL33" i="38"/>
  <c r="BL50" i="37"/>
  <c r="BL20" i="38"/>
  <c r="BL17" i="38"/>
  <c r="BL16" i="38"/>
  <c r="BL15" i="38"/>
  <c r="BL14" i="38"/>
  <c r="BL12" i="38"/>
  <c r="BK45" i="37"/>
  <c r="BK41" i="37"/>
  <c r="BK38" i="37"/>
  <c r="BK35" i="37"/>
  <c r="BK33" i="37"/>
  <c r="BK22" i="38" s="1"/>
  <c r="BK29" i="38"/>
  <c r="BK5" i="38" s="1"/>
  <c r="BK31" i="37"/>
  <c r="BK7" i="37"/>
  <c r="BK4" i="37"/>
  <c r="BK20" i="37" s="1"/>
  <c r="BK55" i="38"/>
  <c r="BK48" i="38"/>
  <c r="BK41" i="38"/>
  <c r="BK34" i="38"/>
  <c r="BK35" i="38"/>
  <c r="BK53" i="37"/>
  <c r="BK33" i="38"/>
  <c r="BK50" i="37"/>
  <c r="BK26" i="38"/>
  <c r="BK20" i="38"/>
  <c r="BK17" i="38"/>
  <c r="BK16" i="38"/>
  <c r="BK15" i="38"/>
  <c r="BK14" i="38"/>
  <c r="BK12" i="38"/>
  <c r="BJ41" i="37"/>
  <c r="BJ38" i="37"/>
  <c r="BJ45" i="37"/>
  <c r="BJ35" i="37"/>
  <c r="BJ33" i="37"/>
  <c r="BJ22" i="38" s="1"/>
  <c r="BJ7" i="37"/>
  <c r="BF13" i="38" s="1"/>
  <c r="BJ4" i="37"/>
  <c r="BJ20" i="37" s="1"/>
  <c r="BJ55" i="38"/>
  <c r="BJ48" i="38"/>
  <c r="BJ41" i="38"/>
  <c r="BJ35" i="38"/>
  <c r="BJ53" i="37"/>
  <c r="BJ33" i="38"/>
  <c r="BJ50" i="37"/>
  <c r="BJ29" i="37"/>
  <c r="BJ26" i="38"/>
  <c r="BJ20" i="38"/>
  <c r="BJ17" i="38"/>
  <c r="BJ16" i="38"/>
  <c r="BJ15" i="38"/>
  <c r="BJ14" i="38"/>
  <c r="BJ12" i="38"/>
  <c r="BH32" i="37"/>
  <c r="BG32" i="37"/>
  <c r="BF32" i="37"/>
  <c r="BE32" i="37"/>
  <c r="BD32" i="37"/>
  <c r="BC32" i="37"/>
  <c r="BI32" i="37"/>
  <c r="BI33" i="37"/>
  <c r="BI22" i="38" s="1"/>
  <c r="BI56" i="37"/>
  <c r="BI51" i="37"/>
  <c r="BI44" i="37"/>
  <c r="BI39" i="37"/>
  <c r="BI30" i="37"/>
  <c r="BI31" i="37"/>
  <c r="BI29" i="37"/>
  <c r="BI7" i="37"/>
  <c r="BE13" i="38" s="1"/>
  <c r="BH23" i="38"/>
  <c r="BH22" i="38"/>
  <c r="BI20" i="38"/>
  <c r="BH20" i="38"/>
  <c r="BI55" i="38"/>
  <c r="BI48" i="38"/>
  <c r="BI41" i="38"/>
  <c r="BI35" i="38"/>
  <c r="BI33" i="38"/>
  <c r="BI8" i="38"/>
  <c r="BI26" i="38"/>
  <c r="BI17" i="38"/>
  <c r="BI16" i="38"/>
  <c r="BI15" i="38"/>
  <c r="BI14" i="38"/>
  <c r="BI12" i="38"/>
  <c r="BI45" i="37"/>
  <c r="BI35" i="37"/>
  <c r="BI4" i="37"/>
  <c r="BI20" i="37" s="1"/>
  <c r="BH56" i="37"/>
  <c r="BH51" i="37"/>
  <c r="BH44" i="37"/>
  <c r="BH39" i="37"/>
  <c r="BH30" i="37"/>
  <c r="BH31" i="37"/>
  <c r="BH29" i="37"/>
  <c r="BH26" i="37"/>
  <c r="BH20" i="37"/>
  <c r="BH7" i="37"/>
  <c r="BH5" i="37"/>
  <c r="BH55" i="38"/>
  <c r="BH48" i="38"/>
  <c r="BH41" i="38"/>
  <c r="BH29" i="38"/>
  <c r="BH5" i="38" s="1"/>
  <c r="BH35" i="38"/>
  <c r="BH33" i="38"/>
  <c r="BH8" i="38"/>
  <c r="BH26" i="38"/>
  <c r="BH17" i="38"/>
  <c r="BH16" i="38"/>
  <c r="BH15" i="38"/>
  <c r="BH14" i="38"/>
  <c r="BH12" i="38"/>
  <c r="BG31" i="37"/>
  <c r="BF31" i="37"/>
  <c r="BE31" i="37"/>
  <c r="BD31" i="37"/>
  <c r="BC31" i="37"/>
  <c r="BG56" i="37"/>
  <c r="BG51" i="37"/>
  <c r="BG44" i="37"/>
  <c r="BG39" i="37"/>
  <c r="BG30" i="37"/>
  <c r="BG29" i="37"/>
  <c r="BG26" i="37"/>
  <c r="BG20" i="37"/>
  <c r="BD18" i="38" s="1"/>
  <c r="BG7" i="37"/>
  <c r="BD13" i="38"/>
  <c r="BG5" i="37"/>
  <c r="BG55" i="38"/>
  <c r="BG48" i="38"/>
  <c r="BG41" i="38"/>
  <c r="BG35" i="38"/>
  <c r="BG33" i="38"/>
  <c r="BG8" i="38"/>
  <c r="BG26" i="38"/>
  <c r="BG23" i="38"/>
  <c r="BG22" i="38"/>
  <c r="BG20" i="38"/>
  <c r="BG17" i="38"/>
  <c r="BG16" i="38"/>
  <c r="BG15" i="38"/>
  <c r="BG14" i="38"/>
  <c r="BG13" i="38"/>
  <c r="BG12" i="38"/>
  <c r="BF56" i="37"/>
  <c r="BF51" i="37"/>
  <c r="BF44" i="37"/>
  <c r="BF39" i="37"/>
  <c r="BF30" i="37"/>
  <c r="BF29" i="37"/>
  <c r="BF26" i="37"/>
  <c r="BF20" i="37"/>
  <c r="BC18" i="38" s="1"/>
  <c r="BF7" i="37"/>
  <c r="BC13" i="38" s="1"/>
  <c r="BF5" i="37"/>
  <c r="BF55" i="38"/>
  <c r="BF48" i="38"/>
  <c r="BF41" i="38"/>
  <c r="BF35" i="38"/>
  <c r="BF33" i="38"/>
  <c r="BF27" i="38"/>
  <c r="BF25" i="38"/>
  <c r="BF26" i="38" s="1"/>
  <c r="BF9" i="38" s="1"/>
  <c r="BF10" i="38" s="1"/>
  <c r="BF23" i="38"/>
  <c r="BF22" i="38"/>
  <c r="BF20" i="38"/>
  <c r="BF17" i="38"/>
  <c r="BF16" i="38"/>
  <c r="BF15" i="38"/>
  <c r="BF14" i="38"/>
  <c r="BF12" i="38"/>
  <c r="BE56" i="37"/>
  <c r="BE51" i="37"/>
  <c r="BE44" i="37"/>
  <c r="BE39" i="37"/>
  <c r="BE30" i="37"/>
  <c r="BE29" i="37"/>
  <c r="BE26" i="37"/>
  <c r="BE20" i="37"/>
  <c r="BE7" i="37"/>
  <c r="BB13" i="38"/>
  <c r="BE5" i="37"/>
  <c r="BE55" i="38"/>
  <c r="BE48" i="38"/>
  <c r="BE41" i="38"/>
  <c r="BE35" i="38"/>
  <c r="BE33" i="38"/>
  <c r="BE27" i="38"/>
  <c r="BE26" i="38" s="1"/>
  <c r="BE9" i="38" s="1"/>
  <c r="BE10" i="38" s="1"/>
  <c r="BE25" i="38"/>
  <c r="BE23" i="38"/>
  <c r="BE22" i="38"/>
  <c r="BE20" i="38"/>
  <c r="BE17" i="38"/>
  <c r="BE16" i="38"/>
  <c r="BE15" i="38"/>
  <c r="BE14" i="38"/>
  <c r="BE12" i="38"/>
  <c r="BD56" i="37"/>
  <c r="BD51" i="37"/>
  <c r="BD44" i="37"/>
  <c r="BD39" i="37"/>
  <c r="BD30" i="37"/>
  <c r="BD29" i="37"/>
  <c r="BD26" i="37"/>
  <c r="BD20" i="37"/>
  <c r="BD7" i="37"/>
  <c r="BD5" i="37"/>
  <c r="BD55" i="38"/>
  <c r="BD48" i="38"/>
  <c r="BD41" i="38"/>
  <c r="BD34" i="38"/>
  <c r="BD35" i="38"/>
  <c r="BD33" i="38"/>
  <c r="BD27" i="38"/>
  <c r="BD25" i="38"/>
  <c r="BD8" i="38" s="1"/>
  <c r="BD23" i="38"/>
  <c r="BD22" i="38"/>
  <c r="BD20" i="38"/>
  <c r="BD17" i="38"/>
  <c r="BD16" i="38"/>
  <c r="BD15" i="38"/>
  <c r="BD14" i="38"/>
  <c r="BD12" i="38"/>
  <c r="BC5" i="37"/>
  <c r="BC56" i="37"/>
  <c r="BC51" i="37"/>
  <c r="BC44" i="37"/>
  <c r="BC39" i="37"/>
  <c r="BC29" i="37"/>
  <c r="BC26" i="37"/>
  <c r="BC20" i="37"/>
  <c r="BE23" i="37" s="1"/>
  <c r="BC7" i="37"/>
  <c r="AZ13" i="38"/>
  <c r="BC55" i="38"/>
  <c r="BC48" i="38"/>
  <c r="BC41" i="38"/>
  <c r="BC35" i="38"/>
  <c r="BC33" i="38"/>
  <c r="BC27" i="38"/>
  <c r="BC25" i="38"/>
  <c r="BC8" i="38" s="1"/>
  <c r="BC23" i="38"/>
  <c r="BC22" i="38"/>
  <c r="BC20" i="38"/>
  <c r="BC17" i="38"/>
  <c r="BC16" i="38"/>
  <c r="BC15" i="38"/>
  <c r="BC14" i="38"/>
  <c r="BC12" i="38"/>
  <c r="BB56" i="37"/>
  <c r="BB51" i="37"/>
  <c r="BB44" i="37"/>
  <c r="BB39" i="37"/>
  <c r="BB32" i="37"/>
  <c r="BB29" i="37"/>
  <c r="BB26" i="37"/>
  <c r="BB5" i="37"/>
  <c r="BB55" i="38"/>
  <c r="BB48" i="38"/>
  <c r="BB41" i="38"/>
  <c r="BB35" i="38"/>
  <c r="BB33" i="38"/>
  <c r="BB27" i="38"/>
  <c r="BB26" i="38" s="1"/>
  <c r="BB9" i="38" s="1"/>
  <c r="BB10" i="38" s="1"/>
  <c r="BB25" i="38"/>
  <c r="BB8" i="38" s="1"/>
  <c r="BB23" i="38"/>
  <c r="BB22" i="38"/>
  <c r="BB20" i="38"/>
  <c r="BB17" i="38"/>
  <c r="BB16" i="38"/>
  <c r="BB15" i="38"/>
  <c r="BB14" i="38"/>
  <c r="BB12" i="38"/>
  <c r="BA20" i="38"/>
  <c r="BA27" i="38"/>
  <c r="BA25" i="38"/>
  <c r="BA26" i="38" s="1"/>
  <c r="BA9" i="38" s="1"/>
  <c r="BA23" i="38"/>
  <c r="BA22" i="38"/>
  <c r="BA56" i="37"/>
  <c r="BA51" i="37"/>
  <c r="BA44" i="37"/>
  <c r="BA39" i="37"/>
  <c r="BA32" i="37"/>
  <c r="BA30" i="37"/>
  <c r="BA29" i="37"/>
  <c r="BA26" i="37"/>
  <c r="BA20" i="37"/>
  <c r="BA7" i="37"/>
  <c r="BA5" i="37"/>
  <c r="BA55" i="38"/>
  <c r="BA48" i="38"/>
  <c r="BA41" i="38"/>
  <c r="BA35" i="38"/>
  <c r="BA33" i="38"/>
  <c r="BA17" i="38"/>
  <c r="BA16" i="38"/>
  <c r="BA15" i="38"/>
  <c r="BA14" i="38"/>
  <c r="BA13" i="38"/>
  <c r="BA12" i="38"/>
  <c r="AZ56" i="37"/>
  <c r="AZ51" i="37"/>
  <c r="AZ44" i="37"/>
  <c r="AZ39" i="37"/>
  <c r="AZ30" i="37"/>
  <c r="AZ32" i="37"/>
  <c r="AZ29" i="37"/>
  <c r="AZ26" i="37"/>
  <c r="AZ20" i="37"/>
  <c r="AZ7" i="37"/>
  <c r="AX13" i="38"/>
  <c r="AZ5" i="37"/>
  <c r="AZ55" i="38"/>
  <c r="AZ48" i="38"/>
  <c r="AZ41" i="38"/>
  <c r="AZ35" i="38"/>
  <c r="AZ33" i="38"/>
  <c r="AZ27" i="38"/>
  <c r="AZ26" i="38" s="1"/>
  <c r="AZ9" i="38" s="1"/>
  <c r="AZ10" i="38" s="1"/>
  <c r="AZ25" i="38"/>
  <c r="AZ23" i="38"/>
  <c r="AZ22" i="38"/>
  <c r="AZ20" i="38"/>
  <c r="AZ17" i="38"/>
  <c r="AZ16" i="38"/>
  <c r="AZ15" i="38"/>
  <c r="AZ14" i="38"/>
  <c r="AZ12" i="38"/>
  <c r="AY27" i="38"/>
  <c r="AY25" i="38"/>
  <c r="AY23" i="38"/>
  <c r="AY22" i="38"/>
  <c r="AY20" i="38"/>
  <c r="AY56" i="37"/>
  <c r="AY51" i="37"/>
  <c r="AY44" i="37"/>
  <c r="AY39" i="37"/>
  <c r="AY32" i="37"/>
  <c r="AY30" i="37"/>
  <c r="AY29" i="37"/>
  <c r="AY26" i="37"/>
  <c r="AY20" i="37"/>
  <c r="BA23" i="37" s="1"/>
  <c r="AY7" i="37"/>
  <c r="AY5" i="37"/>
  <c r="AY55" i="38"/>
  <c r="AY48" i="38"/>
  <c r="AY41" i="38"/>
  <c r="AY35" i="38"/>
  <c r="AY33" i="38"/>
  <c r="AY17" i="38"/>
  <c r="AY16" i="38"/>
  <c r="AY15" i="38"/>
  <c r="AY14" i="38"/>
  <c r="AY12" i="38"/>
  <c r="AW56" i="37"/>
  <c r="AW44" i="37"/>
  <c r="AX20" i="38"/>
  <c r="AX27" i="38"/>
  <c r="AX25" i="38"/>
  <c r="AX23" i="38"/>
  <c r="AX22" i="38"/>
  <c r="AX56" i="37"/>
  <c r="AX51" i="37"/>
  <c r="AX44" i="37"/>
  <c r="AX39" i="37"/>
  <c r="AX32" i="37"/>
  <c r="AX30" i="37"/>
  <c r="AX29" i="37"/>
  <c r="AX26" i="37"/>
  <c r="AX20" i="37"/>
  <c r="AX7" i="37"/>
  <c r="AX5" i="37"/>
  <c r="AX55" i="38"/>
  <c r="AX48" i="38"/>
  <c r="AX41" i="38"/>
  <c r="AX34" i="38"/>
  <c r="AX35" i="38"/>
  <c r="AX33" i="38"/>
  <c r="AX18" i="38"/>
  <c r="AX17" i="38"/>
  <c r="AX16" i="38"/>
  <c r="AX15" i="38"/>
  <c r="AX14" i="38"/>
  <c r="AX12" i="38"/>
  <c r="AW51" i="37"/>
  <c r="AW39" i="37"/>
  <c r="AW32" i="37"/>
  <c r="AW29" i="37"/>
  <c r="AW26" i="37"/>
  <c r="AW20" i="37"/>
  <c r="AW7" i="37"/>
  <c r="AW13" i="38" s="1"/>
  <c r="AW5" i="37"/>
  <c r="AW55" i="38"/>
  <c r="AW48" i="38"/>
  <c r="AW41" i="38"/>
  <c r="AW35" i="38"/>
  <c r="AW33" i="38"/>
  <c r="AW27" i="38"/>
  <c r="AW26" i="38" s="1"/>
  <c r="AW9" i="38" s="1"/>
  <c r="AW10" i="38" s="1"/>
  <c r="AW25" i="38"/>
  <c r="AW8" i="38" s="1"/>
  <c r="AW23" i="38"/>
  <c r="AW22" i="38"/>
  <c r="AW20" i="38"/>
  <c r="AW17" i="38"/>
  <c r="AW16" i="38"/>
  <c r="AW15" i="38"/>
  <c r="AW14" i="38"/>
  <c r="AW12" i="38"/>
  <c r="AV56" i="37"/>
  <c r="AV51" i="37"/>
  <c r="AV44" i="37"/>
  <c r="AV39" i="37"/>
  <c r="AV30" i="37"/>
  <c r="AV32" i="37"/>
  <c r="AV29" i="37"/>
  <c r="AV26" i="37"/>
  <c r="AV20" i="37"/>
  <c r="AV18" i="38" s="1"/>
  <c r="AV7" i="37"/>
  <c r="AV13" i="38" s="1"/>
  <c r="AV5" i="37"/>
  <c r="AV55" i="38"/>
  <c r="AV48" i="38"/>
  <c r="AV34" i="38"/>
  <c r="AV41" i="38"/>
  <c r="AV35" i="38"/>
  <c r="AV33" i="38"/>
  <c r="AV27" i="38"/>
  <c r="AV25" i="38"/>
  <c r="AV26" i="38" s="1"/>
  <c r="AV9" i="38" s="1"/>
  <c r="AV10" i="38" s="1"/>
  <c r="AV23" i="38"/>
  <c r="AV22" i="38"/>
  <c r="AV20" i="38"/>
  <c r="AV17" i="38"/>
  <c r="AV16" i="38"/>
  <c r="AV15" i="38"/>
  <c r="AV14" i="38"/>
  <c r="AV12" i="38"/>
  <c r="AU51" i="37"/>
  <c r="AU20" i="37"/>
  <c r="AU18" i="38" s="1"/>
  <c r="AU7" i="37"/>
  <c r="AU13" i="38"/>
  <c r="AU56" i="37"/>
  <c r="AU44" i="37"/>
  <c r="AU39" i="37"/>
  <c r="AU32" i="37"/>
  <c r="AU29" i="37"/>
  <c r="AU26" i="37"/>
  <c r="AU5" i="37"/>
  <c r="AT56" i="37"/>
  <c r="AR44" i="37"/>
  <c r="AT44" i="37"/>
  <c r="AS44" i="37"/>
  <c r="AT12" i="38"/>
  <c r="AU12" i="38"/>
  <c r="AT14" i="38"/>
  <c r="AU14" i="38"/>
  <c r="AT15" i="38"/>
  <c r="AU15" i="38"/>
  <c r="AT16" i="38"/>
  <c r="AU16" i="38"/>
  <c r="AT17" i="38"/>
  <c r="AU17" i="38"/>
  <c r="AT20" i="38"/>
  <c r="AU20" i="38"/>
  <c r="AT22" i="38"/>
  <c r="AU22" i="38"/>
  <c r="AT23" i="38"/>
  <c r="AU23" i="38"/>
  <c r="AT25" i="38"/>
  <c r="AT8" i="38" s="1"/>
  <c r="AU25" i="38"/>
  <c r="AT27" i="38"/>
  <c r="AT26" i="38" s="1"/>
  <c r="AT9" i="38" s="1"/>
  <c r="AU27" i="38"/>
  <c r="AU26" i="38" s="1"/>
  <c r="AU9" i="38" s="1"/>
  <c r="AT33" i="38"/>
  <c r="AU33" i="38"/>
  <c r="AT35" i="38"/>
  <c r="AU35" i="38"/>
  <c r="AT41" i="38"/>
  <c r="AU41" i="38"/>
  <c r="AT48" i="38"/>
  <c r="AU48" i="38"/>
  <c r="AT55" i="38"/>
  <c r="AU55" i="38"/>
  <c r="AT51" i="37"/>
  <c r="AT30" i="37"/>
  <c r="AT39" i="37"/>
  <c r="AT29" i="37"/>
  <c r="AT32" i="37"/>
  <c r="AT26" i="37"/>
  <c r="AT5" i="37"/>
  <c r="AS5" i="37"/>
  <c r="AT20" i="37"/>
  <c r="AT18" i="38" s="1"/>
  <c r="AT7" i="37"/>
  <c r="AT13" i="38"/>
  <c r="AS20" i="37"/>
  <c r="AQ44" i="37"/>
  <c r="AP44" i="37"/>
  <c r="AN44" i="37"/>
  <c r="AQ33" i="38"/>
  <c r="AQ27" i="38"/>
  <c r="AR27" i="38"/>
  <c r="AS27" i="38"/>
  <c r="AS55" i="38"/>
  <c r="AR55" i="38"/>
  <c r="AQ55" i="38"/>
  <c r="AS48" i="38"/>
  <c r="AR48" i="38"/>
  <c r="AQ48" i="38"/>
  <c r="AS41" i="38"/>
  <c r="AR41" i="38"/>
  <c r="AQ41" i="38"/>
  <c r="AR29" i="38"/>
  <c r="AR5" i="38" s="1"/>
  <c r="AS35" i="38"/>
  <c r="AR35" i="38"/>
  <c r="AQ35" i="38"/>
  <c r="AS33" i="38"/>
  <c r="AR33" i="38"/>
  <c r="AS25" i="38"/>
  <c r="AS8" i="38" s="1"/>
  <c r="AR25" i="38"/>
  <c r="AQ25" i="38"/>
  <c r="AQ8" i="38" s="1"/>
  <c r="AS23" i="38"/>
  <c r="AR23" i="38"/>
  <c r="AQ23" i="38"/>
  <c r="AS22" i="38"/>
  <c r="AR22" i="38"/>
  <c r="AQ22" i="38"/>
  <c r="AS20" i="38"/>
  <c r="AR20" i="38"/>
  <c r="AQ20" i="38"/>
  <c r="AS17" i="38"/>
  <c r="AR17" i="38"/>
  <c r="AQ17" i="38"/>
  <c r="AS16" i="38"/>
  <c r="AR16" i="38"/>
  <c r="AQ16" i="38"/>
  <c r="AS15" i="38"/>
  <c r="AR15" i="38"/>
  <c r="AQ15" i="38"/>
  <c r="AS14" i="38"/>
  <c r="AR14" i="38"/>
  <c r="AQ14" i="38"/>
  <c r="AS12" i="38"/>
  <c r="AR12" i="38"/>
  <c r="AQ12" i="38"/>
  <c r="AS7" i="37"/>
  <c r="AS13" i="38"/>
  <c r="AQ20" i="37"/>
  <c r="AR20" i="37"/>
  <c r="AR18" i="38" s="1"/>
  <c r="AR7" i="37"/>
  <c r="AR13" i="38"/>
  <c r="AR5" i="37"/>
  <c r="AQ7" i="37"/>
  <c r="AQ13" i="38" s="1"/>
  <c r="AP32" i="37"/>
  <c r="AO32" i="37"/>
  <c r="AQ32" i="37"/>
  <c r="AS32" i="37"/>
  <c r="AR32" i="37"/>
  <c r="AQ29" i="37"/>
  <c r="AR29" i="37"/>
  <c r="AS29" i="37"/>
  <c r="AQ26" i="37"/>
  <c r="AR26" i="37"/>
  <c r="AS26" i="37"/>
  <c r="AQ51" i="37"/>
  <c r="AR51" i="37"/>
  <c r="AS51" i="37"/>
  <c r="AQ56" i="37"/>
  <c r="AS39" i="37"/>
  <c r="AR39" i="37"/>
  <c r="AQ39" i="37"/>
  <c r="AQ30" i="37"/>
  <c r="AQ5" i="37"/>
  <c r="AN56" i="37"/>
  <c r="AO44" i="37"/>
  <c r="AM44" i="37"/>
  <c r="AL44" i="37"/>
  <c r="AK44" i="37"/>
  <c r="AF39" i="37"/>
  <c r="AF30" i="37" s="1"/>
  <c r="AK32" i="37"/>
  <c r="AP55" i="38"/>
  <c r="AP48" i="38"/>
  <c r="AP34" i="38"/>
  <c r="AP41" i="38"/>
  <c r="AP35" i="38"/>
  <c r="AP33" i="38"/>
  <c r="AP27" i="38"/>
  <c r="AP25" i="38"/>
  <c r="AP8" i="38" s="1"/>
  <c r="AP23" i="38"/>
  <c r="AP22" i="38"/>
  <c r="AP20" i="38"/>
  <c r="AP17" i="38"/>
  <c r="AP16" i="38"/>
  <c r="AP15" i="38"/>
  <c r="AP14" i="38"/>
  <c r="AP12" i="38"/>
  <c r="AP5" i="37"/>
  <c r="AP10" i="37"/>
  <c r="AP9" i="37"/>
  <c r="AP8" i="37"/>
  <c r="AL9" i="37"/>
  <c r="AK8" i="37"/>
  <c r="AP51" i="37"/>
  <c r="AP39" i="37"/>
  <c r="AP26" i="37"/>
  <c r="AO4" i="37"/>
  <c r="AG8" i="37"/>
  <c r="AN39" i="37"/>
  <c r="AO10" i="37"/>
  <c r="AO9" i="37"/>
  <c r="AO8" i="37"/>
  <c r="AN5" i="37"/>
  <c r="AN48" i="38"/>
  <c r="AN10" i="37"/>
  <c r="AN9" i="37"/>
  <c r="AN8" i="37"/>
  <c r="AN7" i="37"/>
  <c r="AN13" i="38"/>
  <c r="AN32" i="37"/>
  <c r="AN26" i="37"/>
  <c r="AN4" i="37"/>
  <c r="AO48" i="38"/>
  <c r="AO55" i="38"/>
  <c r="AO41" i="38"/>
  <c r="AO35" i="38"/>
  <c r="AO33" i="38"/>
  <c r="AO51" i="37"/>
  <c r="AO27" i="38"/>
  <c r="AO25" i="38"/>
  <c r="AO8" i="38" s="1"/>
  <c r="AO23" i="38"/>
  <c r="AO22" i="38"/>
  <c r="AO20" i="38"/>
  <c r="AO17" i="38"/>
  <c r="AO16" i="38"/>
  <c r="AO15" i="38"/>
  <c r="AO14" i="38"/>
  <c r="AO12" i="38"/>
  <c r="AN55" i="38"/>
  <c r="AN41" i="38"/>
  <c r="AN35" i="38"/>
  <c r="AN33" i="38"/>
  <c r="AN27" i="38"/>
  <c r="AN25" i="38"/>
  <c r="AN8" i="38" s="1"/>
  <c r="AN23" i="38"/>
  <c r="AN22" i="38"/>
  <c r="AN20" i="38"/>
  <c r="AN17" i="38"/>
  <c r="AN16" i="38"/>
  <c r="AN15" i="38"/>
  <c r="AN14" i="38"/>
  <c r="AN12" i="38"/>
  <c r="AO39" i="37"/>
  <c r="AO26" i="37"/>
  <c r="AO5" i="37"/>
  <c r="AK56" i="37"/>
  <c r="AI44" i="37"/>
  <c r="AJ44" i="37"/>
  <c r="AJ10" i="37"/>
  <c r="AJ9" i="37"/>
  <c r="AJ8" i="37"/>
  <c r="AJ7" i="37"/>
  <c r="AJ13" i="38"/>
  <c r="AI8" i="37"/>
  <c r="AI7" i="37"/>
  <c r="AM10" i="37"/>
  <c r="AM9" i="37"/>
  <c r="AM8" i="37"/>
  <c r="AM7" i="37"/>
  <c r="AM13" i="38"/>
  <c r="AL10" i="37"/>
  <c r="AL8" i="37"/>
  <c r="AL7" i="37"/>
  <c r="AL13" i="38"/>
  <c r="AK10" i="37"/>
  <c r="AK9" i="37"/>
  <c r="AJ39" i="37"/>
  <c r="AM55" i="38"/>
  <c r="AM48" i="38"/>
  <c r="AM41" i="38"/>
  <c r="AM34" i="38"/>
  <c r="AM29" i="38"/>
  <c r="AM5" i="38" s="1"/>
  <c r="AM35" i="38"/>
  <c r="AM33" i="38"/>
  <c r="AM50" i="37"/>
  <c r="AM27" i="38"/>
  <c r="AM25" i="38"/>
  <c r="AM23" i="38"/>
  <c r="AM22" i="38"/>
  <c r="AM20" i="38"/>
  <c r="AM17" i="38"/>
  <c r="AM16" i="38"/>
  <c r="AM15" i="38"/>
  <c r="AM14" i="38"/>
  <c r="AM12" i="38"/>
  <c r="AL55" i="38"/>
  <c r="AL48" i="38"/>
  <c r="AL41" i="38"/>
  <c r="AL34" i="38"/>
  <c r="AL35" i="38"/>
  <c r="AL33" i="38"/>
  <c r="AL50" i="37"/>
  <c r="AL51" i="37"/>
  <c r="AL27" i="38"/>
  <c r="AL26" i="38" s="1"/>
  <c r="AL9" i="38" s="1"/>
  <c r="AL25" i="38"/>
  <c r="AL23" i="38"/>
  <c r="AL22" i="38"/>
  <c r="AL20" i="38"/>
  <c r="AL17" i="38"/>
  <c r="AL16" i="38"/>
  <c r="AL15" i="38"/>
  <c r="AL14" i="38"/>
  <c r="AL12" i="38"/>
  <c r="AK55" i="38"/>
  <c r="AK48" i="38"/>
  <c r="AK41" i="38"/>
  <c r="AK34" i="38"/>
  <c r="AK35" i="38"/>
  <c r="AK33" i="38"/>
  <c r="AK27" i="38"/>
  <c r="AK25" i="38"/>
  <c r="AK8" i="38" s="1"/>
  <c r="AK23" i="38"/>
  <c r="AK22" i="38"/>
  <c r="AK20" i="38"/>
  <c r="AK17" i="38"/>
  <c r="AK16" i="38"/>
  <c r="AK15" i="38"/>
  <c r="AK14" i="38"/>
  <c r="AK12" i="38"/>
  <c r="AJ55" i="38"/>
  <c r="AJ48" i="38"/>
  <c r="AJ41" i="38"/>
  <c r="AJ35" i="38"/>
  <c r="AJ33" i="38"/>
  <c r="AJ50" i="37"/>
  <c r="AJ29" i="37"/>
  <c r="AJ27" i="38"/>
  <c r="AJ25" i="38"/>
  <c r="AJ23" i="38"/>
  <c r="AJ22" i="38"/>
  <c r="AJ20" i="38"/>
  <c r="AJ17" i="38"/>
  <c r="AJ16" i="38"/>
  <c r="AJ15" i="38"/>
  <c r="AJ14" i="38"/>
  <c r="AJ12" i="38"/>
  <c r="AM39" i="37"/>
  <c r="AM32" i="37"/>
  <c r="AM26" i="37"/>
  <c r="AM5" i="37"/>
  <c r="AM4" i="37"/>
  <c r="AL39" i="37"/>
  <c r="AL32" i="37"/>
  <c r="AL26" i="37"/>
  <c r="AL5" i="37"/>
  <c r="AL4" i="37"/>
  <c r="AL20" i="37"/>
  <c r="AL18" i="38" s="1"/>
  <c r="AK39" i="37"/>
  <c r="AK26" i="37"/>
  <c r="AK5" i="37"/>
  <c r="AK4" i="37"/>
  <c r="AK20" i="37"/>
  <c r="AJ32" i="37"/>
  <c r="AJ26" i="37"/>
  <c r="AJ5" i="37"/>
  <c r="AH44" i="37"/>
  <c r="AI5" i="37"/>
  <c r="AI39" i="37"/>
  <c r="AI26" i="37"/>
  <c r="AI55" i="38"/>
  <c r="AI48" i="38"/>
  <c r="AI35" i="38"/>
  <c r="AI29" i="37"/>
  <c r="AI27" i="38"/>
  <c r="AI26" i="38" s="1"/>
  <c r="AI9" i="38" s="1"/>
  <c r="AI25" i="38"/>
  <c r="AI23" i="38"/>
  <c r="AI22" i="38"/>
  <c r="AI20" i="38"/>
  <c r="AI17" i="38"/>
  <c r="AI16" i="38"/>
  <c r="AI15" i="38"/>
  <c r="AI14" i="38"/>
  <c r="AI12" i="38"/>
  <c r="W4" i="38"/>
  <c r="AI4" i="38"/>
  <c r="X4" i="38"/>
  <c r="AJ4" i="38"/>
  <c r="Y4" i="38"/>
  <c r="AK4" i="38"/>
  <c r="Z4" i="38"/>
  <c r="AL4" i="38"/>
  <c r="AA4" i="38"/>
  <c r="AM4" i="38"/>
  <c r="AB4" i="38"/>
  <c r="AN4" i="38"/>
  <c r="AC4" i="38"/>
  <c r="AO4" i="38"/>
  <c r="AD4" i="38"/>
  <c r="AE4" i="38"/>
  <c r="AF4" i="38"/>
  <c r="AG4" i="38"/>
  <c r="AH4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Z12" i="38"/>
  <c r="AA12" i="38"/>
  <c r="AB12" i="38"/>
  <c r="AC12" i="38"/>
  <c r="AD12" i="38"/>
  <c r="AE12" i="38"/>
  <c r="AF12" i="38"/>
  <c r="AG12" i="38"/>
  <c r="AH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AH14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AH15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AF16" i="38"/>
  <c r="AG16" i="38"/>
  <c r="AH16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AG17" i="38"/>
  <c r="AH17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D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D20" i="38"/>
  <c r="D21" i="38" s="1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AG20" i="38"/>
  <c r="AH20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AG22" i="38"/>
  <c r="AH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AH23" i="38"/>
  <c r="D24" i="38"/>
  <c r="E24" i="38"/>
  <c r="F24" i="38"/>
  <c r="G24" i="38"/>
  <c r="H24" i="38"/>
  <c r="I24" i="38"/>
  <c r="J24" i="38"/>
  <c r="K24" i="38"/>
  <c r="L24" i="38"/>
  <c r="M24" i="38"/>
  <c r="M28" i="38" s="1"/>
  <c r="N24" i="38"/>
  <c r="O24" i="38"/>
  <c r="P24" i="38"/>
  <c r="Q24" i="38"/>
  <c r="D25" i="38"/>
  <c r="D26" i="38" s="1"/>
  <c r="D9" i="38" s="1"/>
  <c r="E25" i="38"/>
  <c r="E8" i="38" s="1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V8" i="38" s="1"/>
  <c r="W25" i="38"/>
  <c r="W8" i="38" s="1"/>
  <c r="X25" i="38"/>
  <c r="Y25" i="38"/>
  <c r="Y8" i="38" s="1"/>
  <c r="Z25" i="38"/>
  <c r="AA25" i="38"/>
  <c r="AA8" i="38" s="1"/>
  <c r="AB25" i="38"/>
  <c r="AC25" i="38"/>
  <c r="AC26" i="38" s="1"/>
  <c r="AC9" i="38" s="1"/>
  <c r="AD25" i="38"/>
  <c r="AD8" i="38" s="1"/>
  <c r="AE25" i="38"/>
  <c r="AE8" i="38" s="1"/>
  <c r="AF25" i="38"/>
  <c r="AG25" i="38"/>
  <c r="AG8" i="38" s="1"/>
  <c r="AH25" i="38"/>
  <c r="E27" i="38"/>
  <c r="E26" i="38" s="1"/>
  <c r="E9" i="38" s="1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R26" i="38" s="1"/>
  <c r="R9" i="38" s="1"/>
  <c r="S27" i="38"/>
  <c r="T27" i="38"/>
  <c r="T26" i="38" s="1"/>
  <c r="T9" i="38" s="1"/>
  <c r="U27" i="38"/>
  <c r="V27" i="38"/>
  <c r="W27" i="38"/>
  <c r="X27" i="38"/>
  <c r="Y27" i="38"/>
  <c r="Z27" i="38"/>
  <c r="AA27" i="38"/>
  <c r="AB27" i="38"/>
  <c r="AB26" i="38" s="1"/>
  <c r="AB9" i="38" s="1"/>
  <c r="AC27" i="38"/>
  <c r="AD27" i="38"/>
  <c r="AD26" i="38" s="1"/>
  <c r="AD9" i="38" s="1"/>
  <c r="AE27" i="38"/>
  <c r="AF27" i="38"/>
  <c r="AG27" i="38"/>
  <c r="AH27" i="38"/>
  <c r="D32" i="38"/>
  <c r="D33" i="38"/>
  <c r="E33" i="38"/>
  <c r="F33" i="38"/>
  <c r="F8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V50" i="37"/>
  <c r="V29" i="37"/>
  <c r="W33" i="38"/>
  <c r="W50" i="37"/>
  <c r="X33" i="38"/>
  <c r="Y33" i="38"/>
  <c r="Z33" i="38"/>
  <c r="AA33" i="38"/>
  <c r="AA50" i="37"/>
  <c r="AB33" i="38"/>
  <c r="AC33" i="38"/>
  <c r="AD33" i="38"/>
  <c r="AD50" i="37"/>
  <c r="AE33" i="38"/>
  <c r="AF33" i="38"/>
  <c r="AF50" i="37"/>
  <c r="AF29" i="37"/>
  <c r="AG33" i="38"/>
  <c r="AH33" i="38"/>
  <c r="AH8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R53" i="37"/>
  <c r="R32" i="37"/>
  <c r="S35" i="38"/>
  <c r="S53" i="37"/>
  <c r="T35" i="38"/>
  <c r="T53" i="37"/>
  <c r="U35" i="38"/>
  <c r="U53" i="37"/>
  <c r="U32" i="37"/>
  <c r="V35" i="38"/>
  <c r="V53" i="37"/>
  <c r="V32" i="37"/>
  <c r="W35" i="38"/>
  <c r="W53" i="37"/>
  <c r="X35" i="38"/>
  <c r="X53" i="37"/>
  <c r="Y35" i="38"/>
  <c r="Z35" i="38"/>
  <c r="Z53" i="37"/>
  <c r="Z32" i="37"/>
  <c r="AA35" i="38"/>
  <c r="AA53" i="37"/>
  <c r="AB35" i="38"/>
  <c r="AB53" i="37"/>
  <c r="AC35" i="38"/>
  <c r="AC53" i="37"/>
  <c r="AD35" i="38"/>
  <c r="AD53" i="37"/>
  <c r="AD32" i="37"/>
  <c r="AE35" i="38"/>
  <c r="AE53" i="37"/>
  <c r="AF35" i="38"/>
  <c r="AF53" i="37"/>
  <c r="AG35" i="38"/>
  <c r="AG53" i="37"/>
  <c r="AH35" i="38"/>
  <c r="AH53" i="37"/>
  <c r="AH56" i="37"/>
  <c r="D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X34" i="38"/>
  <c r="Y41" i="38"/>
  <c r="Z41" i="38"/>
  <c r="AA41" i="38"/>
  <c r="AB41" i="38"/>
  <c r="AC41" i="38"/>
  <c r="AC34" i="38"/>
  <c r="AD41" i="38"/>
  <c r="AE41" i="38"/>
  <c r="AF41" i="38"/>
  <c r="AG41" i="38"/>
  <c r="AH41" i="38"/>
  <c r="D43" i="38"/>
  <c r="D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AG48" i="38"/>
  <c r="AH48" i="38"/>
  <c r="D50" i="38"/>
  <c r="D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D55" i="38"/>
  <c r="E55" i="38"/>
  <c r="E34" i="38"/>
  <c r="F55" i="38"/>
  <c r="G55" i="38"/>
  <c r="H55" i="38"/>
  <c r="I55" i="38"/>
  <c r="J55" i="38"/>
  <c r="K55" i="38"/>
  <c r="L55" i="38"/>
  <c r="M55" i="38"/>
  <c r="M34" i="38"/>
  <c r="N55" i="38"/>
  <c r="O55" i="38"/>
  <c r="P55" i="38"/>
  <c r="Q55" i="38"/>
  <c r="R55" i="38"/>
  <c r="S55" i="38"/>
  <c r="T55" i="38"/>
  <c r="T34" i="38"/>
  <c r="U55" i="38"/>
  <c r="V55" i="38"/>
  <c r="W55" i="38"/>
  <c r="X55" i="38"/>
  <c r="Y55" i="38"/>
  <c r="Z55" i="38"/>
  <c r="AA55" i="38"/>
  <c r="AB55" i="38"/>
  <c r="AC55" i="38"/>
  <c r="AD55" i="38"/>
  <c r="AD34" i="38"/>
  <c r="AE55" i="38"/>
  <c r="AF55" i="38"/>
  <c r="AG55" i="38"/>
  <c r="AH55" i="38"/>
  <c r="AH34" i="38"/>
  <c r="D57" i="38"/>
  <c r="D4" i="37"/>
  <c r="E4" i="37"/>
  <c r="F4" i="37"/>
  <c r="G4" i="37"/>
  <c r="H4" i="37"/>
  <c r="I4" i="37"/>
  <c r="J4" i="37"/>
  <c r="K4" i="37"/>
  <c r="K20" i="37"/>
  <c r="L4" i="37"/>
  <c r="M4" i="37"/>
  <c r="M20" i="37"/>
  <c r="N4" i="37"/>
  <c r="N20" i="37"/>
  <c r="O4" i="37"/>
  <c r="P4" i="37"/>
  <c r="Q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D5" i="37"/>
  <c r="D20" i="37" s="1"/>
  <c r="D18" i="38" s="1"/>
  <c r="E5" i="37"/>
  <c r="E20" i="37" s="1"/>
  <c r="F5" i="37"/>
  <c r="F20" i="37"/>
  <c r="G5" i="37"/>
  <c r="H5" i="37"/>
  <c r="I5" i="37"/>
  <c r="J5" i="37"/>
  <c r="K5" i="37"/>
  <c r="L5" i="37"/>
  <c r="M5" i="37"/>
  <c r="N5" i="37"/>
  <c r="O5" i="37"/>
  <c r="P5" i="37"/>
  <c r="Q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G7" i="37"/>
  <c r="H7" i="37"/>
  <c r="I7" i="37"/>
  <c r="J7" i="37"/>
  <c r="K7" i="37"/>
  <c r="L7" i="37"/>
  <c r="M7" i="37"/>
  <c r="N7" i="37"/>
  <c r="O7" i="37"/>
  <c r="P8" i="37"/>
  <c r="Q8" i="37"/>
  <c r="R8" i="37"/>
  <c r="R7" i="37"/>
  <c r="R13" i="38"/>
  <c r="S8" i="37"/>
  <c r="S7" i="37"/>
  <c r="S13" i="38"/>
  <c r="T8" i="37"/>
  <c r="U8" i="37"/>
  <c r="U7" i="37"/>
  <c r="U13" i="38"/>
  <c r="V8" i="37"/>
  <c r="V7" i="37"/>
  <c r="V13" i="38"/>
  <c r="W8" i="37"/>
  <c r="X8" i="37"/>
  <c r="Y8" i="37"/>
  <c r="Z8" i="37"/>
  <c r="AA8" i="37"/>
  <c r="AB8" i="37"/>
  <c r="AC8" i="37"/>
  <c r="AC7" i="37"/>
  <c r="AC13" i="38"/>
  <c r="AD8" i="37"/>
  <c r="AE8" i="37"/>
  <c r="AF8" i="37"/>
  <c r="AH8" i="37"/>
  <c r="P9" i="37"/>
  <c r="Q9" i="37"/>
  <c r="R9" i="37"/>
  <c r="S9" i="37"/>
  <c r="T9" i="37"/>
  <c r="U9" i="37"/>
  <c r="V9" i="37"/>
  <c r="V20" i="37"/>
  <c r="W9" i="37"/>
  <c r="W7" i="37"/>
  <c r="W13" i="38"/>
  <c r="X9" i="37"/>
  <c r="X7" i="37"/>
  <c r="X13" i="38"/>
  <c r="Y9" i="37"/>
  <c r="Y7" i="37"/>
  <c r="Y13" i="38"/>
  <c r="Z9" i="37"/>
  <c r="Z7" i="37"/>
  <c r="Z13" i="38"/>
  <c r="AA9" i="37"/>
  <c r="AA7" i="37"/>
  <c r="AB9" i="37"/>
  <c r="AC9" i="37"/>
  <c r="AD9" i="37"/>
  <c r="AE9" i="37"/>
  <c r="AF9" i="37"/>
  <c r="AG9" i="37"/>
  <c r="AH9" i="37"/>
  <c r="AD10" i="37"/>
  <c r="AE10" i="37"/>
  <c r="AF10" i="37"/>
  <c r="AF7" i="37"/>
  <c r="AF13" i="38"/>
  <c r="AG10" i="37"/>
  <c r="AH10" i="37"/>
  <c r="Q19" i="37"/>
  <c r="Q20" i="37"/>
  <c r="G20" i="37"/>
  <c r="H20" i="37"/>
  <c r="I20" i="37"/>
  <c r="J20" i="37"/>
  <c r="L20" i="37"/>
  <c r="O20" i="37"/>
  <c r="G25" i="37"/>
  <c r="H25" i="37"/>
  <c r="I25" i="37"/>
  <c r="J25" i="37"/>
  <c r="K25" i="37"/>
  <c r="L25" i="37" s="1"/>
  <c r="M25" i="37" s="1"/>
  <c r="N25" i="37" s="1"/>
  <c r="O25" i="37" s="1"/>
  <c r="P25" i="37" s="1"/>
  <c r="Q25" i="37" s="1"/>
  <c r="R25" i="37" s="1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S26" i="37"/>
  <c r="T26" i="37"/>
  <c r="U26" i="37"/>
  <c r="V26" i="37"/>
  <c r="W26" i="37"/>
  <c r="X26" i="37"/>
  <c r="Y26" i="37"/>
  <c r="Z26" i="37"/>
  <c r="AA26" i="37"/>
  <c r="AB26" i="37"/>
  <c r="AC26" i="37"/>
  <c r="AD26" i="37"/>
  <c r="AE26" i="37"/>
  <c r="AF26" i="37"/>
  <c r="AG26" i="37"/>
  <c r="AH26" i="37"/>
  <c r="D27" i="37"/>
  <c r="D22" i="37"/>
  <c r="E27" i="37"/>
  <c r="F27" i="37"/>
  <c r="D29" i="37"/>
  <c r="E29" i="37"/>
  <c r="F29" i="37"/>
  <c r="G29" i="37"/>
  <c r="H29" i="37"/>
  <c r="I29" i="37"/>
  <c r="P29" i="37"/>
  <c r="D30" i="37"/>
  <c r="E30" i="37"/>
  <c r="F30" i="37"/>
  <c r="D32" i="37"/>
  <c r="E32" i="37"/>
  <c r="F32" i="37"/>
  <c r="G36" i="37"/>
  <c r="G37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AC39" i="37"/>
  <c r="AD39" i="37"/>
  <c r="AE39" i="37"/>
  <c r="AG39" i="37"/>
  <c r="AH39" i="37"/>
  <c r="G44" i="37"/>
  <c r="H44" i="37"/>
  <c r="I44" i="37"/>
  <c r="J44" i="37"/>
  <c r="K44" i="37"/>
  <c r="L44" i="37"/>
  <c r="M44" i="37"/>
  <c r="N44" i="37"/>
  <c r="O44" i="37"/>
  <c r="P44" i="37"/>
  <c r="Q44" i="37"/>
  <c r="R44" i="37"/>
  <c r="S44" i="37"/>
  <c r="T44" i="37"/>
  <c r="U44" i="37"/>
  <c r="V44" i="37"/>
  <c r="W44" i="37"/>
  <c r="X44" i="37"/>
  <c r="Y44" i="37"/>
  <c r="Z44" i="37"/>
  <c r="AA44" i="37"/>
  <c r="AB44" i="37"/>
  <c r="AC44" i="37"/>
  <c r="AD44" i="37"/>
  <c r="AE44" i="37"/>
  <c r="AF44" i="37"/>
  <c r="AG44" i="37"/>
  <c r="R45" i="37"/>
  <c r="R4" i="37" s="1"/>
  <c r="R20" i="37" s="1"/>
  <c r="G48" i="37"/>
  <c r="G27" i="37" s="1"/>
  <c r="J50" i="37"/>
  <c r="J29" i="37" s="1"/>
  <c r="K50" i="37"/>
  <c r="K29" i="37" s="1"/>
  <c r="L50" i="37"/>
  <c r="L29" i="37" s="1"/>
  <c r="M50" i="37"/>
  <c r="M29" i="37" s="1"/>
  <c r="N50" i="37"/>
  <c r="N29" i="37" s="1"/>
  <c r="O50" i="37"/>
  <c r="O29" i="37" s="1"/>
  <c r="Q50" i="37"/>
  <c r="Q29" i="37" s="1"/>
  <c r="Y50" i="37"/>
  <c r="Y29" i="37"/>
  <c r="AA29" i="37"/>
  <c r="AC50" i="37"/>
  <c r="AC29" i="37"/>
  <c r="G53" i="37"/>
  <c r="G56" i="37"/>
  <c r="H53" i="37"/>
  <c r="H32" i="37"/>
  <c r="I53" i="37"/>
  <c r="I32" i="37"/>
  <c r="J53" i="37"/>
  <c r="J32" i="37"/>
  <c r="K53" i="37"/>
  <c r="K32" i="37"/>
  <c r="L53" i="37"/>
  <c r="L32" i="37"/>
  <c r="M53" i="37"/>
  <c r="M32" i="37"/>
  <c r="N53" i="37"/>
  <c r="N32" i="37"/>
  <c r="O53" i="37"/>
  <c r="O32" i="37"/>
  <c r="P53" i="37"/>
  <c r="P51" i="37"/>
  <c r="P30" i="37" s="1"/>
  <c r="Q53" i="37"/>
  <c r="Y53" i="37"/>
  <c r="Y32" i="37"/>
  <c r="AG32" i="37"/>
  <c r="AI51" i="37"/>
  <c r="AI30" i="37"/>
  <c r="AI32" i="37"/>
  <c r="AF34" i="38"/>
  <c r="AJ20" i="37"/>
  <c r="AJ18" i="38" s="1"/>
  <c r="AK50" i="37"/>
  <c r="AK51" i="37"/>
  <c r="AK30" i="37"/>
  <c r="AI41" i="38"/>
  <c r="AI34" i="38"/>
  <c r="AI33" i="38"/>
  <c r="Q7" i="37"/>
  <c r="P20" i="37"/>
  <c r="L28" i="38"/>
  <c r="AN51" i="37"/>
  <c r="AN30" i="37"/>
  <c r="AN29" i="37"/>
  <c r="AN20" i="37"/>
  <c r="AN18" i="38" s="1"/>
  <c r="AO29" i="37"/>
  <c r="H34" i="38"/>
  <c r="AO30" i="37"/>
  <c r="AP29" i="37"/>
  <c r="AP30" i="37"/>
  <c r="AO34" i="38"/>
  <c r="AS30" i="37"/>
  <c r="AR30" i="37"/>
  <c r="AF20" i="37"/>
  <c r="AF18" i="38" s="1"/>
  <c r="F26" i="38"/>
  <c r="AO7" i="37"/>
  <c r="AO13" i="38"/>
  <c r="AK7" i="37"/>
  <c r="AK13" i="38"/>
  <c r="AP20" i="37"/>
  <c r="AP7" i="37"/>
  <c r="AP13" i="38"/>
  <c r="AA13" i="38"/>
  <c r="AT34" i="38"/>
  <c r="AU34" i="38"/>
  <c r="AU30" i="37"/>
  <c r="M26" i="38"/>
  <c r="H26" i="38"/>
  <c r="P26" i="38"/>
  <c r="AW30" i="37"/>
  <c r="AW18" i="38"/>
  <c r="AW34" i="38"/>
  <c r="AW23" i="37"/>
  <c r="AY34" i="38"/>
  <c r="AH7" i="37"/>
  <c r="AH13" i="38"/>
  <c r="H28" i="38"/>
  <c r="AH20" i="37"/>
  <c r="AH18" i="38" s="1"/>
  <c r="AQ18" i="38"/>
  <c r="AZ34" i="38"/>
  <c r="BB34" i="38"/>
  <c r="BB30" i="37"/>
  <c r="O28" i="38"/>
  <c r="I28" i="38"/>
  <c r="N26" i="38"/>
  <c r="F28" i="38"/>
  <c r="BB20" i="37"/>
  <c r="BD23" i="37" s="1"/>
  <c r="BB7" i="37"/>
  <c r="AY13" i="38"/>
  <c r="BC34" i="38"/>
  <c r="BC30" i="37"/>
  <c r="BE34" i="38"/>
  <c r="BF34" i="38"/>
  <c r="J26" i="38"/>
  <c r="BH34" i="38"/>
  <c r="BH9" i="38"/>
  <c r="BG34" i="38"/>
  <c r="BG9" i="38"/>
  <c r="P28" i="38"/>
  <c r="J28" i="38"/>
  <c r="X20" i="37"/>
  <c r="X18" i="38" s="1"/>
  <c r="T20" i="37"/>
  <c r="AZ18" i="38"/>
  <c r="BA18" i="38"/>
  <c r="T18" i="38"/>
  <c r="BJ34" i="38"/>
  <c r="BJ9" i="38"/>
  <c r="AG34" i="38"/>
  <c r="T50" i="37"/>
  <c r="T29" i="37"/>
  <c r="AB50" i="37"/>
  <c r="AB29" i="37"/>
  <c r="S50" i="37"/>
  <c r="S29" i="37"/>
  <c r="BK8" i="38"/>
  <c r="BL34" i="38"/>
  <c r="BL9" i="38"/>
  <c r="BM34" i="38"/>
  <c r="BM9" i="38"/>
  <c r="BM10" i="38"/>
  <c r="Q28" i="38"/>
  <c r="K28" i="38"/>
  <c r="J30" i="38"/>
  <c r="J6" i="38"/>
  <c r="H30" i="38"/>
  <c r="H6" i="38"/>
  <c r="Q30" i="38"/>
  <c r="Q6" i="38"/>
  <c r="M30" i="38"/>
  <c r="M6" i="38"/>
  <c r="K30" i="38"/>
  <c r="K6" i="38"/>
  <c r="G26" i="38"/>
  <c r="BN8" i="38"/>
  <c r="G32" i="37"/>
  <c r="BO39" i="37"/>
  <c r="BP34" i="38"/>
  <c r="BP9" i="38"/>
  <c r="G51" i="37"/>
  <c r="G30" i="37"/>
  <c r="R47" i="37"/>
  <c r="R26" i="37" s="1"/>
  <c r="BM47" i="37"/>
  <c r="BM26" i="37" s="1"/>
  <c r="BI47" i="37"/>
  <c r="BO32" i="37"/>
  <c r="BO34" i="38"/>
  <c r="BO9" i="38"/>
  <c r="BO8" i="38"/>
  <c r="BO10" i="38"/>
  <c r="BQ8" i="38"/>
  <c r="BQ34" i="38"/>
  <c r="BQ9" i="38"/>
  <c r="BQ10" i="38"/>
  <c r="BQ39" i="37"/>
  <c r="BP8" i="38"/>
  <c r="BQ7" i="37"/>
  <c r="BJ13" i="38"/>
  <c r="BN44" i="37"/>
  <c r="BR39" i="37"/>
  <c r="BS34" i="38"/>
  <c r="BS51" i="37"/>
  <c r="BS50" i="37"/>
  <c r="BS29" i="37"/>
  <c r="BJ44" i="37"/>
  <c r="BL44" i="37"/>
  <c r="BM44" i="37"/>
  <c r="BE8" i="38"/>
  <c r="BP44" i="37"/>
  <c r="BT50" i="37"/>
  <c r="BT29" i="37"/>
  <c r="BL47" i="37"/>
  <c r="BP47" i="37"/>
  <c r="BP26" i="37" s="1"/>
  <c r="BT47" i="37"/>
  <c r="BU8" i="38"/>
  <c r="BU34" i="38"/>
  <c r="BU51" i="37"/>
  <c r="BU39" i="37"/>
  <c r="BV8" i="38"/>
  <c r="BJ39" i="37"/>
  <c r="BQ32" i="37"/>
  <c r="Y56" i="37"/>
  <c r="BP39" i="37"/>
  <c r="BO51" i="37"/>
  <c r="BM32" i="37"/>
  <c r="W32" i="37"/>
  <c r="BM51" i="37"/>
  <c r="BT56" i="37"/>
  <c r="BT32" i="37"/>
  <c r="BU56" i="37"/>
  <c r="BW56" i="37"/>
  <c r="BV32" i="37"/>
  <c r="BW34" i="38"/>
  <c r="BW51" i="37"/>
  <c r="BU9" i="38"/>
  <c r="BS39" i="37"/>
  <c r="BV39" i="37"/>
  <c r="N51" i="37"/>
  <c r="N30" i="37" s="1"/>
  <c r="M51" i="37"/>
  <c r="M30" i="37" s="1"/>
  <c r="O51" i="37"/>
  <c r="O30" i="37" s="1"/>
  <c r="M56" i="37"/>
  <c r="L51" i="37"/>
  <c r="L30" i="37"/>
  <c r="BW39" i="37"/>
  <c r="BX34" i="38"/>
  <c r="BX51" i="37"/>
  <c r="BW9" i="38"/>
  <c r="BX50" i="37"/>
  <c r="BX29" i="37"/>
  <c r="BX8" i="38"/>
  <c r="O34" i="38"/>
  <c r="N29" i="38"/>
  <c r="N5" i="38"/>
  <c r="L29" i="38"/>
  <c r="L5" i="38"/>
  <c r="J29" i="38"/>
  <c r="J5" i="38"/>
  <c r="U34" i="38"/>
  <c r="P34" i="38"/>
  <c r="P9" i="38"/>
  <c r="I34" i="38"/>
  <c r="F34" i="38"/>
  <c r="F9" i="38"/>
  <c r="F10" i="38" s="1"/>
  <c r="O30" i="38"/>
  <c r="O6" i="38" s="1"/>
  <c r="I30" i="38"/>
  <c r="I6" i="38" s="1"/>
  <c r="G30" i="38"/>
  <c r="G6" i="38" s="1"/>
  <c r="P29" i="38"/>
  <c r="P5" i="38" s="1"/>
  <c r="AG50" i="37"/>
  <c r="AG29" i="37"/>
  <c r="AE50" i="37"/>
  <c r="AE29" i="37"/>
  <c r="Z50" i="37"/>
  <c r="Z29" i="37"/>
  <c r="BL8" i="38"/>
  <c r="BW8" i="38"/>
  <c r="BW10" i="38"/>
  <c r="D52" i="38"/>
  <c r="BT39" i="37"/>
  <c r="BY29" i="38"/>
  <c r="BY5" i="38" s="1"/>
  <c r="BM30" i="38"/>
  <c r="BZ39" i="37"/>
  <c r="AE56" i="37"/>
  <c r="X32" i="37"/>
  <c r="AY8" i="38"/>
  <c r="BF8" i="38"/>
  <c r="BJ56" i="37"/>
  <c r="BM39" i="37"/>
  <c r="BM30" i="37"/>
  <c r="BM29" i="37"/>
  <c r="BN51" i="37"/>
  <c r="BU44" i="37"/>
  <c r="BU32" i="37"/>
  <c r="AH32" i="37"/>
  <c r="V56" i="37"/>
  <c r="D28" i="38"/>
  <c r="D7" i="38"/>
  <c r="AI8" i="38"/>
  <c r="AK26" i="38"/>
  <c r="AK9" i="38" s="1"/>
  <c r="AK10" i="38" s="1"/>
  <c r="AR8" i="38"/>
  <c r="AV8" i="38"/>
  <c r="AZ8" i="38"/>
  <c r="BK44" i="37"/>
  <c r="BK39" i="37"/>
  <c r="BX39" i="37"/>
  <c r="BU29" i="37"/>
  <c r="BY39" i="37"/>
  <c r="BY30" i="37" s="1"/>
  <c r="V51" i="37"/>
  <c r="V30" i="37"/>
  <c r="AL29" i="37"/>
  <c r="AK29" i="37"/>
  <c r="AJ51" i="37"/>
  <c r="AJ30" i="37"/>
  <c r="AO26" i="38"/>
  <c r="AO9" i="38" s="1"/>
  <c r="BU29" i="38"/>
  <c r="V26" i="38"/>
  <c r="V9" i="38" s="1"/>
  <c r="BD26" i="38"/>
  <c r="BD9" i="38" s="1"/>
  <c r="AM8" i="38"/>
  <c r="BZ50" i="37"/>
  <c r="BZ29" i="37"/>
  <c r="BZ37" i="37"/>
  <c r="BZ24" i="38"/>
  <c r="BZ28" i="38"/>
  <c r="BZ49" i="37"/>
  <c r="BZ27" i="37"/>
  <c r="CA50" i="37"/>
  <c r="CA29" i="37"/>
  <c r="CA34" i="38"/>
  <c r="CA9" i="38"/>
  <c r="CA10" i="38"/>
  <c r="AB51" i="37"/>
  <c r="AB30" i="37"/>
  <c r="AJ8" i="38"/>
  <c r="BY32" i="37"/>
  <c r="BY26" i="37"/>
  <c r="CA44" i="37"/>
  <c r="CA39" i="37"/>
  <c r="BZ32" i="37"/>
  <c r="BZ28" i="37"/>
  <c r="G49" i="37"/>
  <c r="P32" i="37"/>
  <c r="I51" i="37"/>
  <c r="I30" i="37" s="1"/>
  <c r="K51" i="37"/>
  <c r="K30" i="37" s="1"/>
  <c r="CA56" i="37"/>
  <c r="CA32" i="37"/>
  <c r="BY34" i="38"/>
  <c r="BY9" i="38"/>
  <c r="BY10" i="38"/>
  <c r="CB34" i="38"/>
  <c r="CB9" i="38"/>
  <c r="BT34" i="37"/>
  <c r="BT23" i="38" s="1"/>
  <c r="BP34" i="37"/>
  <c r="BP23" i="38" s="1"/>
  <c r="BZ34" i="37"/>
  <c r="BZ23" i="38" s="1"/>
  <c r="BV34" i="37"/>
  <c r="BV23" i="38" s="1"/>
  <c r="BV30" i="38"/>
  <c r="BR34" i="37"/>
  <c r="BR23" i="38" s="1"/>
  <c r="BJ34" i="37"/>
  <c r="BJ23" i="38" s="1"/>
  <c r="BX34" i="37"/>
  <c r="BX23" i="38" s="1"/>
  <c r="BL34" i="37"/>
  <c r="BL23" i="38" s="1"/>
  <c r="CB8" i="38"/>
  <c r="CB10" i="38"/>
  <c r="CA51" i="37"/>
  <c r="CB32" i="37"/>
  <c r="CB56" i="37"/>
  <c r="CB44" i="37"/>
  <c r="CC34" i="38"/>
  <c r="CC44" i="37"/>
  <c r="CC39" i="37"/>
  <c r="BT29" i="38"/>
  <c r="CB29" i="38"/>
  <c r="BJ47" i="37"/>
  <c r="BN47" i="37"/>
  <c r="BN26" i="37" s="1"/>
  <c r="BR47" i="37"/>
  <c r="BV47" i="37"/>
  <c r="BV26" i="37" s="1"/>
  <c r="BZ47" i="37"/>
  <c r="CC50" i="37"/>
  <c r="CC29" i="37"/>
  <c r="BM34" i="37"/>
  <c r="BM23" i="38" s="1"/>
  <c r="V18" i="38"/>
  <c r="BS9" i="38"/>
  <c r="BS10" i="38"/>
  <c r="Q32" i="37"/>
  <c r="S51" i="37"/>
  <c r="S30" i="37"/>
  <c r="AB20" i="37"/>
  <c r="AB18" i="38" s="1"/>
  <c r="AC20" i="37"/>
  <c r="AC18" i="38" s="1"/>
  <c r="AG7" i="37"/>
  <c r="AG13" i="38"/>
  <c r="AG20" i="37"/>
  <c r="AG18" i="38" s="1"/>
  <c r="AE20" i="37"/>
  <c r="AE18" i="38" s="1"/>
  <c r="AA20" i="37"/>
  <c r="AA18" i="38" s="1"/>
  <c r="Y20" i="37"/>
  <c r="Y18" i="38" s="1"/>
  <c r="W20" i="37"/>
  <c r="W18" i="38" s="1"/>
  <c r="U20" i="37"/>
  <c r="U18" i="38" s="1"/>
  <c r="S20" i="37"/>
  <c r="W34" i="38"/>
  <c r="S34" i="38"/>
  <c r="G34" i="38"/>
  <c r="G9" i="38"/>
  <c r="AB34" i="38"/>
  <c r="V34" i="38"/>
  <c r="N34" i="38"/>
  <c r="N9" i="38"/>
  <c r="J34" i="38"/>
  <c r="J9" i="38"/>
  <c r="D34" i="38"/>
  <c r="P30" i="38"/>
  <c r="P6" i="38"/>
  <c r="N30" i="38"/>
  <c r="N6" i="38"/>
  <c r="F30" i="38"/>
  <c r="F6" i="38"/>
  <c r="H29" i="38"/>
  <c r="H5" i="38"/>
  <c r="F29" i="38"/>
  <c r="F5" i="38"/>
  <c r="F22" i="37"/>
  <c r="F28" i="37"/>
  <c r="AE7" i="37"/>
  <c r="AE13" i="38"/>
  <c r="AD20" i="37"/>
  <c r="AD18" i="38" s="1"/>
  <c r="AD7" i="37"/>
  <c r="AD13" i="38"/>
  <c r="P7" i="37"/>
  <c r="BG10" i="38"/>
  <c r="AH50" i="37"/>
  <c r="AH51" i="37"/>
  <c r="AH30" i="37"/>
  <c r="X50" i="37"/>
  <c r="X51" i="37"/>
  <c r="X30" i="37"/>
  <c r="BW32" i="37"/>
  <c r="CB29" i="37"/>
  <c r="BK47" i="37"/>
  <c r="BO47" i="37"/>
  <c r="BS47" i="37"/>
  <c r="BS26" i="37" s="1"/>
  <c r="BW47" i="37"/>
  <c r="CA47" i="37"/>
  <c r="BK34" i="37"/>
  <c r="BK23" i="38" s="1"/>
  <c r="BO34" i="37"/>
  <c r="BO23" i="38" s="1"/>
  <c r="BQ34" i="37"/>
  <c r="BQ23" i="38" s="1"/>
  <c r="BI34" i="37"/>
  <c r="BI23" i="38" s="1"/>
  <c r="BI6" i="38" s="1"/>
  <c r="R34" i="37"/>
  <c r="R5" i="37" s="1"/>
  <c r="S18" i="38"/>
  <c r="CB51" i="37"/>
  <c r="BN29" i="38"/>
  <c r="BZ34" i="38"/>
  <c r="BZ51" i="37"/>
  <c r="BZ30" i="37"/>
  <c r="CC51" i="37"/>
  <c r="CC9" i="38"/>
  <c r="CC10" i="38"/>
  <c r="BO30" i="38"/>
  <c r="BZ9" i="38"/>
  <c r="BZ10" i="38"/>
  <c r="BG30" i="38"/>
  <c r="BG6" i="38" s="1"/>
  <c r="CC56" i="37"/>
  <c r="CC32" i="37"/>
  <c r="AH29" i="38"/>
  <c r="AH5" i="38" s="1"/>
  <c r="AL29" i="38"/>
  <c r="AL5" i="38" s="1"/>
  <c r="BI30" i="38"/>
  <c r="BD29" i="38"/>
  <c r="BD5" i="38" s="1"/>
  <c r="AA51" i="37"/>
  <c r="AA30" i="37"/>
  <c r="BN29" i="37"/>
  <c r="BR29" i="37"/>
  <c r="K26" i="38"/>
  <c r="I26" i="38"/>
  <c r="I9" i="38" s="1"/>
  <c r="I10" i="38" s="1"/>
  <c r="U30" i="38"/>
  <c r="U6" i="38" s="1"/>
  <c r="AB29" i="38"/>
  <c r="AB5" i="38" s="1"/>
  <c r="AY30" i="38"/>
  <c r="AY6" i="38" s="1"/>
  <c r="AN29" i="38"/>
  <c r="AN5" i="38" s="1"/>
  <c r="CD9" i="38"/>
  <c r="CD10" i="38"/>
  <c r="AA32" i="37"/>
  <c r="T51" i="37"/>
  <c r="T30" i="37"/>
  <c r="T32" i="37"/>
  <c r="BJ32" i="37"/>
  <c r="BJ51" i="37"/>
  <c r="BJ30" i="37"/>
  <c r="BL51" i="37"/>
  <c r="BL29" i="37"/>
  <c r="BN56" i="37"/>
  <c r="BN32" i="37"/>
  <c r="BX56" i="37"/>
  <c r="BX32" i="37"/>
  <c r="BK32" i="37"/>
  <c r="BK56" i="37"/>
  <c r="BK51" i="37"/>
  <c r="BK30" i="37"/>
  <c r="Z20" i="37"/>
  <c r="Z18" i="38" s="1"/>
  <c r="AC29" i="38"/>
  <c r="AC5" i="38" s="1"/>
  <c r="AO20" i="37"/>
  <c r="AQ23" i="37" s="1"/>
  <c r="BR9" i="38"/>
  <c r="BR10" i="38"/>
  <c r="BW30" i="37"/>
  <c r="BS30" i="37"/>
  <c r="BU30" i="37"/>
  <c r="BH10" i="38"/>
  <c r="M9" i="38"/>
  <c r="H36" i="37"/>
  <c r="Q51" i="37"/>
  <c r="Q30" i="37" s="1"/>
  <c r="E28" i="37"/>
  <c r="AB7" i="37"/>
  <c r="AB13" i="38"/>
  <c r="T7" i="37"/>
  <c r="T13" i="38"/>
  <c r="AE34" i="38"/>
  <c r="Q34" i="38"/>
  <c r="M29" i="38"/>
  <c r="M5" i="38"/>
  <c r="R34" i="38"/>
  <c r="L34" i="38"/>
  <c r="O29" i="38"/>
  <c r="O5" i="38"/>
  <c r="K29" i="38"/>
  <c r="K5" i="38"/>
  <c r="Z8" i="38"/>
  <c r="T8" i="38"/>
  <c r="R8" i="38"/>
  <c r="D36" i="38"/>
  <c r="AF26" i="38"/>
  <c r="AF9" i="38" s="1"/>
  <c r="X26" i="38"/>
  <c r="X9" i="38" s="1"/>
  <c r="N28" i="38"/>
  <c r="AI29" i="38"/>
  <c r="AI5" i="38" s="1"/>
  <c r="AM20" i="37"/>
  <c r="AM18" i="38" s="1"/>
  <c r="AT23" i="37"/>
  <c r="AS18" i="38"/>
  <c r="AQ26" i="38"/>
  <c r="AQ9" i="38" s="1"/>
  <c r="AZ23" i="37"/>
  <c r="BN39" i="37"/>
  <c r="BN30" i="37"/>
  <c r="BU34" i="37"/>
  <c r="BU23" i="38" s="1"/>
  <c r="BU30" i="38"/>
  <c r="AD30" i="38"/>
  <c r="AD6" i="38" s="1"/>
  <c r="AH30" i="38"/>
  <c r="AH6" i="38" s="1"/>
  <c r="AL30" i="38"/>
  <c r="AL6" i="38" s="1"/>
  <c r="AP30" i="38"/>
  <c r="AP6" i="38" s="1"/>
  <c r="AT30" i="38"/>
  <c r="AT6" i="38" s="1"/>
  <c r="BK30" i="38"/>
  <c r="CA30" i="38"/>
  <c r="D45" i="38"/>
  <c r="R30" i="38"/>
  <c r="AS30" i="38"/>
  <c r="AS6" i="38" s="1"/>
  <c r="AZ30" i="38"/>
  <c r="AZ6" i="38" s="1"/>
  <c r="BD30" i="38"/>
  <c r="BD6" i="38" s="1"/>
  <c r="BH30" i="38"/>
  <c r="BH6" i="38" s="1"/>
  <c r="BL30" i="38"/>
  <c r="BP30" i="38"/>
  <c r="BR30" i="38"/>
  <c r="BX30" i="38"/>
  <c r="CB30" i="38"/>
  <c r="AE32" i="37"/>
  <c r="AE51" i="37"/>
  <c r="AE30" i="37"/>
  <c r="S56" i="37"/>
  <c r="S32" i="37"/>
  <c r="W29" i="37"/>
  <c r="W51" i="37"/>
  <c r="W30" i="37"/>
  <c r="AH23" i="37"/>
  <c r="AF32" i="37"/>
  <c r="AF51" i="37"/>
  <c r="AB56" i="37"/>
  <c r="AB32" i="37"/>
  <c r="AD29" i="37"/>
  <c r="AD51" i="37"/>
  <c r="AD30" i="37"/>
  <c r="D28" i="37"/>
  <c r="U50" i="37"/>
  <c r="U51" i="37"/>
  <c r="U30" i="37"/>
  <c r="R50" i="37"/>
  <c r="R29" i="37"/>
  <c r="M8" i="38"/>
  <c r="M10" i="38"/>
  <c r="I8" i="38"/>
  <c r="BP51" i="37"/>
  <c r="BP30" i="37"/>
  <c r="BP56" i="37"/>
  <c r="AF8" i="38"/>
  <c r="P8" i="38"/>
  <c r="P10" i="38" s="1"/>
  <c r="L8" i="38"/>
  <c r="AA30" i="38"/>
  <c r="AA6" i="38" s="1"/>
  <c r="AE30" i="38"/>
  <c r="AE6" i="38" s="1"/>
  <c r="AI30" i="38"/>
  <c r="AI6" i="38" s="1"/>
  <c r="AM30" i="38"/>
  <c r="AM6" i="38" s="1"/>
  <c r="AV30" i="38"/>
  <c r="AV6" i="38" s="1"/>
  <c r="V30" i="38"/>
  <c r="V6" i="38" s="1"/>
  <c r="E30" i="38"/>
  <c r="E6" i="38" s="1"/>
  <c r="X30" i="38"/>
  <c r="X6" i="38" s="1"/>
  <c r="BW34" i="37"/>
  <c r="BW23" i="38" s="1"/>
  <c r="BS34" i="37"/>
  <c r="BS23" i="38" s="1"/>
  <c r="I36" i="37"/>
  <c r="H37" i="37"/>
  <c r="BN34" i="37"/>
  <c r="BN23" i="38" s="1"/>
  <c r="AO18" i="38"/>
  <c r="U29" i="37"/>
  <c r="J36" i="37"/>
  <c r="I37" i="37"/>
  <c r="CA23" i="38"/>
  <c r="CA6" i="38" s="1"/>
  <c r="K36" i="37"/>
  <c r="J37" i="37"/>
  <c r="L36" i="37"/>
  <c r="L37" i="37"/>
  <c r="K37" i="37"/>
  <c r="M36" i="37"/>
  <c r="N36" i="37"/>
  <c r="N37" i="37"/>
  <c r="BW18" i="38"/>
  <c r="CD5" i="37"/>
  <c r="BZ46" i="37"/>
  <c r="BV46" i="37"/>
  <c r="BR46" i="37"/>
  <c r="BN46" i="37"/>
  <c r="BJ46" i="37"/>
  <c r="BJ5" i="37" s="1"/>
  <c r="CJ56" i="37"/>
  <c r="CJ32" i="37"/>
  <c r="CJ30" i="37"/>
  <c r="BT46" i="37"/>
  <c r="BT5" i="37" s="1"/>
  <c r="CJ5" i="37"/>
  <c r="BP46" i="37"/>
  <c r="BX46" i="37"/>
  <c r="BL46" i="37"/>
  <c r="BK46" i="37"/>
  <c r="BO46" i="37"/>
  <c r="BS46" i="37"/>
  <c r="BW46" i="37"/>
  <c r="CE5" i="37"/>
  <c r="BI46" i="37"/>
  <c r="BM46" i="37"/>
  <c r="BQ46" i="37"/>
  <c r="BU46" i="37"/>
  <c r="CK5" i="37"/>
  <c r="AU23" i="37"/>
  <c r="BO30" i="37"/>
  <c r="J56" i="37"/>
  <c r="O36" i="37"/>
  <c r="M37" i="37"/>
  <c r="O23" i="37"/>
  <c r="AL30" i="37"/>
  <c r="AI20" i="37"/>
  <c r="AI18" i="38" s="1"/>
  <c r="AI13" i="38"/>
  <c r="AL23" i="37"/>
  <c r="AK18" i="38"/>
  <c r="AM23" i="37"/>
  <c r="AP18" i="38"/>
  <c r="CG39" i="37"/>
  <c r="CI32" i="37"/>
  <c r="X29" i="37"/>
  <c r="J51" i="37"/>
  <c r="J30" i="37" s="1"/>
  <c r="Y51" i="37"/>
  <c r="Y30" i="37"/>
  <c r="H51" i="37"/>
  <c r="H30" i="37" s="1"/>
  <c r="BK29" i="37"/>
  <c r="CB39" i="37"/>
  <c r="CB30" i="37"/>
  <c r="CE39" i="37"/>
  <c r="AB8" i="38"/>
  <c r="X8" i="38"/>
  <c r="X10" i="38" s="1"/>
  <c r="P56" i="37"/>
  <c r="R51" i="37"/>
  <c r="R30" i="37"/>
  <c r="AH29" i="37"/>
  <c r="CA30" i="37"/>
  <c r="AC51" i="37"/>
  <c r="AC30" i="37"/>
  <c r="AC32" i="37"/>
  <c r="BQ29" i="37"/>
  <c r="BQ51" i="37"/>
  <c r="BQ30" i="37"/>
  <c r="BR56" i="37"/>
  <c r="BR32" i="37"/>
  <c r="BR51" i="37"/>
  <c r="BR30" i="37"/>
  <c r="CK56" i="37"/>
  <c r="CK32" i="37"/>
  <c r="AM51" i="37"/>
  <c r="AM30" i="37"/>
  <c r="AM29" i="37"/>
  <c r="BL56" i="37"/>
  <c r="BL32" i="37"/>
  <c r="BS32" i="37"/>
  <c r="BS56" i="37"/>
  <c r="BP10" i="38"/>
  <c r="N8" i="38"/>
  <c r="N10" i="38"/>
  <c r="J8" i="38"/>
  <c r="J10" i="38"/>
  <c r="H8" i="38"/>
  <c r="CF10" i="38"/>
  <c r="CG9" i="38"/>
  <c r="CI34" i="38"/>
  <c r="CL32" i="37"/>
  <c r="BU10" i="38"/>
  <c r="BL10" i="38"/>
  <c r="U8" i="38"/>
  <c r="K8" i="38"/>
  <c r="AJ34" i="38"/>
  <c r="AN34" i="38"/>
  <c r="AQ34" i="38"/>
  <c r="AS34" i="38"/>
  <c r="AU8" i="38"/>
  <c r="AU10" i="38" s="1"/>
  <c r="BA34" i="38"/>
  <c r="BI34" i="38"/>
  <c r="BI9" i="38"/>
  <c r="BI10" i="38"/>
  <c r="BK9" i="38"/>
  <c r="BK10" i="38"/>
  <c r="BL39" i="37"/>
  <c r="BN34" i="38"/>
  <c r="BN9" i="38"/>
  <c r="BN10" i="38"/>
  <c r="BT34" i="38"/>
  <c r="BV34" i="38"/>
  <c r="CD39" i="37"/>
  <c r="CD30" i="37"/>
  <c r="CF32" i="37"/>
  <c r="CF39" i="37"/>
  <c r="CG29" i="37"/>
  <c r="CG10" i="38"/>
  <c r="CH29" i="37"/>
  <c r="CH39" i="37"/>
  <c r="CH30" i="37"/>
  <c r="CI50" i="37"/>
  <c r="CJ44" i="37"/>
  <c r="CJ10" i="38"/>
  <c r="CK50" i="37"/>
  <c r="CK29" i="37"/>
  <c r="CK39" i="37"/>
  <c r="CK34" i="38"/>
  <c r="CL50" i="37"/>
  <c r="CL29" i="37"/>
  <c r="CM50" i="37"/>
  <c r="CM29" i="37"/>
  <c r="CM39" i="37"/>
  <c r="CM34" i="38"/>
  <c r="Q26" i="38"/>
  <c r="Q9" i="38"/>
  <c r="O26" i="38"/>
  <c r="O9" i="38"/>
  <c r="G28" i="38"/>
  <c r="Q29" i="38"/>
  <c r="Q5" i="38"/>
  <c r="I29" i="38"/>
  <c r="I5" i="38"/>
  <c r="G29" i="38"/>
  <c r="G5" i="38"/>
  <c r="BY23" i="38"/>
  <c r="L26" i="38"/>
  <c r="L9" i="38" s="1"/>
  <c r="L10" i="38" s="1"/>
  <c r="CD26" i="37"/>
  <c r="CC30" i="37"/>
  <c r="Z51" i="37"/>
  <c r="Z30" i="37"/>
  <c r="BV29" i="37"/>
  <c r="BY29" i="37"/>
  <c r="CF29" i="37"/>
  <c r="CG30" i="37"/>
  <c r="BL30" i="37"/>
  <c r="BX30" i="37"/>
  <c r="BP29" i="37"/>
  <c r="CF30" i="37"/>
  <c r="CI29" i="37"/>
  <c r="BZ30" i="38"/>
  <c r="BT30" i="38"/>
  <c r="BS30" i="38"/>
  <c r="BN30" i="38"/>
  <c r="BJ30" i="38"/>
  <c r="BF30" i="38"/>
  <c r="BF6" i="38" s="1"/>
  <c r="BE30" i="38"/>
  <c r="BE6" i="38" s="1"/>
  <c r="BC30" i="38"/>
  <c r="BC6" i="38" s="1"/>
  <c r="BB30" i="38"/>
  <c r="BB6" i="38" s="1"/>
  <c r="AX30" i="38"/>
  <c r="AX6" i="38" s="1"/>
  <c r="AW30" i="38"/>
  <c r="AW6" i="38" s="1"/>
  <c r="AU30" i="38"/>
  <c r="AU6" i="38" s="1"/>
  <c r="AR30" i="38"/>
  <c r="AR6" i="38" s="1"/>
  <c r="AQ30" i="38"/>
  <c r="AQ6" i="38" s="1"/>
  <c r="AO30" i="38"/>
  <c r="AO6" i="38" s="1"/>
  <c r="AN30" i="38"/>
  <c r="AN6" i="38" s="1"/>
  <c r="AK30" i="38"/>
  <c r="AK6" i="38" s="1"/>
  <c r="AJ30" i="38"/>
  <c r="AJ6" i="38" s="1"/>
  <c r="AF30" i="38"/>
  <c r="AF6" i="38" s="1"/>
  <c r="AB30" i="38"/>
  <c r="AB6" i="38" s="1"/>
  <c r="W30" i="38"/>
  <c r="W6" i="38" s="1"/>
  <c r="T30" i="38"/>
  <c r="T6" i="38" s="1"/>
  <c r="CL30" i="38"/>
  <c r="CK30" i="38"/>
  <c r="CJ30" i="38"/>
  <c r="CI30" i="38"/>
  <c r="CH30" i="38"/>
  <c r="CG30" i="38"/>
  <c r="CE30" i="38"/>
  <c r="CD30" i="38"/>
  <c r="CC30" i="38"/>
  <c r="BY30" i="38"/>
  <c r="BY6" i="38" s="1"/>
  <c r="BW30" i="38"/>
  <c r="BQ30" i="38"/>
  <c r="BA30" i="38"/>
  <c r="BA6" i="38" s="1"/>
  <c r="AM26" i="38"/>
  <c r="AM9" i="38" s="1"/>
  <c r="AM10" i="38" s="1"/>
  <c r="AS26" i="38"/>
  <c r="AS9" i="38" s="1"/>
  <c r="AY26" i="38"/>
  <c r="AY9" i="38" s="1"/>
  <c r="AY10" i="38" s="1"/>
  <c r="CF26" i="37"/>
  <c r="BL5" i="37"/>
  <c r="BO26" i="37"/>
  <c r="BZ26" i="37"/>
  <c r="AL8" i="38"/>
  <c r="BT26" i="37"/>
  <c r="BL26" i="37"/>
  <c r="D29" i="38"/>
  <c r="D5" i="38" s="1"/>
  <c r="AG26" i="38"/>
  <c r="AG9" i="38" s="1"/>
  <c r="AR26" i="38"/>
  <c r="AX26" i="38"/>
  <c r="AX9" i="38" s="1"/>
  <c r="BI26" i="37"/>
  <c r="CH26" i="37"/>
  <c r="CG5" i="37"/>
  <c r="CA5" i="37"/>
  <c r="CD29" i="38"/>
  <c r="CD5" i="38" s="1"/>
  <c r="BV29" i="38"/>
  <c r="BQ29" i="38"/>
  <c r="BQ5" i="38" s="1"/>
  <c r="BO29" i="38"/>
  <c r="BJ29" i="38"/>
  <c r="BG29" i="38"/>
  <c r="BG5" i="38" s="1"/>
  <c r="BC29" i="38"/>
  <c r="BC5" i="38" s="1"/>
  <c r="BA29" i="38"/>
  <c r="BA5" i="38" s="1"/>
  <c r="AV29" i="38"/>
  <c r="AV5" i="38" s="1"/>
  <c r="AT29" i="38"/>
  <c r="AT5" i="38" s="1"/>
  <c r="AQ29" i="38"/>
  <c r="AQ5" i="38" s="1"/>
  <c r="AO29" i="38"/>
  <c r="AO5" i="38" s="1"/>
  <c r="AJ29" i="38"/>
  <c r="AJ5" i="38" s="1"/>
  <c r="AF29" i="38"/>
  <c r="AF5" i="38" s="1"/>
  <c r="AD29" i="38"/>
  <c r="AD5" i="38" s="1"/>
  <c r="T29" i="38"/>
  <c r="T5" i="38" s="1"/>
  <c r="R29" i="38"/>
  <c r="R5" i="38" s="1"/>
  <c r="BX18" i="38"/>
  <c r="BQ5" i="37"/>
  <c r="CB5" i="37"/>
  <c r="BZ5" i="37"/>
  <c r="CA26" i="37"/>
  <c r="AX8" i="38"/>
  <c r="BR26" i="37"/>
  <c r="AP26" i="38"/>
  <c r="AP9" i="38" s="1"/>
  <c r="AP10" i="38" s="1"/>
  <c r="D8" i="38"/>
  <c r="Y26" i="38"/>
  <c r="Y9" i="38" s="1"/>
  <c r="Y10" i="38" s="1"/>
  <c r="AJ26" i="38"/>
  <c r="AJ9" i="38" s="1"/>
  <c r="AJ10" i="38" s="1"/>
  <c r="CE26" i="37"/>
  <c r="CA48" i="37"/>
  <c r="CA49" i="37" s="1"/>
  <c r="CL26" i="37"/>
  <c r="CK26" i="37"/>
  <c r="E53" i="38"/>
  <c r="E57" i="38" s="1"/>
  <c r="CG26" i="37"/>
  <c r="AA34" i="38"/>
  <c r="G8" i="38"/>
  <c r="G10" i="38" s="1"/>
  <c r="AR34" i="38"/>
  <c r="CB5" i="38"/>
  <c r="AG51" i="37"/>
  <c r="AG30" i="37"/>
  <c r="BX9" i="38"/>
  <c r="BX10" i="38"/>
  <c r="H9" i="38"/>
  <c r="H10" i="38" s="1"/>
  <c r="Y34" i="38"/>
  <c r="L30" i="38"/>
  <c r="L6" i="38"/>
  <c r="Z34" i="38"/>
  <c r="K34" i="38"/>
  <c r="K9" i="38"/>
  <c r="K10" i="38"/>
  <c r="S8" i="38"/>
  <c r="Q8" i="38"/>
  <c r="Q10" i="38" s="1"/>
  <c r="O8" i="38"/>
  <c r="O10" i="38" s="1"/>
  <c r="CE10" i="38"/>
  <c r="CH56" i="37"/>
  <c r="CH32" i="37"/>
  <c r="CI51" i="37"/>
  <c r="CI9" i="38"/>
  <c r="BJ8" i="38"/>
  <c r="BJ10" i="38"/>
  <c r="CE56" i="37"/>
  <c r="CE32" i="37"/>
  <c r="CG32" i="37"/>
  <c r="CG56" i="37"/>
  <c r="CI10" i="38"/>
  <c r="CK51" i="37"/>
  <c r="CK9" i="38"/>
  <c r="CK10" i="38"/>
  <c r="CD32" i="37"/>
  <c r="CE51" i="37"/>
  <c r="CE30" i="37"/>
  <c r="CE50" i="37"/>
  <c r="CE29" i="37"/>
  <c r="CH9" i="38"/>
  <c r="CH10" i="38"/>
  <c r="CI39" i="37"/>
  <c r="CI30" i="37"/>
  <c r="CJ50" i="37"/>
  <c r="CJ29" i="37"/>
  <c r="CL9" i="38"/>
  <c r="CL10" i="38"/>
  <c r="CL44" i="37"/>
  <c r="BS5" i="37"/>
  <c r="CM5" i="37"/>
  <c r="BO6" i="38"/>
  <c r="BT5" i="38"/>
  <c r="CN9" i="38"/>
  <c r="CN10" i="38"/>
  <c r="F53" i="38"/>
  <c r="F57" i="38" s="1"/>
  <c r="BM18" i="38"/>
  <c r="BV23" i="37"/>
  <c r="BW5" i="37"/>
  <c r="R23" i="38"/>
  <c r="R6" i="38" s="1"/>
  <c r="BL6" i="38"/>
  <c r="R18" i="38"/>
  <c r="BW23" i="37"/>
  <c r="BH18" i="38"/>
  <c r="BK18" i="38"/>
  <c r="CA23" i="37"/>
  <c r="BU18" i="38"/>
  <c r="CM51" i="37"/>
  <c r="CM30" i="37"/>
  <c r="CM9" i="38"/>
  <c r="CM10" i="38"/>
  <c r="CM56" i="37"/>
  <c r="CL39" i="37"/>
  <c r="CL30" i="37"/>
  <c r="CM32" i="37"/>
  <c r="CM44" i="37"/>
  <c r="CK30" i="37"/>
  <c r="AR9" i="38"/>
  <c r="AR10" i="38" s="1"/>
  <c r="AJ23" i="37"/>
  <c r="AK23" i="37"/>
  <c r="P36" i="37"/>
  <c r="O37" i="37"/>
  <c r="BT51" i="37"/>
  <c r="BT30" i="37"/>
  <c r="BT9" i="38"/>
  <c r="BT10" i="38"/>
  <c r="BV51" i="37"/>
  <c r="BV30" i="37"/>
  <c r="BV9" i="38"/>
  <c r="BV10" i="38"/>
  <c r="P37" i="37"/>
  <c r="Q36" i="37"/>
  <c r="Q37" i="37"/>
  <c r="R36" i="37"/>
  <c r="R37" i="37" s="1"/>
  <c r="BN5" i="38" l="1"/>
  <c r="BT23" i="37"/>
  <c r="CB26" i="37"/>
  <c r="CC26" i="37"/>
  <c r="BK26" i="37"/>
  <c r="BW26" i="37"/>
  <c r="CI26" i="37"/>
  <c r="CJ26" i="37"/>
  <c r="CM26" i="37"/>
  <c r="CL5" i="37"/>
  <c r="CA36" i="37"/>
  <c r="CA24" i="38" s="1"/>
  <c r="CA28" i="38" s="1"/>
  <c r="E46" i="38"/>
  <c r="CI29" i="38"/>
  <c r="CH29" i="38"/>
  <c r="CC29" i="38"/>
  <c r="CC5" i="38" s="1"/>
  <c r="CA29" i="38"/>
  <c r="CA5" i="38" s="1"/>
  <c r="BZ29" i="38"/>
  <c r="BX29" i="38"/>
  <c r="BW29" i="38"/>
  <c r="BW5" i="38" s="1"/>
  <c r="BS29" i="38"/>
  <c r="BR29" i="38"/>
  <c r="BP29" i="38"/>
  <c r="BP5" i="38" s="1"/>
  <c r="BM29" i="38"/>
  <c r="BM5" i="38" s="1"/>
  <c r="BL29" i="38"/>
  <c r="BL5" i="38" s="1"/>
  <c r="BI29" i="38"/>
  <c r="BF29" i="38"/>
  <c r="BF5" i="38" s="1"/>
  <c r="BE29" i="38"/>
  <c r="BE5" i="38" s="1"/>
  <c r="BB29" i="38"/>
  <c r="BB5" i="38" s="1"/>
  <c r="AZ29" i="38"/>
  <c r="AZ5" i="38" s="1"/>
  <c r="AY29" i="38"/>
  <c r="AY5" i="38" s="1"/>
  <c r="AX29" i="38"/>
  <c r="AX5" i="38" s="1"/>
  <c r="AW29" i="38"/>
  <c r="AW5" i="38" s="1"/>
  <c r="AU29" i="38"/>
  <c r="AU5" i="38" s="1"/>
  <c r="AS29" i="38"/>
  <c r="AS5" i="38" s="1"/>
  <c r="AP29" i="38"/>
  <c r="AP5" i="38" s="1"/>
  <c r="AK29" i="38"/>
  <c r="AK5" i="38" s="1"/>
  <c r="AG29" i="38"/>
  <c r="AG5" i="38" s="1"/>
  <c r="AE29" i="38"/>
  <c r="AE5" i="38" s="1"/>
  <c r="AA29" i="38"/>
  <c r="AA5" i="38" s="1"/>
  <c r="Z29" i="38"/>
  <c r="Z5" i="38" s="1"/>
  <c r="Y29" i="38"/>
  <c r="Y5" i="38" s="1"/>
  <c r="X29" i="38"/>
  <c r="X5" i="38" s="1"/>
  <c r="W29" i="38"/>
  <c r="W5" i="38" s="1"/>
  <c r="V29" i="38"/>
  <c r="V5" i="38" s="1"/>
  <c r="U29" i="38"/>
  <c r="U5" i="38" s="1"/>
  <c r="S29" i="38"/>
  <c r="S5" i="38" s="1"/>
  <c r="E29" i="38"/>
  <c r="E5" i="38" s="1"/>
  <c r="CS5" i="37"/>
  <c r="F46" i="38"/>
  <c r="G46" i="38" s="1"/>
  <c r="CE6" i="38"/>
  <c r="CH6" i="38"/>
  <c r="E10" i="38"/>
  <c r="BX5" i="38"/>
  <c r="CS30" i="38"/>
  <c r="BN23" i="37"/>
  <c r="BN5" i="37"/>
  <c r="E39" i="38"/>
  <c r="E43" i="38" s="1"/>
  <c r="CL23" i="38"/>
  <c r="E28" i="38"/>
  <c r="BA8" i="38"/>
  <c r="CF5" i="37"/>
  <c r="CI5" i="37"/>
  <c r="CC5" i="37"/>
  <c r="AC8" i="38"/>
  <c r="AN26" i="38"/>
  <c r="AN9" i="38" s="1"/>
  <c r="AN10" i="38" s="1"/>
  <c r="CG6" i="38"/>
  <c r="BC26" i="38"/>
  <c r="BC9" i="38" s="1"/>
  <c r="BM5" i="37"/>
  <c r="CH5" i="37"/>
  <c r="BO5" i="37"/>
  <c r="BP5" i="37"/>
  <c r="BR5" i="37"/>
  <c r="D30" i="38"/>
  <c r="D6" i="38" s="1"/>
  <c r="BJ26" i="37"/>
  <c r="U26" i="38"/>
  <c r="U9" i="38" s="1"/>
  <c r="BX26" i="37"/>
  <c r="CU29" i="38"/>
  <c r="CX5" i="37"/>
  <c r="CX30" i="38"/>
  <c r="CZ26" i="37"/>
  <c r="DB29" i="38"/>
  <c r="DB5" i="37"/>
  <c r="G28" i="37"/>
  <c r="G22" i="37"/>
  <c r="BX23" i="37"/>
  <c r="BY23" i="37"/>
  <c r="BT18" i="38"/>
  <c r="CC23" i="37"/>
  <c r="CD23" i="37"/>
  <c r="BZ5" i="38"/>
  <c r="E50" i="38"/>
  <c r="BV5" i="38"/>
  <c r="U10" i="38"/>
  <c r="H48" i="37"/>
  <c r="H49" i="37" s="1"/>
  <c r="AI10" i="38"/>
  <c r="AE26" i="38"/>
  <c r="AE9" i="38" s="1"/>
  <c r="AA26" i="38"/>
  <c r="AA9" i="38" s="1"/>
  <c r="W26" i="38"/>
  <c r="W9" i="38" s="1"/>
  <c r="BU23" i="37"/>
  <c r="DD26" i="37"/>
  <c r="CB48" i="37"/>
  <c r="CQ29" i="38"/>
  <c r="CY5" i="37"/>
  <c r="CZ30" i="38"/>
  <c r="DA5" i="37"/>
  <c r="BX6" i="38"/>
  <c r="BP6" i="38"/>
  <c r="CM20" i="37"/>
  <c r="CD18" i="38" s="1"/>
  <c r="CZ6" i="38"/>
  <c r="F39" i="38"/>
  <c r="G39" i="38" s="1"/>
  <c r="CL6" i="38"/>
  <c r="BI5" i="37"/>
  <c r="BX5" i="37"/>
  <c r="BV5" i="37"/>
  <c r="I48" i="37"/>
  <c r="CK29" i="38"/>
  <c r="CN5" i="37"/>
  <c r="CO5" i="37"/>
  <c r="CP30" i="38"/>
  <c r="CP26" i="37"/>
  <c r="DB26" i="37"/>
  <c r="DE26" i="37"/>
  <c r="AA10" i="38"/>
  <c r="AD10" i="38"/>
  <c r="CR5" i="37"/>
  <c r="CY29" i="38"/>
  <c r="CY5" i="38" s="1"/>
  <c r="CY30" i="38"/>
  <c r="CY6" i="38" s="1"/>
  <c r="DA30" i="38"/>
  <c r="DB5" i="38"/>
  <c r="DB30" i="38"/>
  <c r="DB6" i="38" s="1"/>
  <c r="V10" i="38"/>
  <c r="BA10" i="38"/>
  <c r="BU5" i="37"/>
  <c r="CD6" i="38"/>
  <c r="I27" i="37"/>
  <c r="I28" i="37" s="1"/>
  <c r="H27" i="37"/>
  <c r="BM6" i="38"/>
  <c r="BR6" i="38"/>
  <c r="CK5" i="38"/>
  <c r="CJ5" i="38"/>
  <c r="CM29" i="38"/>
  <c r="CL29" i="38"/>
  <c r="CL5" i="38" s="1"/>
  <c r="CN26" i="37"/>
  <c r="CS6" i="38"/>
  <c r="DD5" i="37"/>
  <c r="DD30" i="38"/>
  <c r="BJ6" i="38"/>
  <c r="BT6" i="38"/>
  <c r="CK6" i="38"/>
  <c r="CI6" i="38"/>
  <c r="CM6" i="38"/>
  <c r="CS26" i="37"/>
  <c r="DD29" i="38"/>
  <c r="DD5" i="38" s="1"/>
  <c r="BS23" i="37"/>
  <c r="BR23" i="37"/>
  <c r="BJ18" i="38"/>
  <c r="BG18" i="38"/>
  <c r="BM23" i="37"/>
  <c r="S36" i="37"/>
  <c r="D10" i="38"/>
  <c r="D11" i="38" s="1"/>
  <c r="CH5" i="38"/>
  <c r="CJ6" i="38"/>
  <c r="BI5" i="38"/>
  <c r="BR5" i="38"/>
  <c r="CM5" i="38"/>
  <c r="CN30" i="38"/>
  <c r="CO30" i="38"/>
  <c r="CO29" i="38"/>
  <c r="CO5" i="38" s="1"/>
  <c r="CO26" i="37"/>
  <c r="CP5" i="37"/>
  <c r="CT29" i="38"/>
  <c r="CT5" i="38" s="1"/>
  <c r="CU5" i="38"/>
  <c r="CV30" i="38"/>
  <c r="CW26" i="37"/>
  <c r="CW29" i="38"/>
  <c r="CW5" i="38" s="1"/>
  <c r="CX26" i="37"/>
  <c r="CX6" i="38"/>
  <c r="W10" i="38"/>
  <c r="R24" i="38"/>
  <c r="R28" i="38" s="1"/>
  <c r="CA37" i="37"/>
  <c r="CB36" i="37"/>
  <c r="G53" i="38"/>
  <c r="AC10" i="38"/>
  <c r="CI5" i="38"/>
  <c r="BN6" i="38"/>
  <c r="AF10" i="38"/>
  <c r="Z26" i="38"/>
  <c r="Z9" i="38" s="1"/>
  <c r="Z10" i="38" s="1"/>
  <c r="S26" i="38"/>
  <c r="S9" i="38" s="1"/>
  <c r="S10" i="38" s="1"/>
  <c r="AE10" i="38"/>
  <c r="AQ10" i="38"/>
  <c r="CE5" i="38"/>
  <c r="CQ30" i="38"/>
  <c r="CR29" i="38"/>
  <c r="CR5" i="38" s="1"/>
  <c r="CU30" i="38"/>
  <c r="CV6" i="38"/>
  <c r="DA26" i="37"/>
  <c r="DC30" i="38"/>
  <c r="DC6" i="38" s="1"/>
  <c r="DC26" i="37"/>
  <c r="AO23" i="37"/>
  <c r="I23" i="37"/>
  <c r="L23" i="37"/>
  <c r="AI23" i="37"/>
  <c r="AP23" i="37"/>
  <c r="BC23" i="37"/>
  <c r="AV23" i="37"/>
  <c r="AA23" i="37"/>
  <c r="AX23" i="37"/>
  <c r="AN23" i="37"/>
  <c r="BB23" i="37"/>
  <c r="AY18" i="38"/>
  <c r="AR23" i="37"/>
  <c r="BF23" i="37"/>
  <c r="BG23" i="37"/>
  <c r="BQ23" i="37"/>
  <c r="BO23" i="37"/>
  <c r="CG23" i="37"/>
  <c r="BV18" i="38"/>
  <c r="CB18" i="38"/>
  <c r="CL23" i="37"/>
  <c r="CM23" i="37"/>
  <c r="CK23" i="37"/>
  <c r="F50" i="38"/>
  <c r="BJ23" i="37"/>
  <c r="BK23" i="37"/>
  <c r="BI23" i="37"/>
  <c r="BE18" i="38"/>
  <c r="BF18" i="38"/>
  <c r="BL23" i="37"/>
  <c r="CP23" i="37"/>
  <c r="CE18" i="38"/>
  <c r="CU6" i="38"/>
  <c r="BS5" i="38"/>
  <c r="AL10" i="38"/>
  <c r="BS6" i="38"/>
  <c r="BZ6" i="38"/>
  <c r="BD10" i="38"/>
  <c r="T10" i="38"/>
  <c r="R10" i="38"/>
  <c r="AS10" i="38"/>
  <c r="AT10" i="38"/>
  <c r="BC10" i="38"/>
  <c r="BP23" i="37"/>
  <c r="CN23" i="37"/>
  <c r="CF6" i="38"/>
  <c r="CB6" i="38"/>
  <c r="CN6" i="38"/>
  <c r="CQ5" i="38"/>
  <c r="CR26" i="37"/>
  <c r="CT5" i="37"/>
  <c r="CT30" i="38"/>
  <c r="CU26" i="37"/>
  <c r="CW30" i="38"/>
  <c r="CW6" i="38" s="1"/>
  <c r="CZ29" i="38"/>
  <c r="CZ5" i="38" s="1"/>
  <c r="DA29" i="38"/>
  <c r="DA5" i="38" s="1"/>
  <c r="CU18" i="38"/>
  <c r="DF23" i="37"/>
  <c r="DE23" i="38"/>
  <c r="DE5" i="37"/>
  <c r="F43" i="38"/>
  <c r="E32" i="38"/>
  <c r="AX10" i="38"/>
  <c r="CC6" i="38"/>
  <c r="BW6" i="38"/>
  <c r="BU6" i="38"/>
  <c r="AB10" i="38"/>
  <c r="BQ6" i="38"/>
  <c r="BK6" i="38"/>
  <c r="BV6" i="38"/>
  <c r="AH26" i="38"/>
  <c r="AH9" i="38" s="1"/>
  <c r="AH10" i="38" s="1"/>
  <c r="BU5" i="38"/>
  <c r="CF5" i="38"/>
  <c r="CG5" i="38"/>
  <c r="CN29" i="38"/>
  <c r="CN5" i="38" s="1"/>
  <c r="CO6" i="38"/>
  <c r="CP5" i="38"/>
  <c r="CQ6" i="38"/>
  <c r="CQ5" i="37"/>
  <c r="CR30" i="38"/>
  <c r="CR6" i="38" s="1"/>
  <c r="CS29" i="38"/>
  <c r="CS5" i="38" s="1"/>
  <c r="CU5" i="37"/>
  <c r="CV29" i="38"/>
  <c r="CV5" i="38" s="1"/>
  <c r="CW5" i="37"/>
  <c r="CX29" i="38"/>
  <c r="CX5" i="38" s="1"/>
  <c r="DA6" i="38"/>
  <c r="DE29" i="38"/>
  <c r="DE5" i="38" s="1"/>
  <c r="DE30" i="38"/>
  <c r="AD23" i="37"/>
  <c r="AG23" i="37"/>
  <c r="U23" i="37"/>
  <c r="AS23" i="37"/>
  <c r="AY23" i="37"/>
  <c r="BB18" i="38"/>
  <c r="BH23" i="37"/>
  <c r="CS23" i="37"/>
  <c r="CT23" i="37"/>
  <c r="CX23" i="37"/>
  <c r="R19" i="38"/>
  <c r="S25" i="37"/>
  <c r="X23" i="37"/>
  <c r="R23" i="37"/>
  <c r="DE51" i="37"/>
  <c r="DE30" i="37" s="1"/>
  <c r="DE9" i="38"/>
  <c r="DE10" i="38"/>
  <c r="DE50" i="37"/>
  <c r="DE29" i="37" s="1"/>
  <c r="H39" i="38"/>
  <c r="G43" i="38"/>
  <c r="CC36" i="37"/>
  <c r="F32" i="38"/>
  <c r="CB24" i="38"/>
  <c r="CA27" i="37"/>
  <c r="E25" i="37"/>
  <c r="E18" i="38"/>
  <c r="AG10" i="38"/>
  <c r="CI23" i="37"/>
  <c r="CR23" i="37"/>
  <c r="CG18" i="38"/>
  <c r="CU23" i="37"/>
  <c r="CK18" i="38"/>
  <c r="CV23" i="37"/>
  <c r="CY23" i="37"/>
  <c r="CN18" i="38"/>
  <c r="CZ23" i="37"/>
  <c r="DB23" i="37"/>
  <c r="CQ18" i="38"/>
  <c r="DC23" i="37"/>
  <c r="CR18" i="38"/>
  <c r="DD6" i="38"/>
  <c r="DE23" i="37"/>
  <c r="CT18" i="38"/>
  <c r="AO10" i="38"/>
  <c r="BJ5" i="38"/>
  <c r="BO5" i="38"/>
  <c r="BQ18" i="38"/>
  <c r="BZ23" i="37"/>
  <c r="CE23" i="37"/>
  <c r="CF23" i="37"/>
  <c r="CJ23" i="37"/>
  <c r="BY18" i="38"/>
  <c r="CF18" i="38"/>
  <c r="CO23" i="37"/>
  <c r="CQ23" i="37"/>
  <c r="CL18" i="38"/>
  <c r="CW23" i="37"/>
  <c r="DA23" i="37"/>
  <c r="CP18" i="38"/>
  <c r="DD23" i="37"/>
  <c r="CS18" i="38"/>
  <c r="BK5" i="37"/>
  <c r="CP23" i="38"/>
  <c r="CT23" i="38"/>
  <c r="G32" i="38" l="1"/>
  <c r="CP6" i="38"/>
  <c r="I22" i="37"/>
  <c r="CC48" i="37"/>
  <c r="CC27" i="37" s="1"/>
  <c r="CB49" i="37"/>
  <c r="I49" i="37"/>
  <c r="J48" i="37"/>
  <c r="H22" i="37"/>
  <c r="H28" i="37"/>
  <c r="CB37" i="37"/>
  <c r="CB27" i="37"/>
  <c r="CB28" i="37" s="1"/>
  <c r="S24" i="38"/>
  <c r="S28" i="38" s="1"/>
  <c r="T36" i="37"/>
  <c r="S37" i="37"/>
  <c r="CT6" i="38"/>
  <c r="H53" i="38"/>
  <c r="G57" i="38"/>
  <c r="E7" i="38"/>
  <c r="E11" i="38" s="1"/>
  <c r="E36" i="38"/>
  <c r="DE6" i="38"/>
  <c r="H46" i="38"/>
  <c r="G50" i="38"/>
  <c r="T25" i="37"/>
  <c r="S19" i="38"/>
  <c r="CA28" i="37"/>
  <c r="F36" i="38"/>
  <c r="F7" i="38"/>
  <c r="H43" i="38"/>
  <c r="I39" i="38"/>
  <c r="E22" i="37"/>
  <c r="E19" i="38"/>
  <c r="CB28" i="38"/>
  <c r="CC24" i="38"/>
  <c r="CC37" i="37"/>
  <c r="CD36" i="37"/>
  <c r="G7" i="38"/>
  <c r="G36" i="38"/>
  <c r="E21" i="38" l="1"/>
  <c r="CC49" i="37"/>
  <c r="CD48" i="37"/>
  <c r="CD27" i="37" s="1"/>
  <c r="H32" i="38"/>
  <c r="J27" i="37"/>
  <c r="K48" i="37"/>
  <c r="J49" i="37"/>
  <c r="T37" i="37"/>
  <c r="U36" i="37"/>
  <c r="T24" i="38"/>
  <c r="T28" i="38" s="1"/>
  <c r="H57" i="38"/>
  <c r="I53" i="38"/>
  <c r="H50" i="38"/>
  <c r="I46" i="38"/>
  <c r="T19" i="38"/>
  <c r="U25" i="37"/>
  <c r="G21" i="38"/>
  <c r="G11" i="38"/>
  <c r="CC28" i="38"/>
  <c r="CE36" i="37"/>
  <c r="CD24" i="38"/>
  <c r="CD37" i="37"/>
  <c r="H7" i="38"/>
  <c r="H36" i="38"/>
  <c r="CC28" i="37"/>
  <c r="I43" i="38"/>
  <c r="J39" i="38"/>
  <c r="I32" i="38"/>
  <c r="F11" i="38"/>
  <c r="F21" i="38"/>
  <c r="CD49" i="37" l="1"/>
  <c r="CE48" i="37"/>
  <c r="J22" i="37"/>
  <c r="J28" i="37"/>
  <c r="L48" i="37"/>
  <c r="K27" i="37"/>
  <c r="K49" i="37"/>
  <c r="U24" i="38"/>
  <c r="U28" i="38" s="1"/>
  <c r="U37" i="37"/>
  <c r="V36" i="37"/>
  <c r="I57" i="38"/>
  <c r="J53" i="38"/>
  <c r="J46" i="38"/>
  <c r="I50" i="38"/>
  <c r="U19" i="38"/>
  <c r="V25" i="37"/>
  <c r="I7" i="38"/>
  <c r="I36" i="38"/>
  <c r="J43" i="38"/>
  <c r="K39" i="38"/>
  <c r="H21" i="38"/>
  <c r="H11" i="38"/>
  <c r="CE37" i="37"/>
  <c r="CE24" i="38"/>
  <c r="CE27" i="37"/>
  <c r="CF36" i="37"/>
  <c r="CD28" i="38"/>
  <c r="CD28" i="37"/>
  <c r="J32" i="38" l="1"/>
  <c r="J36" i="38" s="1"/>
  <c r="CE49" i="37"/>
  <c r="CF48" i="37"/>
  <c r="K22" i="37"/>
  <c r="K28" i="37"/>
  <c r="L27" i="37"/>
  <c r="M48" i="37"/>
  <c r="L49" i="37"/>
  <c r="J57" i="38"/>
  <c r="K53" i="38"/>
  <c r="W36" i="37"/>
  <c r="V37" i="37"/>
  <c r="V24" i="38"/>
  <c r="V28" i="38" s="1"/>
  <c r="K46" i="38"/>
  <c r="K32" i="38" s="1"/>
  <c r="J50" i="38"/>
  <c r="V19" i="38"/>
  <c r="W25" i="37"/>
  <c r="CE28" i="37"/>
  <c r="K43" i="38"/>
  <c r="L39" i="38"/>
  <c r="CG36" i="37"/>
  <c r="CF24" i="38"/>
  <c r="CF27" i="37"/>
  <c r="CF37" i="37"/>
  <c r="CE28" i="38"/>
  <c r="J7" i="38"/>
  <c r="I21" i="38"/>
  <c r="I11" i="38"/>
  <c r="CG48" i="37" l="1"/>
  <c r="CG27" i="37" s="1"/>
  <c r="CF49" i="37"/>
  <c r="M27" i="37"/>
  <c r="M49" i="37"/>
  <c r="N48" i="37"/>
  <c r="L22" i="37"/>
  <c r="L28" i="37"/>
  <c r="L53" i="38"/>
  <c r="K57" i="38"/>
  <c r="X36" i="37"/>
  <c r="W24" i="38"/>
  <c r="W28" i="38" s="1"/>
  <c r="W37" i="37"/>
  <c r="K50" i="38"/>
  <c r="L46" i="38"/>
  <c r="L32" i="38" s="1"/>
  <c r="X25" i="37"/>
  <c r="W19" i="38"/>
  <c r="CF28" i="37"/>
  <c r="CH36" i="37"/>
  <c r="CG24" i="38"/>
  <c r="CG37" i="37"/>
  <c r="K36" i="38"/>
  <c r="K7" i="38"/>
  <c r="J21" i="38"/>
  <c r="J11" i="38"/>
  <c r="CF28" i="38"/>
  <c r="L43" i="38"/>
  <c r="M39" i="38"/>
  <c r="CH48" i="37" l="1"/>
  <c r="CH27" i="37" s="1"/>
  <c r="CG49" i="37"/>
  <c r="O48" i="37"/>
  <c r="N27" i="37"/>
  <c r="N49" i="37"/>
  <c r="M28" i="37"/>
  <c r="M22" i="37"/>
  <c r="X37" i="37"/>
  <c r="Y36" i="37"/>
  <c r="X24" i="38"/>
  <c r="X28" i="38" s="1"/>
  <c r="M53" i="38"/>
  <c r="L57" i="38"/>
  <c r="L50" i="38"/>
  <c r="M46" i="38"/>
  <c r="X19" i="38"/>
  <c r="Y25" i="37"/>
  <c r="M43" i="38"/>
  <c r="N39" i="38"/>
  <c r="L36" i="38"/>
  <c r="L7" i="38"/>
  <c r="CG28" i="37"/>
  <c r="CI36" i="37"/>
  <c r="CH24" i="38"/>
  <c r="CH37" i="37"/>
  <c r="K21" i="38"/>
  <c r="K11" i="38"/>
  <c r="CG28" i="38"/>
  <c r="CH49" i="37" l="1"/>
  <c r="CI48" i="37"/>
  <c r="M32" i="38"/>
  <c r="M36" i="38" s="1"/>
  <c r="N22" i="37"/>
  <c r="N28" i="37"/>
  <c r="O27" i="37"/>
  <c r="O49" i="37"/>
  <c r="P48" i="37"/>
  <c r="M57" i="38"/>
  <c r="N53" i="38"/>
  <c r="Y37" i="37"/>
  <c r="Y24" i="38"/>
  <c r="Y28" i="38" s="1"/>
  <c r="Z36" i="37"/>
  <c r="N46" i="38"/>
  <c r="N32" i="38" s="1"/>
  <c r="M50" i="38"/>
  <c r="Z25" i="37"/>
  <c r="Y19" i="38"/>
  <c r="CH28" i="38"/>
  <c r="N43" i="38"/>
  <c r="O39" i="38"/>
  <c r="CH28" i="37"/>
  <c r="CI37" i="37"/>
  <c r="CI27" i="37"/>
  <c r="CI24" i="38"/>
  <c r="CJ36" i="37"/>
  <c r="L11" i="38"/>
  <c r="L21" i="38"/>
  <c r="M7" i="38" l="1"/>
  <c r="M11" i="38" s="1"/>
  <c r="CI49" i="37"/>
  <c r="CJ48" i="37"/>
  <c r="P49" i="37"/>
  <c r="P27" i="37"/>
  <c r="Q48" i="37"/>
  <c r="O28" i="37"/>
  <c r="O22" i="37"/>
  <c r="N57" i="38"/>
  <c r="O53" i="38"/>
  <c r="AA36" i="37"/>
  <c r="Z37" i="37"/>
  <c r="Z24" i="38"/>
  <c r="Z28" i="38" s="1"/>
  <c r="N50" i="38"/>
  <c r="O46" i="38"/>
  <c r="O32" i="38" s="1"/>
  <c r="Z19" i="38"/>
  <c r="AA25" i="37"/>
  <c r="M21" i="38"/>
  <c r="CI28" i="38"/>
  <c r="O43" i="38"/>
  <c r="P39" i="38"/>
  <c r="CK36" i="37"/>
  <c r="CJ27" i="37"/>
  <c r="CJ24" i="38"/>
  <c r="CJ37" i="37"/>
  <c r="CI28" i="37"/>
  <c r="N7" i="38"/>
  <c r="N36" i="38"/>
  <c r="CK48" i="37" l="1"/>
  <c r="CK27" i="37" s="1"/>
  <c r="CJ49" i="37"/>
  <c r="P22" i="37"/>
  <c r="P28" i="37"/>
  <c r="R48" i="37"/>
  <c r="Q27" i="37"/>
  <c r="Q49" i="37"/>
  <c r="O57" i="38"/>
  <c r="P53" i="38"/>
  <c r="AA37" i="37"/>
  <c r="AB36" i="37"/>
  <c r="AA24" i="38"/>
  <c r="AA28" i="38" s="1"/>
  <c r="O50" i="38"/>
  <c r="P46" i="38"/>
  <c r="AA19" i="38"/>
  <c r="AB25" i="37"/>
  <c r="N21" i="38"/>
  <c r="N11" i="38"/>
  <c r="CJ28" i="38"/>
  <c r="O7" i="38"/>
  <c r="O36" i="38"/>
  <c r="CJ28" i="37"/>
  <c r="P43" i="38"/>
  <c r="Q39" i="38"/>
  <c r="CL36" i="37"/>
  <c r="CK24" i="38"/>
  <c r="CK37" i="37"/>
  <c r="P32" i="38" l="1"/>
  <c r="P36" i="38" s="1"/>
  <c r="CK49" i="37"/>
  <c r="CL48" i="37"/>
  <c r="Q28" i="37"/>
  <c r="Q22" i="37"/>
  <c r="S48" i="37"/>
  <c r="R27" i="37"/>
  <c r="R49" i="37"/>
  <c r="AC36" i="37"/>
  <c r="AB24" i="38"/>
  <c r="AB28" i="38" s="1"/>
  <c r="AB37" i="37"/>
  <c r="Q53" i="38"/>
  <c r="P57" i="38"/>
  <c r="P50" i="38"/>
  <c r="Q46" i="38"/>
  <c r="AB19" i="38"/>
  <c r="AC25" i="37"/>
  <c r="CK28" i="38"/>
  <c r="CK28" i="37"/>
  <c r="Q43" i="38"/>
  <c r="R39" i="38"/>
  <c r="O11" i="38"/>
  <c r="O21" i="38"/>
  <c r="CL24" i="38"/>
  <c r="CL27" i="37"/>
  <c r="CM36" i="37"/>
  <c r="CL37" i="37"/>
  <c r="P7" i="38" l="1"/>
  <c r="P21" i="38" s="1"/>
  <c r="CL49" i="37"/>
  <c r="CM48" i="37"/>
  <c r="R28" i="37"/>
  <c r="R22" i="37"/>
  <c r="T48" i="37"/>
  <c r="S27" i="37"/>
  <c r="S49" i="37"/>
  <c r="Q57" i="38"/>
  <c r="R53" i="38"/>
  <c r="Q32" i="38"/>
  <c r="Q36" i="38" s="1"/>
  <c r="AD36" i="37"/>
  <c r="AC24" i="38"/>
  <c r="AC28" i="38" s="1"/>
  <c r="AC37" i="37"/>
  <c r="Q50" i="38"/>
  <c r="R46" i="38"/>
  <c r="AD25" i="37"/>
  <c r="AC19" i="38"/>
  <c r="P11" i="38"/>
  <c r="CL28" i="37"/>
  <c r="S39" i="38"/>
  <c r="R43" i="38"/>
  <c r="R32" i="38"/>
  <c r="CM24" i="38"/>
  <c r="CM27" i="37"/>
  <c r="CN36" i="37"/>
  <c r="CM37" i="37"/>
  <c r="CL28" i="38"/>
  <c r="Q7" i="38"/>
  <c r="CM49" i="37" l="1"/>
  <c r="CN48" i="37"/>
  <c r="CN27" i="37" s="1"/>
  <c r="S22" i="37"/>
  <c r="S28" i="37"/>
  <c r="T27" i="37"/>
  <c r="T49" i="37"/>
  <c r="U48" i="37"/>
  <c r="AD37" i="37"/>
  <c r="AD24" i="38"/>
  <c r="AD28" i="38" s="1"/>
  <c r="AE36" i="37"/>
  <c r="S53" i="38"/>
  <c r="R57" i="38"/>
  <c r="R50" i="38"/>
  <c r="S46" i="38"/>
  <c r="AD19" i="38"/>
  <c r="AE25" i="37"/>
  <c r="Q21" i="38"/>
  <c r="Q11" i="38"/>
  <c r="CM28" i="37"/>
  <c r="R36" i="38"/>
  <c r="R7" i="38"/>
  <c r="S43" i="38"/>
  <c r="T39" i="38"/>
  <c r="CN24" i="38"/>
  <c r="CN37" i="37"/>
  <c r="CO36" i="37"/>
  <c r="CM28" i="38"/>
  <c r="S32" i="38" l="1"/>
  <c r="S7" i="38" s="1"/>
  <c r="CN49" i="37"/>
  <c r="CO48" i="37"/>
  <c r="U49" i="37"/>
  <c r="V48" i="37"/>
  <c r="U27" i="37"/>
  <c r="T22" i="37"/>
  <c r="T28" i="37"/>
  <c r="S57" i="38"/>
  <c r="T53" i="38"/>
  <c r="AE37" i="37"/>
  <c r="AF36" i="37"/>
  <c r="AE24" i="38"/>
  <c r="AE28" i="38" s="1"/>
  <c r="T46" i="38"/>
  <c r="T32" i="38" s="1"/>
  <c r="S50" i="38"/>
  <c r="AE19" i="38"/>
  <c r="AF25" i="37"/>
  <c r="CO27" i="37"/>
  <c r="CP36" i="37"/>
  <c r="CO24" i="38"/>
  <c r="CO37" i="37"/>
  <c r="CN28" i="38"/>
  <c r="T43" i="38"/>
  <c r="U39" i="38"/>
  <c r="R11" i="38"/>
  <c r="R21" i="38"/>
  <c r="CN28" i="37"/>
  <c r="S36" i="38"/>
  <c r="CP48" i="37" l="1"/>
  <c r="CO49" i="37"/>
  <c r="W48" i="37"/>
  <c r="V27" i="37"/>
  <c r="V49" i="37"/>
  <c r="U22" i="37"/>
  <c r="U28" i="37"/>
  <c r="AG36" i="37"/>
  <c r="AF24" i="38"/>
  <c r="AF28" i="38" s="1"/>
  <c r="AF37" i="37"/>
  <c r="U53" i="38"/>
  <c r="T57" i="38"/>
  <c r="U46" i="38"/>
  <c r="T50" i="38"/>
  <c r="AG25" i="37"/>
  <c r="AF19" i="38"/>
  <c r="T36" i="38"/>
  <c r="T7" i="38"/>
  <c r="CO28" i="38"/>
  <c r="CO28" i="37"/>
  <c r="S11" i="38"/>
  <c r="S21" i="38"/>
  <c r="U43" i="38"/>
  <c r="V39" i="38"/>
  <c r="CQ36" i="37"/>
  <c r="CP24" i="38"/>
  <c r="CP27" i="37"/>
  <c r="CP37" i="37"/>
  <c r="CQ48" i="37" l="1"/>
  <c r="CP49" i="37"/>
  <c r="V22" i="37"/>
  <c r="V28" i="37"/>
  <c r="X48" i="37"/>
  <c r="W49" i="37"/>
  <c r="W27" i="37"/>
  <c r="U57" i="38"/>
  <c r="V53" i="38"/>
  <c r="U32" i="38"/>
  <c r="AG37" i="37"/>
  <c r="AH36" i="37"/>
  <c r="AG24" i="38"/>
  <c r="AG28" i="38" s="1"/>
  <c r="U50" i="38"/>
  <c r="V46" i="38"/>
  <c r="V32" i="38" s="1"/>
  <c r="AG19" i="38"/>
  <c r="AH25" i="37"/>
  <c r="V43" i="38"/>
  <c r="W39" i="38"/>
  <c r="T21" i="38"/>
  <c r="T11" i="38"/>
  <c r="CP28" i="37"/>
  <c r="CR36" i="37"/>
  <c r="CQ24" i="38"/>
  <c r="CQ27" i="37"/>
  <c r="CQ37" i="37"/>
  <c r="CP28" i="38"/>
  <c r="U7" i="38"/>
  <c r="U36" i="38"/>
  <c r="CR48" i="37" l="1"/>
  <c r="CR27" i="37" s="1"/>
  <c r="CQ49" i="37"/>
  <c r="W28" i="37"/>
  <c r="W22" i="37"/>
  <c r="X49" i="37"/>
  <c r="X27" i="37"/>
  <c r="Y48" i="37"/>
  <c r="V57" i="38"/>
  <c r="W53" i="38"/>
  <c r="AI36" i="37"/>
  <c r="AH37" i="37"/>
  <c r="AH24" i="38"/>
  <c r="AH28" i="38" s="1"/>
  <c r="W46" i="38"/>
  <c r="W32" i="38" s="1"/>
  <c r="V50" i="38"/>
  <c r="AI25" i="37"/>
  <c r="AH19" i="38"/>
  <c r="CQ28" i="38"/>
  <c r="X39" i="38"/>
  <c r="W43" i="38"/>
  <c r="U21" i="38"/>
  <c r="U11" i="38"/>
  <c r="CQ28" i="37"/>
  <c r="CS36" i="37"/>
  <c r="CR24" i="38"/>
  <c r="CR37" i="37"/>
  <c r="V36" i="38"/>
  <c r="V7" i="38"/>
  <c r="CR49" i="37" l="1"/>
  <c r="CS48" i="37"/>
  <c r="X28" i="37"/>
  <c r="X22" i="37"/>
  <c r="Z48" i="37"/>
  <c r="Y27" i="37"/>
  <c r="Y49" i="37"/>
  <c r="W57" i="38"/>
  <c r="X53" i="38"/>
  <c r="AI37" i="37"/>
  <c r="AJ36" i="37"/>
  <c r="AI24" i="38"/>
  <c r="AI28" i="38" s="1"/>
  <c r="W50" i="38"/>
  <c r="X46" i="38"/>
  <c r="AJ25" i="37"/>
  <c r="AI19" i="38"/>
  <c r="V21" i="38"/>
  <c r="V11" i="38"/>
  <c r="CR28" i="37"/>
  <c r="Y39" i="38"/>
  <c r="X43" i="38"/>
  <c r="CR28" i="38"/>
  <c r="CT36" i="37"/>
  <c r="CS27" i="37"/>
  <c r="CS24" i="38"/>
  <c r="CS37" i="37"/>
  <c r="W36" i="38"/>
  <c r="W7" i="38"/>
  <c r="CS49" i="37" l="1"/>
  <c r="CT48" i="37"/>
  <c r="X32" i="38"/>
  <c r="Y28" i="37"/>
  <c r="Y22" i="37"/>
  <c r="AA48" i="37"/>
  <c r="Z49" i="37"/>
  <c r="Z27" i="37"/>
  <c r="AJ37" i="37"/>
  <c r="AK36" i="37"/>
  <c r="AJ24" i="38"/>
  <c r="AJ28" i="38" s="1"/>
  <c r="X57" i="38"/>
  <c r="Y53" i="38"/>
  <c r="X50" i="38"/>
  <c r="Y46" i="38"/>
  <c r="Y32" i="38" s="1"/>
  <c r="AK25" i="37"/>
  <c r="AJ19" i="38"/>
  <c r="CS28" i="38"/>
  <c r="CT37" i="37"/>
  <c r="CU36" i="37"/>
  <c r="CT24" i="38"/>
  <c r="CT27" i="37"/>
  <c r="Z39" i="38"/>
  <c r="Y43" i="38"/>
  <c r="W21" i="38"/>
  <c r="W11" i="38"/>
  <c r="CS28" i="37"/>
  <c r="X36" i="38"/>
  <c r="X7" i="38"/>
  <c r="CU48" i="37" l="1"/>
  <c r="CT49" i="37"/>
  <c r="Z28" i="37"/>
  <c r="Z22" i="37"/>
  <c r="AA49" i="37"/>
  <c r="AB48" i="37"/>
  <c r="AA27" i="37"/>
  <c r="AK37" i="37"/>
  <c r="AL36" i="37"/>
  <c r="AK24" i="38"/>
  <c r="AK28" i="38" s="1"/>
  <c r="Y57" i="38"/>
  <c r="Z53" i="38"/>
  <c r="Y50" i="38"/>
  <c r="Z46" i="38"/>
  <c r="Z32" i="38" s="1"/>
  <c r="AL25" i="37"/>
  <c r="AK19" i="38"/>
  <c r="X21" i="38"/>
  <c r="X11" i="38"/>
  <c r="Y36" i="38"/>
  <c r="Y7" i="38"/>
  <c r="CT28" i="37"/>
  <c r="CU24" i="38"/>
  <c r="CU37" i="37"/>
  <c r="CV36" i="37"/>
  <c r="CU27" i="37"/>
  <c r="AA39" i="38"/>
  <c r="Z43" i="38"/>
  <c r="CT28" i="38"/>
  <c r="CU49" i="37" l="1"/>
  <c r="CV48" i="37"/>
  <c r="AC48" i="37"/>
  <c r="AB49" i="37"/>
  <c r="AB27" i="37"/>
  <c r="AA22" i="37"/>
  <c r="AA28" i="37"/>
  <c r="AL24" i="38"/>
  <c r="AL28" i="38" s="1"/>
  <c r="AM36" i="37"/>
  <c r="AL37" i="37"/>
  <c r="AA53" i="38"/>
  <c r="Z57" i="38"/>
  <c r="AA46" i="38"/>
  <c r="Z50" i="38"/>
  <c r="AM25" i="37"/>
  <c r="AL19" i="38"/>
  <c r="AB39" i="38"/>
  <c r="AA43" i="38"/>
  <c r="CU28" i="37"/>
  <c r="Y11" i="38"/>
  <c r="Y21" i="38"/>
  <c r="Z36" i="38"/>
  <c r="Z7" i="38"/>
  <c r="CV24" i="38"/>
  <c r="CV37" i="37"/>
  <c r="CW36" i="37"/>
  <c r="CV27" i="37"/>
  <c r="CU28" i="38"/>
  <c r="CV49" i="37" l="1"/>
  <c r="CW48" i="37"/>
  <c r="AB22" i="37"/>
  <c r="AB28" i="37"/>
  <c r="AC49" i="37"/>
  <c r="AD48" i="37"/>
  <c r="AC27" i="37"/>
  <c r="AB53" i="38"/>
  <c r="AA57" i="38"/>
  <c r="AM37" i="37"/>
  <c r="AM24" i="38"/>
  <c r="AM28" i="38" s="1"/>
  <c r="AN36" i="37"/>
  <c r="AA32" i="38"/>
  <c r="AA36" i="38" s="1"/>
  <c r="AA50" i="38"/>
  <c r="AB46" i="38"/>
  <c r="AM19" i="38"/>
  <c r="AN25" i="37"/>
  <c r="CV28" i="37"/>
  <c r="CW24" i="38"/>
  <c r="CW37" i="37"/>
  <c r="CX36" i="37"/>
  <c r="CW27" i="37"/>
  <c r="CV28" i="38"/>
  <c r="Z21" i="38"/>
  <c r="Z11" i="38"/>
  <c r="AC39" i="38"/>
  <c r="AB43" i="38"/>
  <c r="AB32" i="38" l="1"/>
  <c r="AA7" i="38"/>
  <c r="CX48" i="37"/>
  <c r="CW49" i="37"/>
  <c r="AD49" i="37"/>
  <c r="AD27" i="37"/>
  <c r="AE48" i="37"/>
  <c r="AC28" i="37"/>
  <c r="AC22" i="37"/>
  <c r="AO36" i="37"/>
  <c r="AN37" i="37"/>
  <c r="AN24" i="38"/>
  <c r="AN28" i="38" s="1"/>
  <c r="AB57" i="38"/>
  <c r="AC53" i="38"/>
  <c r="AC46" i="38"/>
  <c r="AB50" i="38"/>
  <c r="AN19" i="38"/>
  <c r="AO25" i="37"/>
  <c r="AD39" i="38"/>
  <c r="AC43" i="38"/>
  <c r="CW28" i="37"/>
  <c r="AB36" i="38"/>
  <c r="AB7" i="38"/>
  <c r="AA11" i="38"/>
  <c r="AA21" i="38"/>
  <c r="CX37" i="37"/>
  <c r="CY36" i="37"/>
  <c r="CX24" i="38"/>
  <c r="CX27" i="37"/>
  <c r="CW28" i="38"/>
  <c r="AC32" i="38" l="1"/>
  <c r="CY48" i="37"/>
  <c r="CX49" i="37"/>
  <c r="AD22" i="37"/>
  <c r="AD28" i="37"/>
  <c r="AF48" i="37"/>
  <c r="AE27" i="37"/>
  <c r="AE49" i="37"/>
  <c r="AC57" i="38"/>
  <c r="AD53" i="38"/>
  <c r="AO24" i="38"/>
  <c r="AO28" i="38" s="1"/>
  <c r="AO37" i="37"/>
  <c r="AP36" i="37"/>
  <c r="AD46" i="38"/>
  <c r="AD32" i="38" s="1"/>
  <c r="AC50" i="38"/>
  <c r="AO19" i="38"/>
  <c r="AP25" i="37"/>
  <c r="CX28" i="37"/>
  <c r="CY37" i="37"/>
  <c r="CZ36" i="37"/>
  <c r="CY24" i="38"/>
  <c r="CY27" i="37"/>
  <c r="AC36" i="38"/>
  <c r="AC7" i="38"/>
  <c r="CX28" i="38"/>
  <c r="AB21" i="38"/>
  <c r="AB11" i="38"/>
  <c r="AE39" i="38"/>
  <c r="AD43" i="38"/>
  <c r="CY49" i="37" l="1"/>
  <c r="CZ48" i="37"/>
  <c r="AE28" i="37"/>
  <c r="AE22" i="37"/>
  <c r="AF49" i="37"/>
  <c r="AF27" i="37"/>
  <c r="AG48" i="37"/>
  <c r="AD57" i="38"/>
  <c r="AE53" i="38"/>
  <c r="AP24" i="38"/>
  <c r="AP28" i="38" s="1"/>
  <c r="AP37" i="37"/>
  <c r="AQ36" i="37"/>
  <c r="AD50" i="38"/>
  <c r="AE46" i="38"/>
  <c r="AQ25" i="37"/>
  <c r="AP19" i="38"/>
  <c r="AF39" i="38"/>
  <c r="AE43" i="38"/>
  <c r="AC21" i="38"/>
  <c r="AC11" i="38"/>
  <c r="CY28" i="37"/>
  <c r="CZ37" i="37"/>
  <c r="DA36" i="37"/>
  <c r="CZ24" i="38"/>
  <c r="CZ27" i="37"/>
  <c r="AD36" i="38"/>
  <c r="AD7" i="38"/>
  <c r="CY28" i="38"/>
  <c r="DA48" i="37" l="1"/>
  <c r="CZ49" i="37"/>
  <c r="AE32" i="38"/>
  <c r="AF22" i="37"/>
  <c r="AF28" i="37"/>
  <c r="AH48" i="37"/>
  <c r="AG27" i="37"/>
  <c r="AG49" i="37"/>
  <c r="AF53" i="38"/>
  <c r="AE57" i="38"/>
  <c r="AQ24" i="38"/>
  <c r="AQ28" i="38" s="1"/>
  <c r="AR36" i="37"/>
  <c r="AQ37" i="37"/>
  <c r="AF46" i="38"/>
  <c r="AE50" i="38"/>
  <c r="AR25" i="37"/>
  <c r="AQ19" i="38"/>
  <c r="AD21" i="38"/>
  <c r="AD11" i="38"/>
  <c r="CZ28" i="37"/>
  <c r="DB36" i="37"/>
  <c r="DA27" i="37"/>
  <c r="DA24" i="38"/>
  <c r="DA37" i="37"/>
  <c r="AE36" i="38"/>
  <c r="AE7" i="38"/>
  <c r="CZ28" i="38"/>
  <c r="AF43" i="38"/>
  <c r="AF32" i="38"/>
  <c r="AG39" i="38"/>
  <c r="DB48" i="37" l="1"/>
  <c r="DA49" i="37"/>
  <c r="AG22" i="37"/>
  <c r="AG28" i="37"/>
  <c r="AI48" i="37"/>
  <c r="AH49" i="37"/>
  <c r="AH27" i="37"/>
  <c r="AR24" i="38"/>
  <c r="AR28" i="38" s="1"/>
  <c r="AR37" i="37"/>
  <c r="AS36" i="37"/>
  <c r="AF57" i="38"/>
  <c r="AG53" i="38"/>
  <c r="AF50" i="38"/>
  <c r="AG46" i="38"/>
  <c r="AG32" i="38" s="1"/>
  <c r="AR19" i="38"/>
  <c r="AS25" i="37"/>
  <c r="AG43" i="38"/>
  <c r="AH39" i="38"/>
  <c r="AE21" i="38"/>
  <c r="AE11" i="38"/>
  <c r="DA28" i="37"/>
  <c r="AF36" i="38"/>
  <c r="AF7" i="38"/>
  <c r="DA28" i="38"/>
  <c r="DB27" i="37"/>
  <c r="DB24" i="38"/>
  <c r="DB37" i="37"/>
  <c r="DC36" i="37"/>
  <c r="DB49" i="37" l="1"/>
  <c r="DC48" i="37"/>
  <c r="AH28" i="37"/>
  <c r="AH22" i="37"/>
  <c r="AI49" i="37"/>
  <c r="AJ48" i="37"/>
  <c r="AI27" i="37"/>
  <c r="AG57" i="38"/>
  <c r="AH53" i="38"/>
  <c r="AT36" i="37"/>
  <c r="AS24" i="38"/>
  <c r="AS28" i="38" s="1"/>
  <c r="AS37" i="37"/>
  <c r="AH46" i="38"/>
  <c r="AG50" i="38"/>
  <c r="AT25" i="37"/>
  <c r="AS19" i="38"/>
  <c r="DC24" i="38"/>
  <c r="DD36" i="37"/>
  <c r="DC27" i="37"/>
  <c r="DC37" i="37"/>
  <c r="DB28" i="38"/>
  <c r="AI39" i="38"/>
  <c r="AH43" i="38"/>
  <c r="DB28" i="37"/>
  <c r="AF21" i="38"/>
  <c r="AF11" i="38"/>
  <c r="AG36" i="38"/>
  <c r="AG7" i="38"/>
  <c r="DD48" i="37" l="1"/>
  <c r="DC49" i="37"/>
  <c r="AK48" i="37"/>
  <c r="AJ49" i="37"/>
  <c r="AJ27" i="37"/>
  <c r="AI22" i="37"/>
  <c r="AI28" i="37"/>
  <c r="AI53" i="38"/>
  <c r="AH57" i="38"/>
  <c r="AH32" i="38"/>
  <c r="AH7" i="38" s="1"/>
  <c r="AT37" i="37"/>
  <c r="AU36" i="37"/>
  <c r="AT24" i="38"/>
  <c r="AT28" i="38" s="1"/>
  <c r="AI46" i="38"/>
  <c r="AI32" i="38" s="1"/>
  <c r="AH50" i="38"/>
  <c r="AU25" i="37"/>
  <c r="AT19" i="38"/>
  <c r="AG11" i="38"/>
  <c r="AG21" i="38"/>
  <c r="AH36" i="38"/>
  <c r="AI43" i="38"/>
  <c r="AJ39" i="38"/>
  <c r="DD24" i="38"/>
  <c r="DE36" i="37"/>
  <c r="DF36" i="37" s="1"/>
  <c r="DD27" i="37"/>
  <c r="DD37" i="37"/>
  <c r="DC28" i="37"/>
  <c r="DC28" i="38"/>
  <c r="DF37" i="37" l="1"/>
  <c r="DG36" i="37"/>
  <c r="DD49" i="37"/>
  <c r="DE48" i="37"/>
  <c r="AJ22" i="37"/>
  <c r="AJ28" i="37"/>
  <c r="AL48" i="37"/>
  <c r="AK49" i="37"/>
  <c r="AK27" i="37"/>
  <c r="AV36" i="37"/>
  <c r="AU37" i="37"/>
  <c r="AU24" i="38"/>
  <c r="AU28" i="38" s="1"/>
  <c r="AJ53" i="38"/>
  <c r="AI57" i="38"/>
  <c r="DF24" i="38"/>
  <c r="AJ46" i="38"/>
  <c r="AI50" i="38"/>
  <c r="AV25" i="37"/>
  <c r="AU19" i="38"/>
  <c r="DD28" i="37"/>
  <c r="DD28" i="38"/>
  <c r="AJ43" i="38"/>
  <c r="AJ32" i="38"/>
  <c r="AK39" i="38"/>
  <c r="AH11" i="38"/>
  <c r="AH21" i="38"/>
  <c r="DE24" i="38"/>
  <c r="DE27" i="37"/>
  <c r="DE37" i="37"/>
  <c r="AI36" i="38"/>
  <c r="AI7" i="38"/>
  <c r="DG24" i="38" l="1"/>
  <c r="DG37" i="37"/>
  <c r="DF48" i="37"/>
  <c r="DG48" i="37" s="1"/>
  <c r="DG49" i="37" s="1"/>
  <c r="DE49" i="37"/>
  <c r="AK22" i="37"/>
  <c r="AK28" i="37"/>
  <c r="AL49" i="37"/>
  <c r="AM48" i="37"/>
  <c r="AL27" i="37"/>
  <c r="AK53" i="38"/>
  <c r="AJ57" i="38"/>
  <c r="AV24" i="38"/>
  <c r="AV28" i="38" s="1"/>
  <c r="AV37" i="37"/>
  <c r="AW36" i="37"/>
  <c r="AJ50" i="38"/>
  <c r="AK46" i="38"/>
  <c r="AK32" i="38" s="1"/>
  <c r="DF28" i="38"/>
  <c r="AV19" i="38"/>
  <c r="AW25" i="37"/>
  <c r="AI21" i="38"/>
  <c r="AI11" i="38"/>
  <c r="DE28" i="37"/>
  <c r="AK43" i="38"/>
  <c r="AL39" i="38"/>
  <c r="DE28" i="38"/>
  <c r="AJ36" i="38"/>
  <c r="AJ7" i="38"/>
  <c r="DG27" i="37" l="1"/>
  <c r="DG28" i="38"/>
  <c r="DF49" i="37"/>
  <c r="DF27" i="37"/>
  <c r="AM49" i="37"/>
  <c r="AN48" i="37"/>
  <c r="AM27" i="37"/>
  <c r="AL22" i="37"/>
  <c r="AL28" i="37"/>
  <c r="AW24" i="38"/>
  <c r="AW28" i="38" s="1"/>
  <c r="AW37" i="37"/>
  <c r="AX36" i="37"/>
  <c r="AK57" i="38"/>
  <c r="AL53" i="38"/>
  <c r="AL46" i="38"/>
  <c r="AK50" i="38"/>
  <c r="AX25" i="37"/>
  <c r="AW19" i="38"/>
  <c r="AL43" i="38"/>
  <c r="AM39" i="38"/>
  <c r="AJ21" i="38"/>
  <c r="AJ11" i="38"/>
  <c r="AK36" i="38"/>
  <c r="AK7" i="38"/>
  <c r="DF28" i="37" l="1"/>
  <c r="DF22" i="37"/>
  <c r="AN49" i="37"/>
  <c r="AO48" i="37"/>
  <c r="AN27" i="37"/>
  <c r="AM28" i="37"/>
  <c r="AM22" i="37"/>
  <c r="AL32" i="38"/>
  <c r="AL57" i="38"/>
  <c r="AM53" i="38"/>
  <c r="AX24" i="38"/>
  <c r="AX28" i="38" s="1"/>
  <c r="AX37" i="37"/>
  <c r="AY36" i="37"/>
  <c r="AM46" i="38"/>
  <c r="AL50" i="38"/>
  <c r="AY25" i="37"/>
  <c r="AX19" i="38"/>
  <c r="AK11" i="38"/>
  <c r="AK21" i="38"/>
  <c r="AM43" i="38"/>
  <c r="AN39" i="38"/>
  <c r="AL36" i="38"/>
  <c r="AL7" i="38"/>
  <c r="AP48" i="37" l="1"/>
  <c r="AO27" i="37"/>
  <c r="AO49" i="37"/>
  <c r="AN28" i="37"/>
  <c r="AN22" i="37"/>
  <c r="AN53" i="38"/>
  <c r="AM57" i="38"/>
  <c r="AM32" i="38"/>
  <c r="AM7" i="38" s="1"/>
  <c r="AY24" i="38"/>
  <c r="AY28" i="38" s="1"/>
  <c r="AZ36" i="37"/>
  <c r="AY37" i="37"/>
  <c r="AM50" i="38"/>
  <c r="AN46" i="38"/>
  <c r="AN32" i="38" s="1"/>
  <c r="AY19" i="38"/>
  <c r="AZ25" i="37"/>
  <c r="AN43" i="38"/>
  <c r="AO39" i="38"/>
  <c r="AL21" i="38"/>
  <c r="AL11" i="38"/>
  <c r="AM36" i="38"/>
  <c r="AO28" i="37" l="1"/>
  <c r="AO22" i="37"/>
  <c r="AP49" i="37"/>
  <c r="AQ48" i="37"/>
  <c r="AP27" i="37"/>
  <c r="BA36" i="37"/>
  <c r="AZ24" i="38"/>
  <c r="AZ28" i="38" s="1"/>
  <c r="AZ37" i="37"/>
  <c r="AN57" i="38"/>
  <c r="AO53" i="38"/>
  <c r="AN50" i="38"/>
  <c r="AO46" i="38"/>
  <c r="AO32" i="38" s="1"/>
  <c r="BA25" i="37"/>
  <c r="AZ19" i="38"/>
  <c r="AM21" i="38"/>
  <c r="AM11" i="38"/>
  <c r="AO43" i="38"/>
  <c r="AP39" i="38"/>
  <c r="AN36" i="38"/>
  <c r="AN7" i="38"/>
  <c r="AR48" i="37" l="1"/>
  <c r="AQ49" i="37"/>
  <c r="AQ27" i="37"/>
  <c r="AP28" i="37"/>
  <c r="AP22" i="37"/>
  <c r="AO57" i="38"/>
  <c r="AP53" i="38"/>
  <c r="BB36" i="37"/>
  <c r="BA24" i="38"/>
  <c r="BA28" i="38" s="1"/>
  <c r="BA37" i="37"/>
  <c r="AP46" i="38"/>
  <c r="AO50" i="38"/>
  <c r="BB25" i="37"/>
  <c r="BA19" i="38"/>
  <c r="AN21" i="38"/>
  <c r="AN11" i="38"/>
  <c r="AP43" i="38"/>
  <c r="AQ39" i="38"/>
  <c r="AO36" i="38"/>
  <c r="AO7" i="38"/>
  <c r="AQ22" i="37" l="1"/>
  <c r="AQ28" i="37"/>
  <c r="AS48" i="37"/>
  <c r="AR27" i="37"/>
  <c r="AR49" i="37"/>
  <c r="AQ53" i="38"/>
  <c r="AP57" i="38"/>
  <c r="AP32" i="38"/>
  <c r="BB24" i="38"/>
  <c r="BB28" i="38" s="1"/>
  <c r="BC36" i="37"/>
  <c r="BB37" i="37"/>
  <c r="AP50" i="38"/>
  <c r="AQ46" i="38"/>
  <c r="AQ32" i="38" s="1"/>
  <c r="BB19" i="38"/>
  <c r="BC25" i="37"/>
  <c r="AO21" i="38"/>
  <c r="AO11" i="38"/>
  <c r="AQ43" i="38"/>
  <c r="AR39" i="38"/>
  <c r="AP36" i="38"/>
  <c r="AP7" i="38"/>
  <c r="AT48" i="37" l="1"/>
  <c r="AS49" i="37"/>
  <c r="AS27" i="37"/>
  <c r="AR22" i="37"/>
  <c r="AR28" i="37"/>
  <c r="BD36" i="37"/>
  <c r="BC37" i="37"/>
  <c r="BC24" i="38"/>
  <c r="BC28" i="38" s="1"/>
  <c r="AQ57" i="38"/>
  <c r="AR53" i="38"/>
  <c r="AR46" i="38"/>
  <c r="AQ50" i="38"/>
  <c r="BD25" i="37"/>
  <c r="BC19" i="38"/>
  <c r="AR43" i="38"/>
  <c r="AS39" i="38"/>
  <c r="AP11" i="38"/>
  <c r="AP21" i="38"/>
  <c r="AQ36" i="38"/>
  <c r="AQ7" i="38"/>
  <c r="AR32" i="38" l="1"/>
  <c r="AS28" i="37"/>
  <c r="AS22" i="37"/>
  <c r="AU48" i="37"/>
  <c r="AT27" i="37"/>
  <c r="AT49" i="37"/>
  <c r="AR57" i="38"/>
  <c r="AS53" i="38"/>
  <c r="BD37" i="37"/>
  <c r="BD24" i="38"/>
  <c r="BD28" i="38" s="1"/>
  <c r="BE36" i="37"/>
  <c r="AR50" i="38"/>
  <c r="AS46" i="38"/>
  <c r="BE25" i="37"/>
  <c r="BD19" i="38"/>
  <c r="AQ21" i="38"/>
  <c r="AQ11" i="38"/>
  <c r="AR36" i="38"/>
  <c r="AR7" i="38"/>
  <c r="AS43" i="38"/>
  <c r="AT39" i="38"/>
  <c r="AT22" i="37" l="1"/>
  <c r="AT28" i="37"/>
  <c r="AV48" i="37"/>
  <c r="AU49" i="37"/>
  <c r="AU27" i="37"/>
  <c r="AS57" i="38"/>
  <c r="AT53" i="38"/>
  <c r="AS32" i="38"/>
  <c r="BE24" i="38"/>
  <c r="BE28" i="38" s="1"/>
  <c r="BE37" i="37"/>
  <c r="BF36" i="37"/>
  <c r="AS50" i="38"/>
  <c r="AT46" i="38"/>
  <c r="AT32" i="38" s="1"/>
  <c r="BE19" i="38"/>
  <c r="BF25" i="37"/>
  <c r="AT43" i="38"/>
  <c r="AU39" i="38"/>
  <c r="AR21" i="38"/>
  <c r="AR11" i="38"/>
  <c r="AS36" i="38"/>
  <c r="AS7" i="38"/>
  <c r="AU28" i="37" l="1"/>
  <c r="AU22" i="37"/>
  <c r="AV49" i="37"/>
  <c r="AW48" i="37"/>
  <c r="AV27" i="37"/>
  <c r="BG36" i="37"/>
  <c r="BF24" i="38"/>
  <c r="BF28" i="38" s="1"/>
  <c r="BF37" i="37"/>
  <c r="AU53" i="38"/>
  <c r="AT57" i="38"/>
  <c r="AT50" i="38"/>
  <c r="AU46" i="38"/>
  <c r="BG25" i="37"/>
  <c r="BF19" i="38"/>
  <c r="AS11" i="38"/>
  <c r="AS21" i="38"/>
  <c r="AU43" i="38"/>
  <c r="AV39" i="38"/>
  <c r="AT36" i="38"/>
  <c r="AT7" i="38"/>
  <c r="AX48" i="37" l="1"/>
  <c r="AW27" i="37"/>
  <c r="AW49" i="37"/>
  <c r="AV28" i="37"/>
  <c r="AV22" i="37"/>
  <c r="AV53" i="38"/>
  <c r="AU57" i="38"/>
  <c r="AU32" i="38"/>
  <c r="BH36" i="37"/>
  <c r="BG24" i="38"/>
  <c r="BG28" i="38" s="1"/>
  <c r="BG37" i="37"/>
  <c r="AU50" i="38"/>
  <c r="AV46" i="38"/>
  <c r="AV32" i="38" s="1"/>
  <c r="BG19" i="38"/>
  <c r="BH25" i="37"/>
  <c r="AT11" i="38"/>
  <c r="AT21" i="38"/>
  <c r="AV43" i="38"/>
  <c r="AW39" i="38"/>
  <c r="AU36" i="38"/>
  <c r="AU7" i="38"/>
  <c r="AW28" i="37" l="1"/>
  <c r="AW22" i="37"/>
  <c r="AY48" i="37"/>
  <c r="AX49" i="37"/>
  <c r="AX27" i="37"/>
  <c r="BI36" i="37"/>
  <c r="BH37" i="37"/>
  <c r="BH24" i="38"/>
  <c r="BH28" i="38" s="1"/>
  <c r="AW53" i="38"/>
  <c r="AV57" i="38"/>
  <c r="AV50" i="38"/>
  <c r="AW46" i="38"/>
  <c r="BI25" i="37"/>
  <c r="BH19" i="38"/>
  <c r="AW43" i="38"/>
  <c r="AX39" i="38"/>
  <c r="AU11" i="38"/>
  <c r="AU21" i="38"/>
  <c r="AV36" i="38"/>
  <c r="AV7" i="38"/>
  <c r="AW32" i="38" l="1"/>
  <c r="AX22" i="37"/>
  <c r="AX28" i="37"/>
  <c r="AY49" i="37"/>
  <c r="AZ48" i="37"/>
  <c r="AY27" i="37"/>
  <c r="AW57" i="38"/>
  <c r="AX53" i="38"/>
  <c r="BJ36" i="37"/>
  <c r="BI24" i="38"/>
  <c r="BI28" i="38" s="1"/>
  <c r="BI37" i="37"/>
  <c r="AW50" i="38"/>
  <c r="AX46" i="38"/>
  <c r="AX32" i="38" s="1"/>
  <c r="BJ25" i="37"/>
  <c r="BI19" i="38"/>
  <c r="AV11" i="38"/>
  <c r="AV21" i="38"/>
  <c r="AW36" i="38"/>
  <c r="AW7" i="38"/>
  <c r="AX43" i="38"/>
  <c r="AY39" i="38"/>
  <c r="BA48" i="37" l="1"/>
  <c r="AZ49" i="37"/>
  <c r="AZ27" i="37"/>
  <c r="AY22" i="37"/>
  <c r="AY28" i="37"/>
  <c r="AY53" i="38"/>
  <c r="AX57" i="38"/>
  <c r="BJ24" i="38"/>
  <c r="BJ28" i="38" s="1"/>
  <c r="BK36" i="37"/>
  <c r="BJ37" i="37"/>
  <c r="AY46" i="38"/>
  <c r="AY32" i="38" s="1"/>
  <c r="AX50" i="38"/>
  <c r="BJ19" i="38"/>
  <c r="BK25" i="37"/>
  <c r="AX36" i="38"/>
  <c r="AX7" i="38"/>
  <c r="AY43" i="38"/>
  <c r="AZ39" i="38"/>
  <c r="AW11" i="38"/>
  <c r="AW21" i="38"/>
  <c r="AZ28" i="37" l="1"/>
  <c r="AZ22" i="37"/>
  <c r="BA49" i="37"/>
  <c r="BA27" i="37"/>
  <c r="BB48" i="37"/>
  <c r="BK24" i="38"/>
  <c r="BK28" i="38" s="1"/>
  <c r="BL36" i="37"/>
  <c r="BK37" i="37"/>
  <c r="AY57" i="38"/>
  <c r="AZ53" i="38"/>
  <c r="AY50" i="38"/>
  <c r="AZ46" i="38"/>
  <c r="BL25" i="37"/>
  <c r="BK19" i="38"/>
  <c r="AY36" i="38"/>
  <c r="AY7" i="38"/>
  <c r="AX11" i="38"/>
  <c r="AX21" i="38"/>
  <c r="AZ43" i="38"/>
  <c r="BA39" i="38"/>
  <c r="AZ32" i="38"/>
  <c r="BA28" i="37" l="1"/>
  <c r="BA22" i="37"/>
  <c r="BC48" i="37"/>
  <c r="BB27" i="37"/>
  <c r="BB49" i="37"/>
  <c r="BL37" i="37"/>
  <c r="BL24" i="38"/>
  <c r="BL28" i="38" s="1"/>
  <c r="BM36" i="37"/>
  <c r="BA53" i="38"/>
  <c r="BA32" i="38" s="1"/>
  <c r="AZ57" i="38"/>
  <c r="AZ50" i="38"/>
  <c r="BA46" i="38"/>
  <c r="BM25" i="37"/>
  <c r="BL19" i="38"/>
  <c r="AZ36" i="38"/>
  <c r="AZ7" i="38"/>
  <c r="BA43" i="38"/>
  <c r="BB39" i="38"/>
  <c r="AY21" i="38"/>
  <c r="AY11" i="38"/>
  <c r="BB28" i="37" l="1"/>
  <c r="BB22" i="37"/>
  <c r="BC27" i="37"/>
  <c r="BC49" i="37"/>
  <c r="BD48" i="37"/>
  <c r="BA57" i="38"/>
  <c r="BB53" i="38"/>
  <c r="BN36" i="37"/>
  <c r="BM24" i="38"/>
  <c r="BM28" i="38" s="1"/>
  <c r="BM37" i="37"/>
  <c r="BB46" i="38"/>
  <c r="BB32" i="38" s="1"/>
  <c r="BA50" i="38"/>
  <c r="BM19" i="38"/>
  <c r="BN25" i="37"/>
  <c r="BA36" i="38"/>
  <c r="BA7" i="38"/>
  <c r="AZ11" i="38"/>
  <c r="AZ21" i="38"/>
  <c r="BB43" i="38"/>
  <c r="BC39" i="38"/>
  <c r="BE48" i="37" l="1"/>
  <c r="BD27" i="37"/>
  <c r="BD49" i="37"/>
  <c r="BC22" i="37"/>
  <c r="BC28" i="37"/>
  <c r="BC53" i="38"/>
  <c r="BB57" i="38"/>
  <c r="BO36" i="37"/>
  <c r="BN24" i="38"/>
  <c r="BN28" i="38" s="1"/>
  <c r="BN37" i="37"/>
  <c r="BC46" i="38"/>
  <c r="BC32" i="38" s="1"/>
  <c r="BB50" i="38"/>
  <c r="BO25" i="37"/>
  <c r="BN19" i="38"/>
  <c r="BB36" i="38"/>
  <c r="BB7" i="38"/>
  <c r="BC43" i="38"/>
  <c r="BD39" i="38"/>
  <c r="BA21" i="38"/>
  <c r="BA11" i="38"/>
  <c r="BD22" i="37" l="1"/>
  <c r="BD28" i="37"/>
  <c r="BE49" i="37"/>
  <c r="BF48" i="37"/>
  <c r="BE27" i="37"/>
  <c r="BP36" i="37"/>
  <c r="BO24" i="38"/>
  <c r="BO28" i="38" s="1"/>
  <c r="BO37" i="37"/>
  <c r="BC57" i="38"/>
  <c r="BD53" i="38"/>
  <c r="BD46" i="38"/>
  <c r="BD32" i="38" s="1"/>
  <c r="BC50" i="38"/>
  <c r="BO19" i="38"/>
  <c r="BP25" i="37"/>
  <c r="BC36" i="38"/>
  <c r="BC7" i="38"/>
  <c r="BB21" i="38"/>
  <c r="BB11" i="38"/>
  <c r="BE39" i="38"/>
  <c r="BD43" i="38"/>
  <c r="BG48" i="37" l="1"/>
  <c r="BF27" i="37"/>
  <c r="BF49" i="37"/>
  <c r="BE22" i="37"/>
  <c r="BE28" i="37"/>
  <c r="BE53" i="38"/>
  <c r="BD57" i="38"/>
  <c r="BQ36" i="37"/>
  <c r="BP24" i="38"/>
  <c r="BP28" i="38" s="1"/>
  <c r="BP37" i="37"/>
  <c r="BE46" i="38"/>
  <c r="BD50" i="38"/>
  <c r="BP19" i="38"/>
  <c r="BQ25" i="37"/>
  <c r="BF39" i="38"/>
  <c r="BE43" i="38"/>
  <c r="BC11" i="38"/>
  <c r="BC21" i="38"/>
  <c r="BD36" i="38"/>
  <c r="BD7" i="38"/>
  <c r="BE32" i="38" l="1"/>
  <c r="BF22" i="37"/>
  <c r="BF28" i="37"/>
  <c r="BH48" i="37"/>
  <c r="BG49" i="37"/>
  <c r="BG27" i="37"/>
  <c r="BQ37" i="37"/>
  <c r="BQ24" i="38"/>
  <c r="BQ28" i="38" s="1"/>
  <c r="BR36" i="37"/>
  <c r="BF53" i="38"/>
  <c r="BE57" i="38"/>
  <c r="BE50" i="38"/>
  <c r="BF46" i="38"/>
  <c r="BR25" i="37"/>
  <c r="BQ19" i="38"/>
  <c r="BE36" i="38"/>
  <c r="BE7" i="38"/>
  <c r="BD11" i="38"/>
  <c r="BD21" i="38"/>
  <c r="BG39" i="38"/>
  <c r="BF43" i="38"/>
  <c r="BG22" i="37" l="1"/>
  <c r="BG28" i="37"/>
  <c r="BH49" i="37"/>
  <c r="BI48" i="37"/>
  <c r="BH27" i="37"/>
  <c r="BF32" i="38"/>
  <c r="BG53" i="38"/>
  <c r="BF57" i="38"/>
  <c r="BR24" i="38"/>
  <c r="BR28" i="38" s="1"/>
  <c r="BS36" i="37"/>
  <c r="BR37" i="37"/>
  <c r="BF50" i="38"/>
  <c r="BG46" i="38"/>
  <c r="BG32" i="38" s="1"/>
  <c r="BS25" i="37"/>
  <c r="BR19" i="38"/>
  <c r="BH39" i="38"/>
  <c r="BG43" i="38"/>
  <c r="BF36" i="38"/>
  <c r="BF7" i="38"/>
  <c r="BE21" i="38"/>
  <c r="BE11" i="38"/>
  <c r="BI49" i="37" l="1"/>
  <c r="BJ48" i="37"/>
  <c r="BI27" i="37"/>
  <c r="BH28" i="37"/>
  <c r="BH22" i="37"/>
  <c r="BS24" i="38"/>
  <c r="BS28" i="38" s="1"/>
  <c r="BS37" i="37"/>
  <c r="BT36" i="37"/>
  <c r="BG57" i="38"/>
  <c r="BH53" i="38"/>
  <c r="BG50" i="38"/>
  <c r="BH46" i="38"/>
  <c r="BH32" i="38" s="1"/>
  <c r="BS19" i="38"/>
  <c r="BT25" i="37"/>
  <c r="BF11" i="38"/>
  <c r="BF21" i="38"/>
  <c r="BG36" i="38"/>
  <c r="BG7" i="38"/>
  <c r="BI39" i="38"/>
  <c r="BH43" i="38"/>
  <c r="BK48" i="37" l="1"/>
  <c r="BJ27" i="37"/>
  <c r="BJ49" i="37"/>
  <c r="BI28" i="37"/>
  <c r="BI22" i="37"/>
  <c r="BI53" i="38"/>
  <c r="BH57" i="38"/>
  <c r="BT37" i="37"/>
  <c r="BU36" i="37"/>
  <c r="BT24" i="38"/>
  <c r="BT28" i="38" s="1"/>
  <c r="BH50" i="38"/>
  <c r="BI46" i="38"/>
  <c r="BI32" i="38" s="1"/>
  <c r="BU25" i="37"/>
  <c r="BT19" i="38"/>
  <c r="BJ39" i="38"/>
  <c r="BI43" i="38"/>
  <c r="BH36" i="38"/>
  <c r="BH7" i="38"/>
  <c r="BG11" i="38"/>
  <c r="BG21" i="38"/>
  <c r="BJ28" i="37" l="1"/>
  <c r="BJ22" i="37"/>
  <c r="BL48" i="37"/>
  <c r="BK49" i="37"/>
  <c r="BK27" i="37"/>
  <c r="BV36" i="37"/>
  <c r="BU24" i="38"/>
  <c r="BU28" i="38" s="1"/>
  <c r="BU37" i="37"/>
  <c r="BI57" i="38"/>
  <c r="BJ53" i="38"/>
  <c r="BI50" i="38"/>
  <c r="BJ46" i="38"/>
  <c r="BJ32" i="38" s="1"/>
  <c r="BU19" i="38"/>
  <c r="BV25" i="37"/>
  <c r="BH11" i="38"/>
  <c r="BH21" i="38"/>
  <c r="BI36" i="38"/>
  <c r="BI7" i="38"/>
  <c r="BK39" i="38"/>
  <c r="BJ43" i="38"/>
  <c r="BK22" i="37" l="1"/>
  <c r="BK28" i="37"/>
  <c r="BM48" i="37"/>
  <c r="BL27" i="37"/>
  <c r="BL49" i="37"/>
  <c r="BK53" i="38"/>
  <c r="BJ57" i="38"/>
  <c r="BV37" i="37"/>
  <c r="BV24" i="38"/>
  <c r="BV28" i="38" s="1"/>
  <c r="BW36" i="37"/>
  <c r="BK46" i="38"/>
  <c r="BK32" i="38" s="1"/>
  <c r="BJ50" i="38"/>
  <c r="BW25" i="37"/>
  <c r="BV19" i="38"/>
  <c r="BJ36" i="38"/>
  <c r="BJ7" i="38"/>
  <c r="BL39" i="38"/>
  <c r="BK43" i="38"/>
  <c r="BI11" i="38"/>
  <c r="BI21" i="38"/>
  <c r="BL28" i="37" l="1"/>
  <c r="BL22" i="37"/>
  <c r="BM49" i="37"/>
  <c r="BM27" i="37"/>
  <c r="BN48" i="37"/>
  <c r="BW37" i="37"/>
  <c r="BW24" i="38"/>
  <c r="BW28" i="38" s="1"/>
  <c r="BX36" i="37"/>
  <c r="BL53" i="38"/>
  <c r="BK57" i="38"/>
  <c r="BK50" i="38"/>
  <c r="BL46" i="38"/>
  <c r="BX25" i="37"/>
  <c r="BW19" i="38"/>
  <c r="BK36" i="38"/>
  <c r="BK7" i="38"/>
  <c r="BJ21" i="38"/>
  <c r="BJ11" i="38"/>
  <c r="BM39" i="38"/>
  <c r="BL43" i="38"/>
  <c r="BM22" i="37" l="1"/>
  <c r="BM28" i="37"/>
  <c r="BO48" i="37"/>
  <c r="BN49" i="37"/>
  <c r="BN27" i="37"/>
  <c r="BL57" i="38"/>
  <c r="BM53" i="38"/>
  <c r="BL32" i="38"/>
  <c r="BL7" i="38" s="1"/>
  <c r="BY36" i="37"/>
  <c r="BX24" i="38"/>
  <c r="BX28" i="38" s="1"/>
  <c r="BX37" i="37"/>
  <c r="BM46" i="38"/>
  <c r="BM32" i="38" s="1"/>
  <c r="BL50" i="38"/>
  <c r="BX19" i="38"/>
  <c r="BY25" i="37"/>
  <c r="BL36" i="38"/>
  <c r="BN39" i="38"/>
  <c r="BM43" i="38"/>
  <c r="BK11" i="38"/>
  <c r="BK21" i="38"/>
  <c r="BN22" i="37" l="1"/>
  <c r="BN28" i="37"/>
  <c r="BO49" i="37"/>
  <c r="BP48" i="37"/>
  <c r="BO27" i="37"/>
  <c r="BY24" i="38"/>
  <c r="BY28" i="38" s="1"/>
  <c r="BY37" i="37"/>
  <c r="BM57" i="38"/>
  <c r="BN53" i="38"/>
  <c r="BN46" i="38"/>
  <c r="BM50" i="38"/>
  <c r="BZ25" i="37"/>
  <c r="BY19" i="38"/>
  <c r="BM36" i="38"/>
  <c r="BM7" i="38"/>
  <c r="BL11" i="38"/>
  <c r="BL21" i="38"/>
  <c r="BN43" i="38"/>
  <c r="BO39" i="38"/>
  <c r="BN32" i="38"/>
  <c r="BP27" i="37" l="1"/>
  <c r="BQ48" i="37"/>
  <c r="BP49" i="37"/>
  <c r="BO22" i="37"/>
  <c r="BO28" i="37"/>
  <c r="BO53" i="38"/>
  <c r="BN57" i="38"/>
  <c r="BN50" i="38"/>
  <c r="BO46" i="38"/>
  <c r="BZ22" i="37"/>
  <c r="BZ19" i="38"/>
  <c r="CA25" i="37"/>
  <c r="BP39" i="38"/>
  <c r="BO43" i="38"/>
  <c r="BN36" i="38"/>
  <c r="BN7" i="38"/>
  <c r="BM11" i="38"/>
  <c r="BM21" i="38"/>
  <c r="BR48" i="37" l="1"/>
  <c r="BQ49" i="37"/>
  <c r="BQ27" i="37"/>
  <c r="BP22" i="37"/>
  <c r="BP28" i="37"/>
  <c r="BO32" i="38"/>
  <c r="BP53" i="38"/>
  <c r="BO57" i="38"/>
  <c r="BP46" i="38"/>
  <c r="BP32" i="38" s="1"/>
  <c r="BO50" i="38"/>
  <c r="CA19" i="38"/>
  <c r="CB25" i="37"/>
  <c r="CA22" i="37"/>
  <c r="BO36" i="38"/>
  <c r="BO7" i="38"/>
  <c r="BN21" i="38"/>
  <c r="BN11" i="38"/>
  <c r="BQ39" i="38"/>
  <c r="BP43" i="38"/>
  <c r="BQ22" i="37" l="1"/>
  <c r="BQ28" i="37"/>
  <c r="BR49" i="37"/>
  <c r="BR27" i="37"/>
  <c r="BS48" i="37"/>
  <c r="BP57" i="38"/>
  <c r="BQ53" i="38"/>
  <c r="BQ46" i="38"/>
  <c r="BP50" i="38"/>
  <c r="CB19" i="38"/>
  <c r="CC25" i="37"/>
  <c r="CB22" i="37"/>
  <c r="BO11" i="38"/>
  <c r="BO21" i="38"/>
  <c r="BQ43" i="38"/>
  <c r="BR39" i="38"/>
  <c r="BQ32" i="38"/>
  <c r="BP36" i="38"/>
  <c r="BP7" i="38"/>
  <c r="BR22" i="37" l="1"/>
  <c r="BR28" i="37"/>
  <c r="BT48" i="37"/>
  <c r="BS27" i="37"/>
  <c r="BS49" i="37"/>
  <c r="BR53" i="38"/>
  <c r="BQ57" i="38"/>
  <c r="BQ50" i="38"/>
  <c r="BR46" i="38"/>
  <c r="CD25" i="37"/>
  <c r="CC19" i="38"/>
  <c r="CC22" i="37"/>
  <c r="BP21" i="38"/>
  <c r="BP11" i="38"/>
  <c r="BQ36" i="38"/>
  <c r="BQ7" i="38"/>
  <c r="BS39" i="38"/>
  <c r="BR43" i="38"/>
  <c r="BR32" i="38" l="1"/>
  <c r="BR36" i="38" s="1"/>
  <c r="BS28" i="37"/>
  <c r="BS22" i="37"/>
  <c r="BT49" i="37"/>
  <c r="BU48" i="37"/>
  <c r="BT27" i="37"/>
  <c r="BS53" i="38"/>
  <c r="BR57" i="38"/>
  <c r="BS46" i="38"/>
  <c r="BS32" i="38" s="1"/>
  <c r="BR50" i="38"/>
  <c r="CE25" i="37"/>
  <c r="CD19" i="38"/>
  <c r="CD22" i="37"/>
  <c r="BR7" i="38"/>
  <c r="BS43" i="38"/>
  <c r="BT39" i="38"/>
  <c r="BQ21" i="38"/>
  <c r="BQ11" i="38"/>
  <c r="BU49" i="37" l="1"/>
  <c r="BV48" i="37"/>
  <c r="BU27" i="37"/>
  <c r="BT28" i="37"/>
  <c r="BT22" i="37"/>
  <c r="BS57" i="38"/>
  <c r="BT53" i="38"/>
  <c r="BS50" i="38"/>
  <c r="BT46" i="38"/>
  <c r="BT32" i="38" s="1"/>
  <c r="CE19" i="38"/>
  <c r="CF25" i="37"/>
  <c r="CE22" i="37"/>
  <c r="BS36" i="38"/>
  <c r="BS7" i="38"/>
  <c r="BU39" i="38"/>
  <c r="BT43" i="38"/>
  <c r="BR11" i="38"/>
  <c r="BR21" i="38"/>
  <c r="BW48" i="37" l="1"/>
  <c r="BV27" i="37"/>
  <c r="BV49" i="37"/>
  <c r="BU22" i="37"/>
  <c r="BU28" i="37"/>
  <c r="BU53" i="38"/>
  <c r="BT57" i="38"/>
  <c r="BT50" i="38"/>
  <c r="BU46" i="38"/>
  <c r="BU32" i="38" s="1"/>
  <c r="CG25" i="37"/>
  <c r="CF19" i="38"/>
  <c r="CF22" i="37"/>
  <c r="BV39" i="38"/>
  <c r="BU43" i="38"/>
  <c r="BT36" i="38"/>
  <c r="BT7" i="38"/>
  <c r="BS11" i="38"/>
  <c r="BS21" i="38"/>
  <c r="BV28" i="37" l="1"/>
  <c r="BV22" i="37"/>
  <c r="BW49" i="37"/>
  <c r="BX48" i="37"/>
  <c r="BW27" i="37"/>
  <c r="BV53" i="38"/>
  <c r="BU57" i="38"/>
  <c r="BU50" i="38"/>
  <c r="BV46" i="38"/>
  <c r="CG19" i="38"/>
  <c r="CH25" i="37"/>
  <c r="CG22" i="37"/>
  <c r="BT11" i="38"/>
  <c r="BT21" i="38"/>
  <c r="BW39" i="38"/>
  <c r="BV43" i="38"/>
  <c r="BU36" i="38"/>
  <c r="BU7" i="38"/>
  <c r="BV32" i="38" l="1"/>
  <c r="BV36" i="38" s="1"/>
  <c r="BY48" i="37"/>
  <c r="BX27" i="37"/>
  <c r="BX49" i="37"/>
  <c r="BW22" i="37"/>
  <c r="BW28" i="37"/>
  <c r="BV57" i="38"/>
  <c r="BW53" i="38"/>
  <c r="BV50" i="38"/>
  <c r="BW46" i="38"/>
  <c r="CH19" i="38"/>
  <c r="CI25" i="37"/>
  <c r="CH22" i="37"/>
  <c r="BU11" i="38"/>
  <c r="BU21" i="38"/>
  <c r="BV7" i="38"/>
  <c r="BX39" i="38"/>
  <c r="BW43" i="38"/>
  <c r="BX22" i="37" l="1"/>
  <c r="BX28" i="37"/>
  <c r="BY27" i="37"/>
  <c r="BY49" i="37"/>
  <c r="BX53" i="38"/>
  <c r="BW57" i="38"/>
  <c r="BX46" i="38"/>
  <c r="BW50" i="38"/>
  <c r="BW32" i="38"/>
  <c r="BW36" i="38" s="1"/>
  <c r="CI19" i="38"/>
  <c r="CJ25" i="37"/>
  <c r="CI22" i="37"/>
  <c r="BY39" i="38"/>
  <c r="BX43" i="38"/>
  <c r="BX32" i="38"/>
  <c r="BV21" i="38"/>
  <c r="BV11" i="38"/>
  <c r="BY28" i="37" l="1"/>
  <c r="BY22" i="37"/>
  <c r="BW7" i="38"/>
  <c r="BW21" i="38" s="1"/>
  <c r="BY53" i="38"/>
  <c r="BX57" i="38"/>
  <c r="BX50" i="38"/>
  <c r="BY46" i="38"/>
  <c r="BY32" i="38" s="1"/>
  <c r="CJ19" i="38"/>
  <c r="CJ22" i="37"/>
  <c r="BX36" i="38"/>
  <c r="BX7" i="38"/>
  <c r="BZ39" i="38"/>
  <c r="BY43" i="38"/>
  <c r="BW11" i="38" l="1"/>
  <c r="BY57" i="38"/>
  <c r="BZ53" i="38"/>
  <c r="BZ46" i="38"/>
  <c r="BY50" i="38"/>
  <c r="CK19" i="38"/>
  <c r="CK22" i="37"/>
  <c r="CA39" i="38"/>
  <c r="BZ43" i="38"/>
  <c r="BY36" i="38"/>
  <c r="BY7" i="38"/>
  <c r="BX11" i="38"/>
  <c r="BX21" i="38"/>
  <c r="BZ32" i="38" l="1"/>
  <c r="BZ7" i="38" s="1"/>
  <c r="CA53" i="38"/>
  <c r="BZ57" i="38"/>
  <c r="BZ50" i="38"/>
  <c r="CA46" i="38"/>
  <c r="CL19" i="38"/>
  <c r="CL22" i="37"/>
  <c r="BY11" i="38"/>
  <c r="BY21" i="38"/>
  <c r="BZ36" i="38"/>
  <c r="CB39" i="38"/>
  <c r="CA32" i="38"/>
  <c r="CA43" i="38"/>
  <c r="CB53" i="38" l="1"/>
  <c r="CA57" i="38"/>
  <c r="CB46" i="38"/>
  <c r="CA50" i="38"/>
  <c r="CN25" i="37"/>
  <c r="CM19" i="38"/>
  <c r="CM22" i="37"/>
  <c r="CC39" i="38"/>
  <c r="CB32" i="38"/>
  <c r="CB43" i="38"/>
  <c r="BZ11" i="38"/>
  <c r="BZ21" i="38"/>
  <c r="CA7" i="38"/>
  <c r="CA36" i="38"/>
  <c r="CC53" i="38" l="1"/>
  <c r="CB57" i="38"/>
  <c r="CB50" i="38"/>
  <c r="CC46" i="38"/>
  <c r="CN19" i="38"/>
  <c r="CO25" i="37"/>
  <c r="CN22" i="37"/>
  <c r="CD39" i="38"/>
  <c r="CC43" i="38"/>
  <c r="CA11" i="38"/>
  <c r="CA21" i="38"/>
  <c r="CB36" i="38"/>
  <c r="CB7" i="38"/>
  <c r="CD53" i="38" l="1"/>
  <c r="CC57" i="38"/>
  <c r="CC32" i="38"/>
  <c r="CC7" i="38" s="1"/>
  <c r="CC50" i="38"/>
  <c r="CD46" i="38"/>
  <c r="CD32" i="38" s="1"/>
  <c r="CP25" i="37"/>
  <c r="CO19" i="38"/>
  <c r="CO22" i="37"/>
  <c r="CB11" i="38"/>
  <c r="CB21" i="38"/>
  <c r="CC36" i="38"/>
  <c r="CE39" i="38"/>
  <c r="CD43" i="38"/>
  <c r="CE53" i="38" l="1"/>
  <c r="CD57" i="38"/>
  <c r="CE46" i="38"/>
  <c r="CE32" i="38" s="1"/>
  <c r="CD50" i="38"/>
  <c r="CQ25" i="37"/>
  <c r="CP19" i="38"/>
  <c r="CP22" i="37"/>
  <c r="CF39" i="38"/>
  <c r="CE43" i="38"/>
  <c r="CD36" i="38"/>
  <c r="CD7" i="38"/>
  <c r="CC21" i="38"/>
  <c r="CC11" i="38"/>
  <c r="CE57" i="38" l="1"/>
  <c r="CF53" i="38"/>
  <c r="CE50" i="38"/>
  <c r="CF46" i="38"/>
  <c r="CQ19" i="38"/>
  <c r="CR25" i="37"/>
  <c r="CQ22" i="37"/>
  <c r="CD21" i="38"/>
  <c r="CD11" i="38"/>
  <c r="CE36" i="38"/>
  <c r="CE7" i="38"/>
  <c r="CG39" i="38"/>
  <c r="CF32" i="38"/>
  <c r="CF43" i="38"/>
  <c r="CG53" i="38" l="1"/>
  <c r="CF57" i="38"/>
  <c r="CF50" i="38"/>
  <c r="CG46" i="38"/>
  <c r="CR19" i="38"/>
  <c r="CS25" i="37"/>
  <c r="CR22" i="37"/>
  <c r="CH39" i="38"/>
  <c r="CG32" i="38"/>
  <c r="CG43" i="38"/>
  <c r="CF36" i="38"/>
  <c r="CF7" i="38"/>
  <c r="CE11" i="38"/>
  <c r="CE21" i="38"/>
  <c r="CG57" i="38" l="1"/>
  <c r="CH53" i="38"/>
  <c r="CG50" i="38"/>
  <c r="CH46" i="38"/>
  <c r="CT25" i="37"/>
  <c r="CS19" i="38"/>
  <c r="CS22" i="37"/>
  <c r="CF11" i="38"/>
  <c r="CF21" i="38"/>
  <c r="CI39" i="38"/>
  <c r="CH32" i="38"/>
  <c r="CH43" i="38"/>
  <c r="CG36" i="38"/>
  <c r="CG7" i="38"/>
  <c r="CH57" i="38" l="1"/>
  <c r="CI53" i="38"/>
  <c r="CH50" i="38"/>
  <c r="CI46" i="38"/>
  <c r="CT19" i="38"/>
  <c r="CU25" i="37"/>
  <c r="CT22" i="37"/>
  <c r="CG11" i="38"/>
  <c r="CG21" i="38"/>
  <c r="CI43" i="38"/>
  <c r="CI32" i="38"/>
  <c r="CJ39" i="38"/>
  <c r="CH36" i="38"/>
  <c r="CH7" i="38"/>
  <c r="CI57" i="38" l="1"/>
  <c r="CJ53" i="38"/>
  <c r="CJ46" i="38"/>
  <c r="CI50" i="38"/>
  <c r="CU19" i="38"/>
  <c r="CV25" i="37"/>
  <c r="CU22" i="37"/>
  <c r="CH11" i="38"/>
  <c r="CH21" i="38"/>
  <c r="CK39" i="38"/>
  <c r="CJ43" i="38"/>
  <c r="CI36" i="38"/>
  <c r="CI7" i="38"/>
  <c r="CJ32" i="38" l="1"/>
  <c r="CJ7" i="38" s="1"/>
  <c r="CK53" i="38"/>
  <c r="CJ57" i="38"/>
  <c r="CK46" i="38"/>
  <c r="CK32" i="38" s="1"/>
  <c r="CJ50" i="38"/>
  <c r="CW25" i="37"/>
  <c r="CV19" i="38"/>
  <c r="CV22" i="37"/>
  <c r="CI11" i="38"/>
  <c r="CI21" i="38"/>
  <c r="CJ36" i="38"/>
  <c r="CK43" i="38"/>
  <c r="CL39" i="38"/>
  <c r="CL53" i="38" l="1"/>
  <c r="CK57" i="38"/>
  <c r="CL46" i="38"/>
  <c r="CL32" i="38" s="1"/>
  <c r="CK50" i="38"/>
  <c r="CX25" i="37"/>
  <c r="CY25" i="37" s="1"/>
  <c r="CW19" i="38"/>
  <c r="CW22" i="37"/>
  <c r="CK36" i="38"/>
  <c r="CK7" i="38"/>
  <c r="CM39" i="38"/>
  <c r="CL43" i="38"/>
  <c r="CJ21" i="38"/>
  <c r="CJ11" i="38"/>
  <c r="CM53" i="38" l="1"/>
  <c r="CM32" i="38" s="1"/>
  <c r="CL57" i="38"/>
  <c r="CL50" i="38"/>
  <c r="CM46" i="38"/>
  <c r="CX19" i="38"/>
  <c r="CX22" i="37"/>
  <c r="CL36" i="38"/>
  <c r="CL7" i="38"/>
  <c r="CM43" i="38"/>
  <c r="CN39" i="38"/>
  <c r="CK11" i="38"/>
  <c r="CK21" i="38"/>
  <c r="CN53" i="38" l="1"/>
  <c r="CM57" i="38"/>
  <c r="CN46" i="38"/>
  <c r="CN32" i="38" s="1"/>
  <c r="CM50" i="38"/>
  <c r="CY19" i="38"/>
  <c r="CY22" i="37"/>
  <c r="CO39" i="38"/>
  <c r="CN43" i="38"/>
  <c r="CM36" i="38"/>
  <c r="CM7" i="38"/>
  <c r="CL21" i="38"/>
  <c r="CL11" i="38"/>
  <c r="CN57" i="38" l="1"/>
  <c r="CO53" i="38"/>
  <c r="CN50" i="38"/>
  <c r="CO46" i="38"/>
  <c r="CZ19" i="38"/>
  <c r="CZ22" i="37"/>
  <c r="CM11" i="38"/>
  <c r="CM21" i="38"/>
  <c r="CN36" i="38"/>
  <c r="CN7" i="38"/>
  <c r="CO32" i="38"/>
  <c r="CP39" i="38"/>
  <c r="CO43" i="38"/>
  <c r="CO57" i="38" l="1"/>
  <c r="CP53" i="38"/>
  <c r="CP46" i="38"/>
  <c r="CP32" i="38" s="1"/>
  <c r="CO50" i="38"/>
  <c r="DA19" i="38"/>
  <c r="DA22" i="37"/>
  <c r="CO36" i="38"/>
  <c r="CO7" i="38"/>
  <c r="CQ39" i="38"/>
  <c r="CP43" i="38"/>
  <c r="CN11" i="38"/>
  <c r="CN21" i="38"/>
  <c r="CQ53" i="38" l="1"/>
  <c r="CP57" i="38"/>
  <c r="CQ46" i="38"/>
  <c r="CQ32" i="38" s="1"/>
  <c r="CP50" i="38"/>
  <c r="DB19" i="38"/>
  <c r="DB22" i="37"/>
  <c r="CQ43" i="38"/>
  <c r="CR39" i="38"/>
  <c r="CP36" i="38"/>
  <c r="CP7" i="38"/>
  <c r="CO21" i="38"/>
  <c r="CO11" i="38"/>
  <c r="CR53" i="38" l="1"/>
  <c r="CQ57" i="38"/>
  <c r="CR46" i="38"/>
  <c r="CQ50" i="38"/>
  <c r="DC19" i="38"/>
  <c r="DC22" i="37"/>
  <c r="CP11" i="38"/>
  <c r="CP21" i="38"/>
  <c r="CQ36" i="38"/>
  <c r="CQ7" i="38"/>
  <c r="CS39" i="38"/>
  <c r="CR43" i="38"/>
  <c r="CR32" i="38"/>
  <c r="CS53" i="38" l="1"/>
  <c r="CR57" i="38"/>
  <c r="CS46" i="38"/>
  <c r="CS32" i="38" s="1"/>
  <c r="CR50" i="38"/>
  <c r="DD19" i="38"/>
  <c r="DD22" i="37"/>
  <c r="CQ11" i="38"/>
  <c r="CQ21" i="38"/>
  <c r="CR36" i="38"/>
  <c r="CR7" i="38"/>
  <c r="CT39" i="38"/>
  <c r="CS43" i="38"/>
  <c r="CS57" i="38" l="1"/>
  <c r="CT53" i="38"/>
  <c r="DF19" i="38"/>
  <c r="CS50" i="38"/>
  <c r="CT46" i="38"/>
  <c r="DE19" i="38"/>
  <c r="DE22" i="37"/>
  <c r="CS36" i="38"/>
  <c r="CS7" i="38"/>
  <c r="CU39" i="38"/>
  <c r="CT43" i="38"/>
  <c r="CT32" i="38"/>
  <c r="CR11" i="38"/>
  <c r="CR21" i="38"/>
  <c r="CT57" i="38" l="1"/>
  <c r="CU53" i="38"/>
  <c r="CT50" i="38"/>
  <c r="CU46" i="38"/>
  <c r="CS11" i="38"/>
  <c r="CS21" i="38"/>
  <c r="CT36" i="38"/>
  <c r="CT7" i="38"/>
  <c r="CV39" i="38"/>
  <c r="CU43" i="38"/>
  <c r="CU32" i="38"/>
  <c r="CV53" i="38" l="1"/>
  <c r="CU57" i="38"/>
  <c r="CU50" i="38"/>
  <c r="CV46" i="38"/>
  <c r="CT21" i="38"/>
  <c r="CT11" i="38"/>
  <c r="CU36" i="38"/>
  <c r="CU7" i="38"/>
  <c r="CW39" i="38"/>
  <c r="CV43" i="38"/>
  <c r="CV32" i="38"/>
  <c r="CW53" i="38" l="1"/>
  <c r="CV57" i="38"/>
  <c r="CV50" i="38"/>
  <c r="CW46" i="38"/>
  <c r="CU21" i="38"/>
  <c r="CU11" i="38"/>
  <c r="CV36" i="38"/>
  <c r="CV7" i="38"/>
  <c r="CW43" i="38"/>
  <c r="CX39" i="38"/>
  <c r="CW32" i="38"/>
  <c r="CW57" i="38" l="1"/>
  <c r="CX53" i="38"/>
  <c r="CX46" i="38"/>
  <c r="CW50" i="38"/>
  <c r="CX43" i="38"/>
  <c r="CY39" i="38"/>
  <c r="CV21" i="38"/>
  <c r="CV11" i="38"/>
  <c r="CW36" i="38"/>
  <c r="CW7" i="38"/>
  <c r="CX57" i="38" l="1"/>
  <c r="CY53" i="38"/>
  <c r="CX32" i="38"/>
  <c r="CY46" i="38"/>
  <c r="CX50" i="38"/>
  <c r="CZ39" i="38"/>
  <c r="CY43" i="38"/>
  <c r="CY32" i="38"/>
  <c r="CW11" i="38"/>
  <c r="CW21" i="38"/>
  <c r="CX36" i="38"/>
  <c r="CX7" i="38"/>
  <c r="CY57" i="38" l="1"/>
  <c r="CZ53" i="38"/>
  <c r="CY50" i="38"/>
  <c r="CZ46" i="38"/>
  <c r="CX21" i="38"/>
  <c r="CX11" i="38"/>
  <c r="CY36" i="38"/>
  <c r="CY7" i="38"/>
  <c r="DA39" i="38"/>
  <c r="CZ43" i="38"/>
  <c r="CZ32" i="38"/>
  <c r="DA53" i="38" l="1"/>
  <c r="CZ57" i="38"/>
  <c r="DA46" i="38"/>
  <c r="DA32" i="38" s="1"/>
  <c r="CZ50" i="38"/>
  <c r="CZ36" i="38"/>
  <c r="CZ7" i="38"/>
  <c r="CY21" i="38"/>
  <c r="CY11" i="38"/>
  <c r="DA43" i="38"/>
  <c r="DB39" i="38"/>
  <c r="DA57" i="38" l="1"/>
  <c r="DB53" i="38"/>
  <c r="DA50" i="38"/>
  <c r="DB46" i="38"/>
  <c r="DA36" i="38"/>
  <c r="DA7" i="38"/>
  <c r="CZ21" i="38"/>
  <c r="CZ11" i="38"/>
  <c r="DC39" i="38"/>
  <c r="DB43" i="38"/>
  <c r="DB32" i="38"/>
  <c r="DB57" i="38" l="1"/>
  <c r="DC53" i="38"/>
  <c r="DB50" i="38"/>
  <c r="DC46" i="38"/>
  <c r="DA21" i="38"/>
  <c r="DA11" i="38"/>
  <c r="DB36" i="38"/>
  <c r="DB7" i="38"/>
  <c r="DD39" i="38"/>
  <c r="DC43" i="38"/>
  <c r="DC32" i="38"/>
  <c r="DC57" i="38" l="1"/>
  <c r="DD53" i="38"/>
  <c r="DC50" i="38"/>
  <c r="DD46" i="38"/>
  <c r="DE39" i="38"/>
  <c r="DF39" i="38" s="1"/>
  <c r="DG39" i="38" s="1"/>
  <c r="DD43" i="38"/>
  <c r="DD32" i="38"/>
  <c r="DB11" i="38"/>
  <c r="DB21" i="38"/>
  <c r="DC36" i="38"/>
  <c r="DC7" i="38"/>
  <c r="DG43" i="38" l="1"/>
  <c r="DE53" i="38"/>
  <c r="DD57" i="38"/>
  <c r="DE46" i="38"/>
  <c r="DD50" i="38"/>
  <c r="DF43" i="38"/>
  <c r="DC11" i="38"/>
  <c r="DC21" i="38"/>
  <c r="DD36" i="38"/>
  <c r="DD7" i="38"/>
  <c r="DE43" i="38"/>
  <c r="DE32" i="38"/>
  <c r="DE57" i="38" l="1"/>
  <c r="DF53" i="38"/>
  <c r="DE50" i="38"/>
  <c r="DF46" i="38"/>
  <c r="DE36" i="38"/>
  <c r="DE7" i="38"/>
  <c r="DD11" i="38"/>
  <c r="DD21" i="38"/>
  <c r="DF50" i="38" l="1"/>
  <c r="DG46" i="38"/>
  <c r="DF57" i="38"/>
  <c r="DG53" i="38"/>
  <c r="DG57" i="38" s="1"/>
  <c r="DF32" i="38"/>
  <c r="DE21" i="38"/>
  <c r="DE11" i="38"/>
  <c r="DG50" i="38" l="1"/>
  <c r="DG32" i="38"/>
  <c r="DF36" i="38"/>
  <c r="DF7" i="38"/>
  <c r="DG36" i="38" l="1"/>
  <c r="DG7" i="38"/>
  <c r="DF21" i="38"/>
  <c r="DF11" i="38"/>
  <c r="DG11" i="38" l="1"/>
  <c r="DG21" i="38"/>
</calcChain>
</file>

<file path=xl/comments1.xml><?xml version="1.0" encoding="utf-8"?>
<comments xmlns="http://schemas.openxmlformats.org/spreadsheetml/2006/main">
  <authors>
    <author>A140100</author>
    <author>VimalaDevi</author>
    <author>a08017</author>
    <author>A08017</author>
    <author>A01071</author>
    <author>a04113</author>
    <author>A07096</author>
    <author xml:space="preserve"> </author>
  </authors>
  <commentList>
    <comment ref="DA3" authorId="0">
      <text>
        <r>
          <rPr>
            <b/>
            <sz val="16"/>
            <color indexed="81"/>
            <rFont val="Tahoma"/>
            <family val="2"/>
          </rPr>
          <t>A140100:</t>
        </r>
        <r>
          <rPr>
            <sz val="16"/>
            <color indexed="81"/>
            <rFont val="Tahoma"/>
            <family val="2"/>
          </rPr>
          <t xml:space="preserve">
Based on MFRS 9 calculation</t>
        </r>
      </text>
    </comment>
    <comment ref="D7" authorId="1">
      <text>
        <r>
          <rPr>
            <sz val="10"/>
            <color indexed="81"/>
            <rFont val="Tahoma"/>
            <family val="2"/>
          </rPr>
          <t>MD request to adjust GP 300k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" authorId="1">
      <text>
        <r>
          <rPr>
            <b/>
            <sz val="10"/>
            <color indexed="81"/>
            <rFont val="Tahoma"/>
            <family val="2"/>
          </rPr>
          <t>VimalaDevi:</t>
        </r>
        <r>
          <rPr>
            <sz val="10"/>
            <color indexed="81"/>
            <rFont val="Tahoma"/>
            <family val="2"/>
          </rPr>
          <t xml:space="preserve">
D2 GP + Reversal of GP 700K</t>
        </r>
      </text>
    </comment>
    <comment ref="C9" authorId="2">
      <text>
        <r>
          <rPr>
            <b/>
            <sz val="12"/>
            <color indexed="81"/>
            <rFont val="Tahoma"/>
            <family val="2"/>
          </rPr>
          <t xml:space="preserve">MEP exclude UCEP started 
on Feb 12
A140100 : Moped + Moped i + SBK + SBK i
</t>
        </r>
      </text>
    </comment>
    <comment ref="C10" authorId="0">
      <text>
        <r>
          <rPr>
            <b/>
            <sz val="16"/>
            <color indexed="81"/>
            <rFont val="Tahoma"/>
            <family val="2"/>
          </rPr>
          <t>A140100:</t>
        </r>
        <r>
          <rPr>
            <sz val="16"/>
            <color indexed="81"/>
            <rFont val="Tahoma"/>
            <family val="2"/>
          </rPr>
          <t xml:space="preserve">
A140100 : UCEP + UCEP i + NCEP + NCEP i</t>
        </r>
      </text>
    </comment>
    <comment ref="E14" authorId="3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Coway (52828) + UCEP (13429) D3+ Reversal of coway RM48,121.5, used car RM10743
</t>
        </r>
      </text>
    </comment>
    <comment ref="F14" authorId="3">
      <text>
        <r>
          <rPr>
            <b/>
            <sz val="10"/>
            <color indexed="81"/>
            <rFont val="Tahoma"/>
            <family val="2"/>
          </rPr>
          <t>A08017:</t>
        </r>
        <r>
          <rPr>
            <sz val="10"/>
            <color indexed="81"/>
            <rFont val="Tahoma"/>
            <family val="2"/>
          </rPr>
          <t xml:space="preserve">
Coway &amp; UCEP</t>
        </r>
      </text>
    </comment>
    <comment ref="D15" authorId="3">
      <text>
        <r>
          <rPr>
            <b/>
            <sz val="10"/>
            <color indexed="81"/>
            <rFont val="Tahoma"/>
            <family val="2"/>
          </rPr>
          <t>A08017:</t>
        </r>
        <r>
          <rPr>
            <sz val="10"/>
            <color indexed="81"/>
            <rFont val="Tahoma"/>
            <family val="2"/>
          </rPr>
          <t xml:space="preserve">
T/M Specific Prov Rev - MEP (REPO+INS):80.53 + Specific prov rev - MEP- Insurance: -95.5743365</t>
        </r>
      </text>
    </comment>
    <comment ref="E15" authorId="3">
      <text>
        <r>
          <rPr>
            <b/>
            <sz val="10"/>
            <color indexed="81"/>
            <rFont val="Tahoma"/>
            <family val="2"/>
          </rPr>
          <t>A08017:</t>
        </r>
        <r>
          <rPr>
            <sz val="10"/>
            <color indexed="81"/>
            <rFont val="Tahoma"/>
            <family val="2"/>
          </rPr>
          <t xml:space="preserve">
T/M Specific Prov Rev - MEP (REPO+INS):-48.71 + Specific prov rev - MEP- Insurance: 48.2460704999999</t>
        </r>
      </text>
    </comment>
    <comment ref="F15" authorId="3">
      <text>
        <r>
          <rPr>
            <b/>
            <sz val="10"/>
            <color indexed="81"/>
            <rFont val="Tahoma"/>
            <family val="2"/>
          </rPr>
          <t>A08017:</t>
        </r>
        <r>
          <rPr>
            <sz val="10"/>
            <color indexed="81"/>
            <rFont val="Tahoma"/>
            <family val="2"/>
          </rPr>
          <t xml:space="preserve">
T/M Specific Prov Rev - MEP (REPO+INS):35+ Specific prov rev - MEP- Insurance: -78.1931555999999</t>
        </r>
      </text>
    </comment>
    <comment ref="F19" authorId="3">
      <text>
        <r>
          <rPr>
            <b/>
            <sz val="10"/>
            <color indexed="81"/>
            <rFont val="Tahoma"/>
            <family val="2"/>
          </rPr>
          <t>A08017:</t>
        </r>
        <r>
          <rPr>
            <sz val="10"/>
            <color indexed="81"/>
            <rFont val="Tahoma"/>
            <family val="2"/>
          </rPr>
          <t xml:space="preserve">
D3 Shortfall</t>
        </r>
      </text>
    </comment>
    <comment ref="DA19" authorId="0">
      <text>
        <r>
          <rPr>
            <b/>
            <sz val="11"/>
            <color indexed="81"/>
            <rFont val="Tahoma"/>
            <family val="2"/>
          </rPr>
          <t>A140100:</t>
        </r>
        <r>
          <rPr>
            <sz val="11"/>
            <color indexed="81"/>
            <rFont val="Tahoma"/>
            <family val="2"/>
          </rPr>
          <t xml:space="preserve">
Adjustment &amp; adjusment MFRS9 
</t>
        </r>
      </text>
    </comment>
    <comment ref="DB19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Adjustment </t>
        </r>
      </text>
    </comment>
    <comment ref="DC19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adjustment</t>
        </r>
      </text>
    </comment>
    <comment ref="DD19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adjustment</t>
        </r>
      </text>
    </comment>
    <comment ref="DE19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adjustment</t>
        </r>
      </text>
    </comment>
    <comment ref="DF19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adjustment</t>
        </r>
      </text>
    </comment>
    <comment ref="DG19" authorId="0">
      <text>
        <r>
          <rPr>
            <b/>
            <sz val="9"/>
            <color indexed="81"/>
            <rFont val="Tahoma"/>
            <charset val="1"/>
          </rPr>
          <t>A140100:</t>
        </r>
        <r>
          <rPr>
            <sz val="9"/>
            <color indexed="81"/>
            <rFont val="Tahoma"/>
            <charset val="1"/>
          </rPr>
          <t xml:space="preserve">
adjustment on GEP &amp; PF product)</t>
        </r>
      </text>
    </comment>
    <comment ref="K20" authorId="3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Adj. for EIR impact opening adjustment</t>
        </r>
      </text>
    </comment>
    <comment ref="DA24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MFRS 9 adjustment  - FeB 18 &amp; data patching</t>
        </r>
      </text>
    </comment>
    <comment ref="DB24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data patching</t>
        </r>
      </text>
    </comment>
    <comment ref="DC24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data pacthing
</t>
        </r>
      </text>
    </comment>
    <comment ref="DD24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data patching
</t>
        </r>
      </text>
    </comment>
    <comment ref="DE24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data patching
</t>
        </r>
      </text>
    </comment>
    <comment ref="DF24" authorId="0">
      <text>
        <r>
          <rPr>
            <b/>
            <sz val="9"/>
            <color indexed="81"/>
            <rFont val="Tahoma"/>
            <family val="2"/>
          </rPr>
          <t>A140100:</t>
        </r>
        <r>
          <rPr>
            <sz val="9"/>
            <color indexed="81"/>
            <rFont val="Tahoma"/>
            <family val="2"/>
          </rPr>
          <t xml:space="preserve">
data patching</t>
        </r>
      </text>
    </comment>
    <comment ref="DG24" authorId="0">
      <text>
        <r>
          <rPr>
            <b/>
            <sz val="9"/>
            <color indexed="81"/>
            <rFont val="Tahoma"/>
            <charset val="1"/>
          </rPr>
          <t>A140100:</t>
        </r>
        <r>
          <rPr>
            <sz val="9"/>
            <color indexed="81"/>
            <rFont val="Tahoma"/>
            <charset val="1"/>
          </rPr>
          <t xml:space="preserve">
data patching</t>
        </r>
      </text>
    </comment>
    <comment ref="C25" authorId="4">
      <text>
        <r>
          <rPr>
            <sz val="8"/>
            <color indexed="81"/>
            <rFont val="Tahoma"/>
            <family val="2"/>
          </rPr>
          <t>Bad Debt provision last month minus written off amount</t>
        </r>
      </text>
    </comment>
    <comment ref="AJ34" authorId="5">
      <text>
        <r>
          <rPr>
            <b/>
            <sz val="12"/>
            <color indexed="81"/>
            <rFont val="Tahoma"/>
            <family val="2"/>
          </rPr>
          <t>a04113:</t>
        </r>
        <r>
          <rPr>
            <sz val="12"/>
            <color indexed="81"/>
            <rFont val="Tahoma"/>
            <family val="2"/>
          </rPr>
          <t xml:space="preserve">
AKPK Sheet : Bad Debt amt BJ38</t>
        </r>
      </text>
    </comment>
    <comment ref="D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E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F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G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H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I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J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K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L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M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N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O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P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Q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R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S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T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U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V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W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X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Y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Z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A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B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C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D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E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F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G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H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I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J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K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L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M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N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O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P41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C43" authorId="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In Million</t>
        </r>
      </text>
    </comment>
    <comment ref="D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E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F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G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H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I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J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Mr.Faidzul@9440 from finance after closing </t>
        </r>
      </text>
    </comment>
    <comment ref="K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L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M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N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O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P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Q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R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S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T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U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V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W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X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Y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Z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A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B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C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D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E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F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G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J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K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L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M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N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Ms. Lay hong@9358 from finance after closing </t>
        </r>
      </text>
    </comment>
    <comment ref="AO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  <comment ref="AP53" authorId="6">
      <text>
        <r>
          <rPr>
            <b/>
            <sz val="10"/>
            <color indexed="81"/>
            <rFont val="Tahoma"/>
            <family val="2"/>
          </rPr>
          <t>A07096:</t>
        </r>
        <r>
          <rPr>
            <sz val="10"/>
            <color indexed="81"/>
            <rFont val="Tahoma"/>
            <family val="2"/>
          </rPr>
          <t xml:space="preserve">
Get from Mr.Din@9358 from finance after closing 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Jay Sandin Anak Saga (HQ-CMG-RS)</author>
  </authors>
  <commentList>
    <comment ref="AM28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BOD reported as 1.36%
Receivable=420,823K</t>
        </r>
      </text>
    </comment>
    <comment ref="A37" authorId="1">
      <text>
        <r>
          <rPr>
            <b/>
            <sz val="9"/>
            <color indexed="81"/>
            <rFont val="Tahoma"/>
            <family val="2"/>
          </rPr>
          <t>Total OSP:
GEP Consumer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1">
      <text>
        <r>
          <rPr>
            <b/>
            <sz val="9"/>
            <color indexed="81"/>
            <rFont val="Tahoma"/>
            <family val="2"/>
          </rPr>
          <t>Total OSP:
UCEP+NCEP+MOPED+SUPERBIKE+SME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1">
      <text>
        <r>
          <rPr>
            <sz val="9"/>
            <color indexed="81"/>
            <rFont val="Tahoma"/>
            <family val="2"/>
          </rPr>
          <t xml:space="preserve">Total OSP:
PF + RSTG
</t>
        </r>
      </text>
    </comment>
  </commentList>
</comments>
</file>

<file path=xl/comments3.xml><?xml version="1.0" encoding="utf-8"?>
<comments xmlns="http://schemas.openxmlformats.org/spreadsheetml/2006/main">
  <authors>
    <author>A08940</author>
    <author>A08017</author>
  </authors>
  <commentList>
    <comment ref="BY21" authorId="0">
      <text>
        <r>
          <rPr>
            <b/>
            <sz val="9"/>
            <color indexed="81"/>
            <rFont val="Tahoma"/>
            <family val="2"/>
          </rPr>
          <t>A08940:</t>
        </r>
        <r>
          <rPr>
            <sz val="9"/>
            <color indexed="81"/>
            <rFont val="Tahoma"/>
            <family val="2"/>
          </rPr>
          <t xml:space="preserve">
Actual Amount:
RM16,315,752.16</t>
        </r>
      </text>
    </comment>
    <comment ref="AO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</t>
        </r>
      </text>
    </comment>
    <comment ref="AP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</t>
        </r>
      </text>
    </comment>
    <comment ref="AQ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</t>
        </r>
      </text>
    </comment>
    <comment ref="AR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</t>
        </r>
      </text>
    </comment>
    <comment ref="AS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 &amp; AF</t>
        </r>
      </text>
    </comment>
    <comment ref="AT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AU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AV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AW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AX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AY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AZ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BA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BB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BC32" authorId="1">
      <text>
        <r>
          <rPr>
            <b/>
            <sz val="8"/>
            <color indexed="81"/>
            <rFont val="Tahoma"/>
            <family val="2"/>
          </rPr>
          <t>A08017:</t>
        </r>
        <r>
          <rPr>
            <sz val="8"/>
            <color indexed="81"/>
            <rFont val="Tahoma"/>
            <family val="2"/>
          </rPr>
          <t xml:space="preserve">
excluded GST
</t>
        </r>
      </text>
    </comment>
    <comment ref="BY80" authorId="0">
      <text>
        <r>
          <rPr>
            <b/>
            <sz val="9"/>
            <color indexed="81"/>
            <rFont val="Tahoma"/>
            <family val="2"/>
          </rPr>
          <t>A08940:</t>
        </r>
        <r>
          <rPr>
            <sz val="9"/>
            <color indexed="81"/>
            <rFont val="Tahoma"/>
            <family val="2"/>
          </rPr>
          <t xml:space="preserve">
Actual Amt:
RM33,511,933.50
8940 acct</t>
        </r>
      </text>
    </comment>
  </commentList>
</comments>
</file>

<file path=xl/sharedStrings.xml><?xml version="1.0" encoding="utf-8"?>
<sst xmlns="http://schemas.openxmlformats.org/spreadsheetml/2006/main" count="655" uniqueCount="257">
  <si>
    <t>Total</t>
  </si>
  <si>
    <t>Write off amount</t>
  </si>
  <si>
    <t>CC</t>
  </si>
  <si>
    <t>EP</t>
  </si>
  <si>
    <t>AKPK Declared</t>
  </si>
  <si>
    <t>Description</t>
  </si>
  <si>
    <t>D3+ increment of the month</t>
  </si>
  <si>
    <t>D2 Coverage</t>
  </si>
  <si>
    <t>D2 OSP</t>
  </si>
  <si>
    <t>BD Provision of the month</t>
  </si>
  <si>
    <t>Specific Prov Rev - MEP (REPO+INS)</t>
  </si>
  <si>
    <t>GEP</t>
  </si>
  <si>
    <t>MEP</t>
  </si>
  <si>
    <t>PF</t>
  </si>
  <si>
    <t xml:space="preserve">Total Bad Debt Provision </t>
  </si>
  <si>
    <t>Feb</t>
  </si>
  <si>
    <t>Mar</t>
  </si>
  <si>
    <t>Apr</t>
  </si>
  <si>
    <t>May</t>
  </si>
  <si>
    <t>Write Off Amount</t>
  </si>
  <si>
    <t>D3+ Increament</t>
  </si>
  <si>
    <t xml:space="preserve">D3+ OSP (after AKPK)   </t>
  </si>
  <si>
    <t xml:space="preserve">Total OSP (as of 10th)  </t>
  </si>
  <si>
    <t xml:space="preserve"> Sales (11th-20th)  </t>
  </si>
  <si>
    <t xml:space="preserve">Total OSP (as of 11th-20th)  </t>
  </si>
  <si>
    <t xml:space="preserve">*D3+ NPL Ratio  </t>
  </si>
  <si>
    <t>ALL EP</t>
  </si>
  <si>
    <t>OVERALL</t>
  </si>
  <si>
    <t>Sales (11th - 20th)</t>
  </si>
  <si>
    <t>General
Provision</t>
  </si>
  <si>
    <t>Total Bad Debt Provision</t>
  </si>
  <si>
    <t xml:space="preserve"> Sales (11th-20th) *Actual  </t>
  </si>
  <si>
    <t xml:space="preserve"> Sales (11th-20th)  *Actual</t>
  </si>
  <si>
    <t>AKPK Status</t>
  </si>
  <si>
    <t>Month</t>
  </si>
  <si>
    <t>FY2007</t>
  </si>
  <si>
    <t>FY 2008</t>
  </si>
  <si>
    <t>FY 2009</t>
  </si>
  <si>
    <t>Nov</t>
  </si>
  <si>
    <t>Dec</t>
  </si>
  <si>
    <t>Jan</t>
  </si>
  <si>
    <t>Jun</t>
  </si>
  <si>
    <t>Jul</t>
  </si>
  <si>
    <t>Aug</t>
  </si>
  <si>
    <t>Sep</t>
  </si>
  <si>
    <t>Oct</t>
  </si>
  <si>
    <t>Overall</t>
  </si>
  <si>
    <t>Declared</t>
  </si>
  <si>
    <t>Amount</t>
  </si>
  <si>
    <t>Count</t>
  </si>
  <si>
    <t>Aborted</t>
  </si>
  <si>
    <t>Payment</t>
  </si>
  <si>
    <t>Nett Declared
of the month</t>
  </si>
  <si>
    <t>Total AKPK OSP</t>
  </si>
  <si>
    <t>D3+ Debtor Balance
(Uncollection Report)</t>
  </si>
  <si>
    <t>D3+ Debtor Balance
(After AKPK)</t>
  </si>
  <si>
    <t>Written-off</t>
  </si>
  <si>
    <t>BAD DEBT</t>
  </si>
  <si>
    <t>D3+ OSP (after AKPK)    *(a)</t>
  </si>
  <si>
    <t>Total OSP (as of 10th)  *(b)</t>
  </si>
  <si>
    <t>Total OSP (as of 11th-20th)     *(d)=(b)+(c)</t>
  </si>
  <si>
    <t>*D3+ NPL Ratio    *(a)/(d)</t>
  </si>
  <si>
    <t>AEON</t>
  </si>
  <si>
    <t>Market</t>
  </si>
  <si>
    <t>NPL Ratio</t>
  </si>
  <si>
    <t>Market Share %</t>
  </si>
  <si>
    <t>Sales (11th-20th)   *(c)</t>
  </si>
  <si>
    <t>Outstanding Amount</t>
  </si>
  <si>
    <t>July</t>
  </si>
  <si>
    <t xml:space="preserve">Total Quarterly BD Provision </t>
  </si>
  <si>
    <t>Dec-09</t>
  </si>
  <si>
    <t>Jan-10</t>
  </si>
  <si>
    <t>Feb-10</t>
  </si>
  <si>
    <t>FY09-Q4</t>
  </si>
  <si>
    <t>Mar-10</t>
  </si>
  <si>
    <t>FY2010</t>
  </si>
  <si>
    <t>Year</t>
  </si>
  <si>
    <t>Apr-10</t>
  </si>
  <si>
    <t>May-10</t>
  </si>
  <si>
    <t>FY10-Q1</t>
  </si>
  <si>
    <t>June-10</t>
  </si>
  <si>
    <t>July-10</t>
  </si>
  <si>
    <t>Aug-10</t>
  </si>
  <si>
    <t>FY10-Q2</t>
  </si>
  <si>
    <t>Sep-10</t>
  </si>
  <si>
    <t>Oct-10</t>
  </si>
  <si>
    <t>FY10-Q3</t>
  </si>
  <si>
    <t>Nov-10</t>
  </si>
  <si>
    <t>Dec-10</t>
  </si>
  <si>
    <t>Credit Card</t>
  </si>
  <si>
    <t>Easy Payment</t>
  </si>
  <si>
    <t>PF Restructuring</t>
  </si>
  <si>
    <t>Recoverable amount from MEP insurance claims</t>
  </si>
  <si>
    <t>Recoverable amount UCEP scheme</t>
  </si>
  <si>
    <t>Recoverable amount from Coway recourse scheme</t>
  </si>
  <si>
    <t>AKPK Accounts</t>
  </si>
  <si>
    <t>Adjustment</t>
  </si>
  <si>
    <t>***Impairment Loss started on Mar 10 onwards.</t>
  </si>
  <si>
    <t>***EIR version started on July 10 onwards.</t>
  </si>
  <si>
    <t>Jan-11</t>
  </si>
  <si>
    <t>Feb-11</t>
  </si>
  <si>
    <t>FY10-Q4</t>
  </si>
  <si>
    <t>Mar-11</t>
  </si>
  <si>
    <t>FY 2011</t>
  </si>
  <si>
    <t>FY2011</t>
  </si>
  <si>
    <t>Apr-11</t>
  </si>
  <si>
    <t>May-11</t>
  </si>
  <si>
    <t>FY11-Q1</t>
  </si>
  <si>
    <t>Jun-11</t>
  </si>
  <si>
    <t>Jul-11</t>
  </si>
  <si>
    <t>FY11-Q2</t>
  </si>
  <si>
    <t>Aug-11</t>
  </si>
  <si>
    <t>Sep-11</t>
  </si>
  <si>
    <t>Oct-11</t>
  </si>
  <si>
    <t>Nov-11</t>
  </si>
  <si>
    <t>FY11-Q3</t>
  </si>
  <si>
    <t>Dec-11</t>
  </si>
  <si>
    <t>Jan-12</t>
  </si>
  <si>
    <t>Feb-12</t>
  </si>
  <si>
    <t>FY11-Q4</t>
  </si>
  <si>
    <t>UCEP</t>
  </si>
  <si>
    <t>Mar-12</t>
  </si>
  <si>
    <t>FY2012</t>
  </si>
  <si>
    <t>FY 2012</t>
  </si>
  <si>
    <t>CMG : NPL Ratio (AEON vs Market) &amp; Bad Debt Provision</t>
  </si>
  <si>
    <t>Apr-12</t>
  </si>
  <si>
    <t>CMG : EP+CC NPL &amp; Bad Debt Provision</t>
  </si>
  <si>
    <t>ALL Monthly - AKPK Declared Outstanding Principal Analysis</t>
  </si>
  <si>
    <t>May-12</t>
  </si>
  <si>
    <t>FY12-Q1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</si>
  <si>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</si>
  <si>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</si>
  <si>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</si>
  <si>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</si>
  <si>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</si>
  <si>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</si>
  <si>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</si>
  <si>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</si>
  <si>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</si>
  <si>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SME</t>
  </si>
  <si>
    <t>FY12-Q2</t>
  </si>
  <si>
    <t>FY12-Q3</t>
  </si>
  <si>
    <t>FY12-Q4</t>
  </si>
  <si>
    <t>Q1-12</t>
  </si>
  <si>
    <t>Q2-12</t>
  </si>
  <si>
    <t>Q3-12</t>
  </si>
  <si>
    <t>Q4-12</t>
  </si>
  <si>
    <t>Mar-13</t>
  </si>
  <si>
    <t>Apr-13</t>
  </si>
  <si>
    <t>May-13</t>
  </si>
  <si>
    <t>FY13-Q1</t>
  </si>
  <si>
    <t>Recoverable amount SME scheme</t>
  </si>
  <si>
    <t>Q1-13</t>
  </si>
  <si>
    <t>FY2013</t>
  </si>
  <si>
    <t>Jun-13</t>
  </si>
  <si>
    <t>June</t>
  </si>
  <si>
    <t>Jul-13</t>
  </si>
  <si>
    <t>August</t>
  </si>
  <si>
    <t>Aug-13</t>
  </si>
  <si>
    <t>September</t>
  </si>
  <si>
    <t>FY13-Q2</t>
  </si>
  <si>
    <t>Sep-13</t>
  </si>
  <si>
    <t>October</t>
  </si>
  <si>
    <t>Oct-13</t>
  </si>
  <si>
    <t>Nov-13</t>
  </si>
  <si>
    <t>November</t>
  </si>
  <si>
    <t>December</t>
  </si>
  <si>
    <t>Dec-13</t>
  </si>
  <si>
    <t>FY13-Q3</t>
  </si>
  <si>
    <t>January</t>
  </si>
  <si>
    <t>Jan-14</t>
  </si>
  <si>
    <t>February</t>
  </si>
  <si>
    <t>Feb-14</t>
  </si>
  <si>
    <t>FY2014</t>
  </si>
  <si>
    <t>March</t>
  </si>
  <si>
    <t>Mar-14</t>
  </si>
  <si>
    <t>April</t>
  </si>
  <si>
    <t>Apr-14</t>
  </si>
  <si>
    <t>May-14</t>
  </si>
  <si>
    <t>FY13-Q4</t>
  </si>
  <si>
    <t>FY14-Q1</t>
  </si>
  <si>
    <t>Accrued Revenue * (d)</t>
  </si>
  <si>
    <t>Total OSP (as of 11th-20th)     *(e)=(b)+(c ) + (d)</t>
  </si>
  <si>
    <t>Jun-14</t>
  </si>
  <si>
    <t>Jul-14</t>
  </si>
  <si>
    <t>Aug-14</t>
  </si>
  <si>
    <t>Sep-14</t>
  </si>
  <si>
    <t>FY14-Q2</t>
  </si>
  <si>
    <t>Oct-14</t>
  </si>
  <si>
    <t>Nov-14</t>
  </si>
  <si>
    <t xml:space="preserve">      </t>
  </si>
  <si>
    <t>Jan-15</t>
  </si>
  <si>
    <t>Dec-14</t>
  </si>
  <si>
    <t>Feb-15</t>
  </si>
  <si>
    <t>Mac-15</t>
  </si>
  <si>
    <t>28th Feb closing</t>
  </si>
  <si>
    <t>FY2015</t>
  </si>
  <si>
    <t>Mac</t>
  </si>
  <si>
    <t>Apr-15</t>
  </si>
  <si>
    <t>May-15</t>
  </si>
  <si>
    <t>June-15</t>
  </si>
  <si>
    <t>July-15</t>
  </si>
  <si>
    <t>Aug-15</t>
  </si>
  <si>
    <t>Sept-15</t>
  </si>
  <si>
    <t>Oct-15</t>
  </si>
  <si>
    <t>Nov-15</t>
  </si>
  <si>
    <t>Dec-15</t>
  </si>
  <si>
    <t>Jan-16</t>
  </si>
  <si>
    <t>Feb-16</t>
  </si>
  <si>
    <t>Mar'16</t>
  </si>
  <si>
    <t>FY2016</t>
  </si>
  <si>
    <t>Apr'16</t>
  </si>
  <si>
    <t>May '16</t>
  </si>
  <si>
    <t>June'16</t>
  </si>
  <si>
    <t>July'16</t>
  </si>
  <si>
    <t>Aug'16</t>
  </si>
  <si>
    <t>Sept'16</t>
  </si>
  <si>
    <t>Oct '16</t>
  </si>
  <si>
    <t>Nov '16</t>
  </si>
  <si>
    <t>Dec '16</t>
  </si>
  <si>
    <t>Jan '17</t>
  </si>
  <si>
    <t>Feb'17</t>
  </si>
  <si>
    <t>Mar'17</t>
  </si>
  <si>
    <t>FY14-Q3</t>
  </si>
  <si>
    <t>FY14-Q4</t>
  </si>
  <si>
    <t>FY15-Q1</t>
  </si>
  <si>
    <t>FY15-Q2</t>
  </si>
  <si>
    <t>FY15-Q3</t>
  </si>
  <si>
    <t>FY15-Q4</t>
  </si>
  <si>
    <t>FY16-Q1</t>
  </si>
  <si>
    <t>FY16-Q2</t>
  </si>
  <si>
    <t>FY16-Q3</t>
  </si>
  <si>
    <t>FY16-Q4</t>
  </si>
  <si>
    <t>Apr'17</t>
  </si>
  <si>
    <t>May'17</t>
  </si>
  <si>
    <t>Jun'17</t>
  </si>
  <si>
    <t>July'17</t>
  </si>
  <si>
    <t>Aug'17</t>
  </si>
  <si>
    <t>Sep'17</t>
  </si>
  <si>
    <t>Oct'17</t>
  </si>
  <si>
    <t>Nov'17</t>
  </si>
  <si>
    <t>Jul'17</t>
  </si>
  <si>
    <t>Dec'17</t>
  </si>
  <si>
    <t>Jan'18</t>
  </si>
  <si>
    <t>Feb'18</t>
  </si>
  <si>
    <t>FY2018</t>
  </si>
  <si>
    <t>Mar'18</t>
  </si>
  <si>
    <t>Apr'18</t>
  </si>
  <si>
    <t>May'18</t>
  </si>
  <si>
    <t>FY2017</t>
  </si>
  <si>
    <t>Jun'18</t>
  </si>
  <si>
    <t xml:space="preserve">Adjustment </t>
  </si>
  <si>
    <t>Jul'18</t>
  </si>
  <si>
    <t>Aug'18</t>
  </si>
  <si>
    <t>Sep'18</t>
  </si>
  <si>
    <t>Oct'18</t>
  </si>
  <si>
    <t>Nov'18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</si>
</sst>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#,##0_ "/>
    <numFmt numFmtId="165" formatCode="_(* #,##0_);_(* \(#,##0\);_(* &quot;-&quot;??_);_(@_)"/>
    <numFmt numFmtId="166" formatCode="#,##0.0"/>
    <numFmt numFmtId="167" formatCode="_(* #,##0.00_);_(* \(#,##0.00\);_(* &quot;-&quot;_);_(@_)"/>
    <numFmt numFmtId="168" formatCode="_-* #,##0_-;\-* #,##0_-;_-* &quot;-&quot;_-;_-@_-"/>
    <numFmt numFmtId="169" formatCode="_(* #,##0.000_);_(* \(#,##0.000\);_(* &quot;-&quot;??_);_(@_)"/>
    <numFmt numFmtId="172" formatCode="#,##0.0000_);[Red]\(#,##0.0000\)"/>
  </numFmts>
  <fonts count="7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4"/>
      <name val="Arial"/>
      <family val="2"/>
    </font>
    <font>
      <b/>
      <sz val="20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1"/>
      <color indexed="12"/>
      <name val="Arial"/>
      <family val="2"/>
    </font>
    <font>
      <b/>
      <i/>
      <sz val="11"/>
      <color indexed="12"/>
      <name val="Arial"/>
      <family val="2"/>
    </font>
    <font>
      <i/>
      <sz val="11"/>
      <name val="Arial"/>
      <family val="2"/>
    </font>
    <font>
      <i/>
      <sz val="11"/>
      <color indexed="12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i/>
      <sz val="14"/>
      <color indexed="12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8"/>
      <name val="Arial"/>
      <family val="2"/>
    </font>
    <font>
      <sz val="16"/>
      <name val="Arial"/>
      <family val="2"/>
    </font>
    <font>
      <sz val="16"/>
      <color indexed="12"/>
      <name val="Arial"/>
      <family val="2"/>
    </font>
    <font>
      <b/>
      <sz val="16"/>
      <color indexed="12"/>
      <name val="Arial"/>
      <family val="2"/>
    </font>
    <font>
      <i/>
      <sz val="16"/>
      <name val="Arial"/>
      <family val="2"/>
    </font>
    <font>
      <i/>
      <sz val="16"/>
      <color indexed="12"/>
      <name val="Arial"/>
      <family val="2"/>
    </font>
    <font>
      <b/>
      <i/>
      <sz val="16"/>
      <color indexed="12"/>
      <name val="Arial"/>
      <family val="2"/>
    </font>
    <font>
      <b/>
      <i/>
      <sz val="16"/>
      <name val="Arial"/>
      <family val="2"/>
    </font>
    <font>
      <b/>
      <sz val="25"/>
      <name val="Arial"/>
      <family val="2"/>
    </font>
    <font>
      <b/>
      <sz val="2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6"/>
      <color rgb="FF0000FF"/>
      <name val="Arial"/>
      <family val="2"/>
    </font>
    <font>
      <sz val="16"/>
      <color theme="1" tint="4.9989318521683403E-2"/>
      <name val="Arial"/>
      <family val="2"/>
    </font>
    <font>
      <i/>
      <sz val="16"/>
      <color theme="1" tint="4.9989318521683403E-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3"/>
      <charset val="128"/>
    </font>
    <font>
      <sz val="11"/>
      <name val="ＭＳ Ｐゴシック"/>
      <family val="2"/>
      <charset val="128"/>
    </font>
    <font>
      <sz val="10"/>
      <color theme="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4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6" fillId="0" borderId="0" applyBorder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2" borderId="0" applyNumberFormat="0" applyBorder="0" applyAlignment="0" applyProtection="0"/>
    <xf numFmtId="0" fontId="53" fillId="16" borderId="0" applyNumberFormat="0" applyBorder="0" applyAlignment="0" applyProtection="0"/>
    <xf numFmtId="0" fontId="54" fillId="33" borderId="134" applyNumberFormat="0" applyAlignment="0" applyProtection="0"/>
    <xf numFmtId="0" fontId="55" fillId="34" borderId="135" applyNumberFormat="0" applyAlignment="0" applyProtection="0"/>
    <xf numFmtId="43" fontId="6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6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0" fillId="0" borderId="0" applyFont="0" applyFill="0" applyBorder="0" applyAlignment="0" applyProtection="0"/>
    <xf numFmtId="166" fontId="6" fillId="0" borderId="0" applyFill="0" applyBorder="0" applyAlignment="0" applyProtection="0"/>
    <xf numFmtId="16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ill="0" applyBorder="0" applyAlignment="0" applyProtection="0"/>
    <xf numFmtId="40" fontId="5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17" borderId="0" applyNumberFormat="0" applyBorder="0" applyAlignment="0" applyProtection="0"/>
    <xf numFmtId="0" fontId="58" fillId="0" borderId="136" applyNumberFormat="0" applyFill="0" applyAlignment="0" applyProtection="0"/>
    <xf numFmtId="0" fontId="59" fillId="0" borderId="137" applyNumberFormat="0" applyFill="0" applyAlignment="0" applyProtection="0"/>
    <xf numFmtId="0" fontId="60" fillId="0" borderId="138" applyNumberFormat="0" applyFill="0" applyAlignment="0" applyProtection="0"/>
    <xf numFmtId="0" fontId="60" fillId="0" borderId="0" applyNumberFormat="0" applyFill="0" applyBorder="0" applyAlignment="0" applyProtection="0"/>
    <xf numFmtId="0" fontId="61" fillId="20" borderId="134" applyNumberFormat="0" applyAlignment="0" applyProtection="0"/>
    <xf numFmtId="0" fontId="62" fillId="0" borderId="139" applyNumberFormat="0" applyFill="0" applyAlignment="0" applyProtection="0"/>
    <xf numFmtId="0" fontId="63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0" fillId="0" borderId="0">
      <alignment vertical="center"/>
    </xf>
    <xf numFmtId="0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36" borderId="140" applyNumberFormat="0" applyAlignment="0" applyProtection="0"/>
    <xf numFmtId="0" fontId="64" fillId="33" borderId="141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142" applyNumberFormat="0" applyFill="0" applyAlignment="0" applyProtection="0"/>
    <xf numFmtId="0" fontId="67" fillId="0" borderId="0" applyNumberFormat="0" applyFill="0" applyBorder="0" applyAlignment="0" applyProtection="0"/>
    <xf numFmtId="0" fontId="68" fillId="0" borderId="0"/>
    <xf numFmtId="43" fontId="6" fillId="0" borderId="0" applyFont="0" applyFill="0" applyBorder="0" applyAlignment="0" applyProtection="0"/>
    <xf numFmtId="0" fontId="69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6" fillId="0" borderId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3">
    <xf numFmtId="0" fontId="0" fillId="0" borderId="0" xfId="0"/>
    <xf numFmtId="0" fontId="14" fillId="0" borderId="0" xfId="0" applyFont="1"/>
    <xf numFmtId="0" fontId="15" fillId="0" borderId="0" xfId="0" applyFont="1" applyFill="1"/>
    <xf numFmtId="0" fontId="18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14" fillId="0" borderId="0" xfId="0" applyFont="1" applyFill="1" applyAlignment="1">
      <alignment horizontal="right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/>
    <xf numFmtId="10" fontId="14" fillId="0" borderId="0" xfId="17" applyNumberFormat="1" applyFont="1" applyFill="1" applyBorder="1" applyAlignment="1">
      <alignment horizontal="right" vertical="center"/>
    </xf>
    <xf numFmtId="41" fontId="14" fillId="0" borderId="0" xfId="2" applyFont="1" applyFill="1" applyBorder="1" applyAlignment="1">
      <alignment horizontal="right" vertical="center"/>
    </xf>
    <xf numFmtId="3" fontId="18" fillId="0" borderId="1" xfId="0" applyNumberFormat="1" applyFont="1" applyFill="1" applyBorder="1" applyAlignment="1">
      <alignment vertical="center"/>
    </xf>
    <xf numFmtId="17" fontId="18" fillId="0" borderId="2" xfId="0" applyNumberFormat="1" applyFont="1" applyFill="1" applyBorder="1" applyAlignment="1">
      <alignment horizontal="center" vertical="center"/>
    </xf>
    <xf numFmtId="3" fontId="18" fillId="0" borderId="3" xfId="0" applyNumberFormat="1" applyFont="1" applyFill="1" applyBorder="1" applyAlignment="1">
      <alignment vertical="center"/>
    </xf>
    <xf numFmtId="37" fontId="14" fillId="0" borderId="4" xfId="0" applyNumberFormat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165" fontId="14" fillId="0" borderId="4" xfId="1" applyNumberFormat="1" applyFont="1" applyFill="1" applyBorder="1" applyAlignment="1">
      <alignment horizontal="right" vertical="center"/>
    </xf>
    <xf numFmtId="0" fontId="18" fillId="0" borderId="6" xfId="0" applyFont="1" applyFill="1" applyBorder="1" applyAlignment="1">
      <alignment vertical="center"/>
    </xf>
    <xf numFmtId="165" fontId="14" fillId="0" borderId="7" xfId="1" applyNumberFormat="1" applyFont="1" applyFill="1" applyBorder="1" applyAlignment="1">
      <alignment horizontal="right" vertical="center"/>
    </xf>
    <xf numFmtId="41" fontId="14" fillId="2" borderId="0" xfId="2" applyFont="1" applyFill="1" applyBorder="1" applyAlignment="1">
      <alignment horizontal="right" vertical="center"/>
    </xf>
    <xf numFmtId="10" fontId="14" fillId="2" borderId="0" xfId="17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 applyAlignment="1">
      <alignment vertical="center"/>
    </xf>
    <xf numFmtId="10" fontId="14" fillId="2" borderId="0" xfId="0" applyNumberFormat="1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vertical="center"/>
    </xf>
    <xf numFmtId="10" fontId="14" fillId="2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7" fillId="0" borderId="8" xfId="0" applyNumberFormat="1" applyFont="1" applyFill="1" applyBorder="1" applyAlignment="1">
      <alignment horizontal="center" vertical="center"/>
    </xf>
    <xf numFmtId="41" fontId="20" fillId="3" borderId="9" xfId="2" applyNumberFormat="1" applyFont="1" applyFill="1" applyBorder="1" applyAlignment="1">
      <alignment horizontal="right" vertical="center"/>
    </xf>
    <xf numFmtId="41" fontId="9" fillId="0" borderId="10" xfId="2" applyNumberFormat="1" applyFont="1" applyFill="1" applyBorder="1" applyAlignment="1">
      <alignment horizontal="right" vertical="center"/>
    </xf>
    <xf numFmtId="3" fontId="18" fillId="0" borderId="11" xfId="0" applyNumberFormat="1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41" fontId="20" fillId="2" borderId="13" xfId="2" applyNumberFormat="1" applyFont="1" applyFill="1" applyBorder="1" applyAlignment="1">
      <alignment horizontal="right" vertical="center"/>
    </xf>
    <xf numFmtId="41" fontId="20" fillId="2" borderId="14" xfId="2" applyNumberFormat="1" applyFont="1" applyFill="1" applyBorder="1" applyAlignment="1">
      <alignment horizontal="right" vertical="center"/>
    </xf>
    <xf numFmtId="41" fontId="20" fillId="2" borderId="15" xfId="2" applyNumberFormat="1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41" fontId="23" fillId="2" borderId="16" xfId="2" applyNumberFormat="1" applyFont="1" applyFill="1" applyBorder="1" applyAlignment="1">
      <alignment horizontal="right" vertical="center"/>
    </xf>
    <xf numFmtId="41" fontId="23" fillId="2" borderId="9" xfId="2" applyNumberFormat="1" applyFont="1" applyFill="1" applyBorder="1" applyAlignment="1">
      <alignment horizontal="right" vertical="center"/>
    </xf>
    <xf numFmtId="41" fontId="23" fillId="2" borderId="17" xfId="2" applyNumberFormat="1" applyFont="1" applyFill="1" applyBorder="1" applyAlignment="1">
      <alignment horizontal="right" vertical="center"/>
    </xf>
    <xf numFmtId="0" fontId="21" fillId="2" borderId="18" xfId="0" applyFont="1" applyFill="1" applyBorder="1" applyAlignment="1">
      <alignment vertical="center"/>
    </xf>
    <xf numFmtId="41" fontId="21" fillId="2" borderId="19" xfId="2" applyNumberFormat="1" applyFont="1" applyFill="1" applyBorder="1" applyAlignment="1">
      <alignment horizontal="right" vertical="center"/>
    </xf>
    <xf numFmtId="10" fontId="21" fillId="2" borderId="15" xfId="2" applyNumberFormat="1" applyFont="1" applyFill="1" applyBorder="1" applyAlignment="1">
      <alignment horizontal="right" vertical="center"/>
    </xf>
    <xf numFmtId="41" fontId="20" fillId="3" borderId="16" xfId="2" applyNumberFormat="1" applyFont="1" applyFill="1" applyBorder="1" applyAlignment="1">
      <alignment horizontal="right" vertical="center"/>
    </xf>
    <xf numFmtId="0" fontId="9" fillId="3" borderId="0" xfId="0" applyFont="1" applyFill="1" applyBorder="1" applyAlignment="1">
      <alignment vertical="center"/>
    </xf>
    <xf numFmtId="41" fontId="20" fillId="3" borderId="9" xfId="17" applyNumberFormat="1" applyFont="1" applyFill="1" applyBorder="1" applyAlignment="1">
      <alignment horizontal="right" vertical="center"/>
    </xf>
    <xf numFmtId="41" fontId="20" fillId="3" borderId="13" xfId="2" applyNumberFormat="1" applyFont="1" applyFill="1" applyBorder="1" applyAlignment="1">
      <alignment horizontal="right" vertical="center"/>
    </xf>
    <xf numFmtId="41" fontId="20" fillId="3" borderId="14" xfId="17" applyNumberFormat="1" applyFont="1" applyFill="1" applyBorder="1" applyAlignment="1">
      <alignment horizontal="right" vertical="center"/>
    </xf>
    <xf numFmtId="41" fontId="20" fillId="3" borderId="15" xfId="2" applyNumberFormat="1" applyFont="1" applyFill="1" applyBorder="1" applyAlignment="1">
      <alignment horizontal="right" vertical="center"/>
    </xf>
    <xf numFmtId="0" fontId="22" fillId="3" borderId="0" xfId="0" applyFont="1" applyFill="1" applyBorder="1" applyAlignment="1">
      <alignment vertical="center"/>
    </xf>
    <xf numFmtId="41" fontId="20" fillId="3" borderId="20" xfId="2" applyNumberFormat="1" applyFont="1" applyFill="1" applyBorder="1" applyAlignment="1">
      <alignment horizontal="right" vertical="center"/>
    </xf>
    <xf numFmtId="41" fontId="20" fillId="3" borderId="15" xfId="17" applyNumberFormat="1" applyFont="1" applyFill="1" applyBorder="1" applyAlignment="1">
      <alignment horizontal="right" vertical="center"/>
    </xf>
    <xf numFmtId="41" fontId="9" fillId="0" borderId="9" xfId="17" applyNumberFormat="1" applyFont="1" applyFill="1" applyBorder="1" applyAlignment="1">
      <alignment horizontal="right" vertical="center"/>
    </xf>
    <xf numFmtId="41" fontId="9" fillId="0" borderId="14" xfId="17" applyNumberFormat="1" applyFont="1" applyFill="1" applyBorder="1" applyAlignment="1">
      <alignment horizontal="right" vertical="center"/>
    </xf>
    <xf numFmtId="41" fontId="9" fillId="0" borderId="15" xfId="17" applyNumberFormat="1" applyFont="1" applyFill="1" applyBorder="1" applyAlignment="1">
      <alignment horizontal="right" vertical="center"/>
    </xf>
    <xf numFmtId="10" fontId="21" fillId="4" borderId="21" xfId="2" applyNumberFormat="1" applyFont="1" applyFill="1" applyBorder="1" applyAlignment="1">
      <alignment horizontal="right" vertical="center"/>
    </xf>
    <xf numFmtId="41" fontId="20" fillId="3" borderId="21" xfId="17" applyNumberFormat="1" applyFont="1" applyFill="1" applyBorder="1" applyAlignment="1">
      <alignment horizontal="right" vertical="center"/>
    </xf>
    <xf numFmtId="41" fontId="9" fillId="0" borderId="21" xfId="17" applyNumberFormat="1" applyFont="1" applyFill="1" applyBorder="1" applyAlignment="1">
      <alignment horizontal="right" vertical="center"/>
    </xf>
    <xf numFmtId="10" fontId="21" fillId="4" borderId="22" xfId="2" applyNumberFormat="1" applyFont="1" applyFill="1" applyBorder="1" applyAlignment="1">
      <alignment horizontal="right" vertical="center"/>
    </xf>
    <xf numFmtId="10" fontId="21" fillId="4" borderId="23" xfId="2" applyNumberFormat="1" applyFont="1" applyFill="1" applyBorder="1" applyAlignment="1">
      <alignment horizontal="right" vertical="center"/>
    </xf>
    <xf numFmtId="41" fontId="24" fillId="2" borderId="21" xfId="17" applyNumberFormat="1" applyFont="1" applyFill="1" applyBorder="1" applyAlignment="1">
      <alignment horizontal="right" vertical="center"/>
    </xf>
    <xf numFmtId="41" fontId="24" fillId="3" borderId="21" xfId="17" applyNumberFormat="1" applyFont="1" applyFill="1" applyBorder="1" applyAlignment="1">
      <alignment horizontal="right" vertical="center"/>
    </xf>
    <xf numFmtId="10" fontId="21" fillId="4" borderId="24" xfId="2" applyNumberFormat="1" applyFont="1" applyFill="1" applyBorder="1" applyAlignment="1">
      <alignment horizontal="right" vertical="center"/>
    </xf>
    <xf numFmtId="41" fontId="24" fillId="2" borderId="9" xfId="17" applyNumberFormat="1" applyFont="1" applyFill="1" applyBorder="1" applyAlignment="1">
      <alignment horizontal="right" vertical="center"/>
    </xf>
    <xf numFmtId="0" fontId="18" fillId="0" borderId="0" xfId="0" applyFont="1" applyFill="1"/>
    <xf numFmtId="0" fontId="14" fillId="0" borderId="0" xfId="0" applyFont="1" applyFill="1" applyBorder="1"/>
    <xf numFmtId="0" fontId="18" fillId="0" borderId="0" xfId="0" applyFont="1" applyBorder="1"/>
    <xf numFmtId="0" fontId="14" fillId="0" borderId="0" xfId="0" applyFont="1" applyBorder="1"/>
    <xf numFmtId="0" fontId="18" fillId="0" borderId="0" xfId="0" applyFont="1"/>
    <xf numFmtId="0" fontId="26" fillId="0" borderId="0" xfId="0" applyFont="1"/>
    <xf numFmtId="0" fontId="14" fillId="0" borderId="0" xfId="0" applyFont="1" applyBorder="1" applyAlignment="1">
      <alignment horizontal="center"/>
    </xf>
    <xf numFmtId="17" fontId="7" fillId="0" borderId="25" xfId="0" applyNumberFormat="1" applyFont="1" applyFill="1" applyBorder="1" applyAlignment="1">
      <alignment horizontal="center" vertical="center"/>
    </xf>
    <xf numFmtId="41" fontId="20" fillId="2" borderId="26" xfId="2" applyNumberFormat="1" applyFont="1" applyFill="1" applyBorder="1" applyAlignment="1">
      <alignment horizontal="right" vertical="center"/>
    </xf>
    <xf numFmtId="41" fontId="24" fillId="2" borderId="27" xfId="17" applyNumberFormat="1" applyFont="1" applyFill="1" applyBorder="1" applyAlignment="1">
      <alignment horizontal="right" vertical="center"/>
    </xf>
    <xf numFmtId="41" fontId="20" fillId="2" borderId="28" xfId="2" applyNumberFormat="1" applyFont="1" applyFill="1" applyBorder="1" applyAlignment="1">
      <alignment horizontal="right" vertical="center"/>
    </xf>
    <xf numFmtId="41" fontId="20" fillId="2" borderId="29" xfId="2" applyNumberFormat="1" applyFont="1" applyFill="1" applyBorder="1" applyAlignment="1">
      <alignment horizontal="right" vertical="center"/>
    </xf>
    <xf numFmtId="41" fontId="20" fillId="2" borderId="30" xfId="2" applyNumberFormat="1" applyFont="1" applyFill="1" applyBorder="1" applyAlignment="1">
      <alignment horizontal="right" vertical="center"/>
    </xf>
    <xf numFmtId="41" fontId="24" fillId="2" borderId="31" xfId="17" applyNumberFormat="1" applyFont="1" applyFill="1" applyBorder="1" applyAlignment="1">
      <alignment horizontal="right" vertical="center"/>
    </xf>
    <xf numFmtId="10" fontId="21" fillId="4" borderId="32" xfId="2" applyNumberFormat="1" applyFont="1" applyFill="1" applyBorder="1" applyAlignment="1">
      <alignment horizontal="right" vertical="center"/>
    </xf>
    <xf numFmtId="41" fontId="23" fillId="2" borderId="26" xfId="2" applyNumberFormat="1" applyFont="1" applyFill="1" applyBorder="1" applyAlignment="1">
      <alignment horizontal="right" vertical="center"/>
    </xf>
    <xf numFmtId="41" fontId="23" fillId="2" borderId="27" xfId="2" applyNumberFormat="1" applyFont="1" applyFill="1" applyBorder="1" applyAlignment="1">
      <alignment horizontal="right" vertical="center"/>
    </xf>
    <xf numFmtId="41" fontId="23" fillId="2" borderId="33" xfId="2" applyNumberFormat="1" applyFont="1" applyFill="1" applyBorder="1" applyAlignment="1">
      <alignment horizontal="right" vertical="center"/>
    </xf>
    <xf numFmtId="41" fontId="21" fillId="2" borderId="34" xfId="2" applyNumberFormat="1" applyFont="1" applyFill="1" applyBorder="1" applyAlignment="1">
      <alignment horizontal="right" vertical="center"/>
    </xf>
    <xf numFmtId="10" fontId="21" fillId="2" borderId="30" xfId="2" applyNumberFormat="1" applyFont="1" applyFill="1" applyBorder="1" applyAlignment="1">
      <alignment horizontal="right" vertical="center"/>
    </xf>
    <xf numFmtId="41" fontId="20" fillId="3" borderId="26" xfId="2" applyNumberFormat="1" applyFont="1" applyFill="1" applyBorder="1" applyAlignment="1">
      <alignment horizontal="right" vertical="center"/>
    </xf>
    <xf numFmtId="41" fontId="20" fillId="3" borderId="27" xfId="17" applyNumberFormat="1" applyFont="1" applyFill="1" applyBorder="1" applyAlignment="1">
      <alignment horizontal="right" vertical="center"/>
    </xf>
    <xf numFmtId="41" fontId="20" fillId="3" borderId="28" xfId="2" applyNumberFormat="1" applyFont="1" applyFill="1" applyBorder="1" applyAlignment="1">
      <alignment horizontal="right" vertical="center"/>
    </xf>
    <xf numFmtId="41" fontId="20" fillId="3" borderId="29" xfId="17" applyNumberFormat="1" applyFont="1" applyFill="1" applyBorder="1" applyAlignment="1">
      <alignment horizontal="right" vertical="center"/>
    </xf>
    <xf numFmtId="41" fontId="20" fillId="3" borderId="30" xfId="2" applyNumberFormat="1" applyFont="1" applyFill="1" applyBorder="1" applyAlignment="1">
      <alignment horizontal="right" vertical="center"/>
    </xf>
    <xf numFmtId="10" fontId="21" fillId="4" borderId="35" xfId="2" applyNumberFormat="1" applyFont="1" applyFill="1" applyBorder="1" applyAlignment="1">
      <alignment horizontal="right" vertical="center"/>
    </xf>
    <xf numFmtId="41" fontId="20" fillId="3" borderId="36" xfId="2" applyNumberFormat="1" applyFont="1" applyFill="1" applyBorder="1" applyAlignment="1">
      <alignment horizontal="right" vertical="center"/>
    </xf>
    <xf numFmtId="41" fontId="20" fillId="3" borderId="27" xfId="2" applyNumberFormat="1" applyFont="1" applyFill="1" applyBorder="1" applyAlignment="1">
      <alignment horizontal="right" vertical="center"/>
    </xf>
    <xf numFmtId="41" fontId="20" fillId="3" borderId="30" xfId="17" applyNumberFormat="1" applyFont="1" applyFill="1" applyBorder="1" applyAlignment="1">
      <alignment horizontal="right" vertical="center"/>
    </xf>
    <xf numFmtId="41" fontId="20" fillId="3" borderId="31" xfId="17" applyNumberFormat="1" applyFont="1" applyFill="1" applyBorder="1" applyAlignment="1">
      <alignment horizontal="right" vertical="center"/>
    </xf>
    <xf numFmtId="10" fontId="21" fillId="4" borderId="31" xfId="2" applyNumberFormat="1" applyFont="1" applyFill="1" applyBorder="1" applyAlignment="1">
      <alignment horizontal="right" vertical="center"/>
    </xf>
    <xf numFmtId="41" fontId="9" fillId="0" borderId="27" xfId="17" applyNumberFormat="1" applyFont="1" applyFill="1" applyBorder="1" applyAlignment="1">
      <alignment horizontal="right" vertical="center"/>
    </xf>
    <xf numFmtId="41" fontId="9" fillId="0" borderId="37" xfId="2" applyNumberFormat="1" applyFont="1" applyFill="1" applyBorder="1" applyAlignment="1">
      <alignment horizontal="right" vertical="center"/>
    </xf>
    <xf numFmtId="41" fontId="9" fillId="0" borderId="29" xfId="17" applyNumberFormat="1" applyFont="1" applyFill="1" applyBorder="1" applyAlignment="1">
      <alignment horizontal="right" vertical="center"/>
    </xf>
    <xf numFmtId="41" fontId="9" fillId="0" borderId="30" xfId="17" applyNumberFormat="1" applyFont="1" applyFill="1" applyBorder="1" applyAlignment="1">
      <alignment horizontal="right" vertical="center"/>
    </xf>
    <xf numFmtId="41" fontId="9" fillId="0" borderId="31" xfId="17" applyNumberFormat="1" applyFont="1" applyFill="1" applyBorder="1" applyAlignment="1">
      <alignment horizontal="right" vertical="center"/>
    </xf>
    <xf numFmtId="10" fontId="21" fillId="4" borderId="38" xfId="2" applyNumberFormat="1" applyFont="1" applyFill="1" applyBorder="1" applyAlignment="1">
      <alignment horizontal="right" vertical="center"/>
    </xf>
    <xf numFmtId="10" fontId="21" fillId="4" borderId="39" xfId="2" applyNumberFormat="1" applyFont="1" applyFill="1" applyBorder="1" applyAlignment="1">
      <alignment horizontal="right" vertical="center"/>
    </xf>
    <xf numFmtId="41" fontId="24" fillId="3" borderId="31" xfId="17" applyNumberFormat="1" applyFont="1" applyFill="1" applyBorder="1" applyAlignment="1">
      <alignment horizontal="right" vertical="center"/>
    </xf>
    <xf numFmtId="38" fontId="16" fillId="0" borderId="0" xfId="0" applyNumberFormat="1" applyFont="1" applyAlignment="1">
      <alignment horizontal="right" vertical="center"/>
    </xf>
    <xf numFmtId="38" fontId="14" fillId="0" borderId="0" xfId="0" applyNumberFormat="1" applyFont="1"/>
    <xf numFmtId="38" fontId="30" fillId="0" borderId="0" xfId="0" applyNumberFormat="1" applyFont="1"/>
    <xf numFmtId="0" fontId="23" fillId="2" borderId="40" xfId="0" applyFont="1" applyFill="1" applyBorder="1" applyAlignment="1">
      <alignment vertical="center"/>
    </xf>
    <xf numFmtId="0" fontId="23" fillId="2" borderId="41" xfId="0" applyFont="1" applyFill="1" applyBorder="1" applyAlignment="1">
      <alignment vertical="center"/>
    </xf>
    <xf numFmtId="0" fontId="23" fillId="2" borderId="42" xfId="0" applyFont="1" applyFill="1" applyBorder="1" applyAlignment="1">
      <alignment vertical="center"/>
    </xf>
    <xf numFmtId="3" fontId="27" fillId="0" borderId="0" xfId="0" applyNumberFormat="1" applyFont="1" applyBorder="1"/>
    <xf numFmtId="0" fontId="19" fillId="0" borderId="0" xfId="0" applyFont="1" applyBorder="1"/>
    <xf numFmtId="0" fontId="16" fillId="0" borderId="0" xfId="0" applyFont="1" applyBorder="1"/>
    <xf numFmtId="0" fontId="18" fillId="0" borderId="0" xfId="0" applyFont="1" applyFill="1" applyBorder="1"/>
    <xf numFmtId="0" fontId="19" fillId="0" borderId="0" xfId="0" applyFont="1" applyFill="1" applyBorder="1"/>
    <xf numFmtId="17" fontId="18" fillId="0" borderId="43" xfId="0" applyNumberFormat="1" applyFont="1" applyFill="1" applyBorder="1" applyAlignment="1">
      <alignment horizontal="center" vertical="center"/>
    </xf>
    <xf numFmtId="37" fontId="14" fillId="0" borderId="0" xfId="0" applyNumberFormat="1" applyFont="1" applyFill="1" applyBorder="1" applyAlignment="1">
      <alignment horizontal="right" vertical="center"/>
    </xf>
    <xf numFmtId="165" fontId="14" fillId="0" borderId="0" xfId="1" applyNumberFormat="1" applyFont="1" applyFill="1" applyBorder="1" applyAlignment="1">
      <alignment horizontal="right" vertical="center"/>
    </xf>
    <xf numFmtId="165" fontId="14" fillId="0" borderId="44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41" fontId="20" fillId="2" borderId="36" xfId="2" applyNumberFormat="1" applyFont="1" applyFill="1" applyBorder="1" applyAlignment="1">
      <alignment horizontal="right" vertical="center"/>
    </xf>
    <xf numFmtId="41" fontId="20" fillId="2" borderId="20" xfId="2" applyNumberFormat="1" applyFont="1" applyFill="1" applyBorder="1" applyAlignment="1">
      <alignment horizontal="right" vertical="center"/>
    </xf>
    <xf numFmtId="17" fontId="18" fillId="0" borderId="0" xfId="0" applyNumberFormat="1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left" vertical="center"/>
    </xf>
    <xf numFmtId="38" fontId="32" fillId="3" borderId="26" xfId="17" applyNumberFormat="1" applyFont="1" applyFill="1" applyBorder="1" applyAlignment="1">
      <alignment vertical="center"/>
    </xf>
    <xf numFmtId="38" fontId="32" fillId="3" borderId="16" xfId="17" applyNumberFormat="1" applyFont="1" applyFill="1" applyBorder="1" applyAlignment="1">
      <alignment vertical="center"/>
    </xf>
    <xf numFmtId="0" fontId="33" fillId="3" borderId="7" xfId="0" applyFont="1" applyFill="1" applyBorder="1" applyAlignment="1">
      <alignment vertical="center"/>
    </xf>
    <xf numFmtId="38" fontId="33" fillId="3" borderId="34" xfId="0" applyNumberFormat="1" applyFont="1" applyFill="1" applyBorder="1" applyAlignment="1">
      <alignment vertical="center"/>
    </xf>
    <xf numFmtId="38" fontId="33" fillId="3" borderId="19" xfId="0" applyNumberFormat="1" applyFont="1" applyFill="1" applyBorder="1" applyAlignment="1">
      <alignment vertical="center"/>
    </xf>
    <xf numFmtId="0" fontId="31" fillId="3" borderId="46" xfId="0" applyFont="1" applyFill="1" applyBorder="1" applyAlignment="1">
      <alignment vertical="center"/>
    </xf>
    <xf numFmtId="38" fontId="31" fillId="3" borderId="26" xfId="0" applyNumberFormat="1" applyFont="1" applyFill="1" applyBorder="1" applyAlignment="1">
      <alignment vertical="center"/>
    </xf>
    <xf numFmtId="38" fontId="31" fillId="3" borderId="16" xfId="0" applyNumberFormat="1" applyFont="1" applyFill="1" applyBorder="1" applyAlignment="1">
      <alignment vertical="center"/>
    </xf>
    <xf numFmtId="0" fontId="31" fillId="3" borderId="7" xfId="0" applyFont="1" applyFill="1" applyBorder="1" applyAlignment="1">
      <alignment vertical="center"/>
    </xf>
    <xf numFmtId="10" fontId="34" fillId="3" borderId="34" xfId="17" applyNumberFormat="1" applyFont="1" applyFill="1" applyBorder="1" applyAlignment="1">
      <alignment vertical="center"/>
    </xf>
    <xf numFmtId="10" fontId="34" fillId="3" borderId="19" xfId="17" applyNumberFormat="1" applyFont="1" applyFill="1" applyBorder="1" applyAlignment="1">
      <alignment vertical="center"/>
    </xf>
    <xf numFmtId="3" fontId="35" fillId="3" borderId="46" xfId="0" applyNumberFormat="1" applyFont="1" applyFill="1" applyBorder="1" applyAlignment="1">
      <alignment vertical="center"/>
    </xf>
    <xf numFmtId="41" fontId="35" fillId="3" borderId="26" xfId="17" applyNumberFormat="1" applyFont="1" applyFill="1" applyBorder="1" applyAlignment="1">
      <alignment vertical="center"/>
    </xf>
    <xf numFmtId="41" fontId="35" fillId="3" borderId="16" xfId="17" applyNumberFormat="1" applyFont="1" applyFill="1" applyBorder="1" applyAlignment="1">
      <alignment vertical="center"/>
    </xf>
    <xf numFmtId="0" fontId="36" fillId="3" borderId="47" xfId="0" applyFont="1" applyFill="1" applyBorder="1" applyAlignment="1">
      <alignment vertical="center"/>
    </xf>
    <xf numFmtId="38" fontId="33" fillId="3" borderId="33" xfId="0" applyNumberFormat="1" applyFont="1" applyFill="1" applyBorder="1" applyAlignment="1">
      <alignment vertical="center"/>
    </xf>
    <xf numFmtId="38" fontId="33" fillId="3" borderId="17" xfId="0" applyNumberFormat="1" applyFont="1" applyFill="1" applyBorder="1" applyAlignment="1">
      <alignment vertical="center"/>
    </xf>
    <xf numFmtId="0" fontId="36" fillId="3" borderId="48" xfId="0" applyFont="1" applyFill="1" applyBorder="1" applyAlignment="1">
      <alignment vertical="center"/>
    </xf>
    <xf numFmtId="38" fontId="36" fillId="3" borderId="36" xfId="17" applyNumberFormat="1" applyFont="1" applyFill="1" applyBorder="1" applyAlignment="1">
      <alignment horizontal="right" vertical="center"/>
    </xf>
    <xf numFmtId="38" fontId="36" fillId="3" borderId="20" xfId="17" applyNumberFormat="1" applyFont="1" applyFill="1" applyBorder="1" applyAlignment="1">
      <alignment horizontal="right" vertical="center"/>
    </xf>
    <xf numFmtId="0" fontId="32" fillId="3" borderId="49" xfId="0" applyFont="1" applyFill="1" applyBorder="1" applyAlignment="1">
      <alignment vertical="center"/>
    </xf>
    <xf numFmtId="38" fontId="32" fillId="3" borderId="37" xfId="0" applyNumberFormat="1" applyFont="1" applyFill="1" applyBorder="1" applyAlignment="1">
      <alignment vertical="center"/>
    </xf>
    <xf numFmtId="38" fontId="32" fillId="3" borderId="10" xfId="0" applyNumberFormat="1" applyFont="1" applyFill="1" applyBorder="1" applyAlignment="1">
      <alignment vertical="center"/>
    </xf>
    <xf numFmtId="0" fontId="31" fillId="3" borderId="50" xfId="0" applyFont="1" applyFill="1" applyBorder="1" applyAlignment="1">
      <alignment vertical="center"/>
    </xf>
    <xf numFmtId="38" fontId="32" fillId="3" borderId="29" xfId="17" applyNumberFormat="1" applyFont="1" applyFill="1" applyBorder="1" applyAlignment="1">
      <alignment horizontal="right" vertical="center"/>
    </xf>
    <xf numFmtId="38" fontId="32" fillId="3" borderId="14" xfId="17" applyNumberFormat="1" applyFont="1" applyFill="1" applyBorder="1" applyAlignment="1">
      <alignment horizontal="right" vertical="center"/>
    </xf>
    <xf numFmtId="0" fontId="34" fillId="3" borderId="48" xfId="0" applyFont="1" applyFill="1" applyBorder="1" applyAlignment="1">
      <alignment vertical="center"/>
    </xf>
    <xf numFmtId="38" fontId="35" fillId="3" borderId="36" xfId="17" applyNumberFormat="1" applyFont="1" applyFill="1" applyBorder="1" applyAlignment="1">
      <alignment horizontal="right" vertical="center"/>
    </xf>
    <xf numFmtId="38" fontId="35" fillId="3" borderId="20" xfId="17" applyNumberFormat="1" applyFont="1" applyFill="1" applyBorder="1" applyAlignment="1">
      <alignment horizontal="right" vertical="center"/>
    </xf>
    <xf numFmtId="0" fontId="31" fillId="3" borderId="51" xfId="0" applyFont="1" applyFill="1" applyBorder="1" applyAlignment="1">
      <alignment vertical="center"/>
    </xf>
    <xf numFmtId="38" fontId="32" fillId="3" borderId="27" xfId="17" applyNumberFormat="1" applyFont="1" applyFill="1" applyBorder="1" applyAlignment="1">
      <alignment horizontal="right" vertical="center"/>
    </xf>
    <xf numFmtId="38" fontId="32" fillId="3" borderId="9" xfId="17" applyNumberFormat="1" applyFont="1" applyFill="1" applyBorder="1" applyAlignment="1">
      <alignment horizontal="right" vertical="center"/>
    </xf>
    <xf numFmtId="0" fontId="31" fillId="0" borderId="52" xfId="0" applyFont="1" applyFill="1" applyBorder="1" applyAlignment="1">
      <alignment vertical="center"/>
    </xf>
    <xf numFmtId="38" fontId="31" fillId="0" borderId="26" xfId="0" applyNumberFormat="1" applyFont="1" applyFill="1" applyBorder="1" applyAlignment="1">
      <alignment vertical="center"/>
    </xf>
    <xf numFmtId="38" fontId="31" fillId="0" borderId="16" xfId="0" applyNumberFormat="1" applyFont="1" applyFill="1" applyBorder="1" applyAlignment="1">
      <alignment vertical="center"/>
    </xf>
    <xf numFmtId="0" fontId="31" fillId="0" borderId="53" xfId="0" applyFont="1" applyFill="1" applyBorder="1" applyAlignment="1">
      <alignment vertical="center"/>
    </xf>
    <xf numFmtId="38" fontId="31" fillId="0" borderId="27" xfId="0" applyNumberFormat="1" applyFont="1" applyFill="1" applyBorder="1" applyAlignment="1">
      <alignment vertical="center"/>
    </xf>
    <xf numFmtId="38" fontId="31" fillId="0" borderId="9" xfId="0" applyNumberFormat="1" applyFont="1" applyFill="1" applyBorder="1" applyAlignment="1">
      <alignment vertical="center"/>
    </xf>
    <xf numFmtId="0" fontId="37" fillId="0" borderId="54" xfId="0" applyFont="1" applyFill="1" applyBorder="1" applyAlignment="1">
      <alignment vertical="center"/>
    </xf>
    <xf numFmtId="38" fontId="37" fillId="0" borderId="36" xfId="0" applyNumberFormat="1" applyFont="1" applyFill="1" applyBorder="1" applyAlignment="1">
      <alignment vertical="center"/>
    </xf>
    <xf numFmtId="38" fontId="37" fillId="0" borderId="20" xfId="0" applyNumberFormat="1" applyFont="1" applyFill="1" applyBorder="1" applyAlignment="1">
      <alignment vertical="center"/>
    </xf>
    <xf numFmtId="0" fontId="32" fillId="0" borderId="55" xfId="0" applyFont="1" applyFill="1" applyBorder="1" applyAlignment="1">
      <alignment vertical="center"/>
    </xf>
    <xf numFmtId="38" fontId="32" fillId="0" borderId="28" xfId="0" applyNumberFormat="1" applyFont="1" applyFill="1" applyBorder="1" applyAlignment="1">
      <alignment vertical="center"/>
    </xf>
    <xf numFmtId="38" fontId="32" fillId="0" borderId="13" xfId="0" applyNumberFormat="1" applyFont="1" applyFill="1" applyBorder="1" applyAlignment="1">
      <alignment vertical="center"/>
    </xf>
    <xf numFmtId="0" fontId="31" fillId="0" borderId="56" xfId="0" applyFont="1" applyFill="1" applyBorder="1" applyAlignment="1">
      <alignment vertical="center"/>
    </xf>
    <xf numFmtId="38" fontId="31" fillId="0" borderId="29" xfId="17" applyNumberFormat="1" applyFont="1" applyFill="1" applyBorder="1" applyAlignment="1">
      <alignment horizontal="right" vertical="center"/>
    </xf>
    <xf numFmtId="38" fontId="31" fillId="0" borderId="14" xfId="17" applyNumberFormat="1" applyFont="1" applyFill="1" applyBorder="1" applyAlignment="1">
      <alignment horizontal="right" vertical="center"/>
    </xf>
    <xf numFmtId="0" fontId="35" fillId="0" borderId="54" xfId="0" applyFont="1" applyFill="1" applyBorder="1" applyAlignment="1">
      <alignment vertical="center"/>
    </xf>
    <xf numFmtId="38" fontId="35" fillId="0" borderId="36" xfId="17" applyNumberFormat="1" applyFont="1" applyFill="1" applyBorder="1" applyAlignment="1">
      <alignment horizontal="right" vertical="center"/>
    </xf>
    <xf numFmtId="38" fontId="35" fillId="0" borderId="20" xfId="17" applyNumberFormat="1" applyFont="1" applyFill="1" applyBorder="1" applyAlignment="1">
      <alignment horizontal="right" vertical="center"/>
    </xf>
    <xf numFmtId="0" fontId="31" fillId="0" borderId="57" xfId="0" applyFont="1" applyFill="1" applyBorder="1" applyAlignment="1">
      <alignment vertical="center"/>
    </xf>
    <xf numFmtId="38" fontId="31" fillId="0" borderId="33" xfId="17" applyNumberFormat="1" applyFont="1" applyFill="1" applyBorder="1" applyAlignment="1">
      <alignment horizontal="right" vertical="center"/>
    </xf>
    <xf numFmtId="38" fontId="31" fillId="0" borderId="17" xfId="17" applyNumberFormat="1" applyFont="1" applyFill="1" applyBorder="1" applyAlignment="1">
      <alignment horizontal="right" vertical="center"/>
    </xf>
    <xf numFmtId="0" fontId="34" fillId="0" borderId="54" xfId="0" applyFont="1" applyFill="1" applyBorder="1" applyAlignment="1">
      <alignment vertical="center"/>
    </xf>
    <xf numFmtId="10" fontId="31" fillId="0" borderId="26" xfId="17" applyNumberFormat="1" applyFont="1" applyFill="1" applyBorder="1" applyAlignment="1">
      <alignment horizontal="right" vertical="center"/>
    </xf>
    <xf numFmtId="0" fontId="34" fillId="0" borderId="53" xfId="0" applyFont="1" applyFill="1" applyBorder="1" applyAlignment="1">
      <alignment vertical="center"/>
    </xf>
    <xf numFmtId="3" fontId="31" fillId="0" borderId="27" xfId="17" applyNumberFormat="1" applyFont="1" applyFill="1" applyBorder="1" applyAlignment="1">
      <alignment horizontal="right" vertical="center"/>
    </xf>
    <xf numFmtId="0" fontId="34" fillId="0" borderId="58" xfId="0" applyFont="1" applyFill="1" applyBorder="1" applyAlignment="1">
      <alignment vertical="center"/>
    </xf>
    <xf numFmtId="10" fontId="31" fillId="0" borderId="38" xfId="17" applyNumberFormat="1" applyFont="1" applyFill="1" applyBorder="1" applyAlignment="1">
      <alignment horizontal="right" vertical="center"/>
    </xf>
    <xf numFmtId="0" fontId="31" fillId="0" borderId="59" xfId="0" applyFont="1" applyFill="1" applyBorder="1" applyAlignment="1">
      <alignment vertical="center"/>
    </xf>
    <xf numFmtId="38" fontId="31" fillId="0" borderId="60" xfId="0" applyNumberFormat="1" applyFont="1" applyFill="1" applyBorder="1" applyAlignment="1">
      <alignment vertical="center"/>
    </xf>
    <xf numFmtId="38" fontId="31" fillId="0" borderId="61" xfId="0" applyNumberFormat="1" applyFont="1" applyFill="1" applyBorder="1" applyAlignment="1">
      <alignment vertical="center"/>
    </xf>
    <xf numFmtId="10" fontId="34" fillId="0" borderId="20" xfId="17" applyNumberFormat="1" applyFont="1" applyFill="1" applyBorder="1" applyAlignment="1">
      <alignment horizontal="right" vertical="center"/>
    </xf>
    <xf numFmtId="38" fontId="34" fillId="4" borderId="36" xfId="17" applyNumberFormat="1" applyFont="1" applyFill="1" applyBorder="1" applyAlignment="1">
      <alignment horizontal="right" vertical="center"/>
    </xf>
    <xf numFmtId="10" fontId="34" fillId="0" borderId="36" xfId="17" applyNumberFormat="1" applyFont="1" applyFill="1" applyBorder="1" applyAlignment="1">
      <alignment horizontal="right" vertical="center"/>
    </xf>
    <xf numFmtId="38" fontId="34" fillId="4" borderId="20" xfId="17" applyNumberFormat="1" applyFont="1" applyFill="1" applyBorder="1" applyAlignment="1">
      <alignment horizontal="right" vertical="center"/>
    </xf>
    <xf numFmtId="37" fontId="34" fillId="0" borderId="9" xfId="17" applyNumberFormat="1" applyFont="1" applyFill="1" applyBorder="1" applyAlignment="1">
      <alignment horizontal="right" vertical="center"/>
    </xf>
    <xf numFmtId="38" fontId="34" fillId="4" borderId="27" xfId="17" applyNumberFormat="1" applyFont="1" applyFill="1" applyBorder="1" applyAlignment="1">
      <alignment horizontal="right" vertical="center"/>
    </xf>
    <xf numFmtId="37" fontId="34" fillId="0" borderId="27" xfId="17" applyNumberFormat="1" applyFont="1" applyFill="1" applyBorder="1" applyAlignment="1">
      <alignment horizontal="right" vertical="center"/>
    </xf>
    <xf numFmtId="38" fontId="34" fillId="4" borderId="9" xfId="17" applyNumberFormat="1" applyFont="1" applyFill="1" applyBorder="1" applyAlignment="1">
      <alignment horizontal="right" vertical="center"/>
    </xf>
    <xf numFmtId="0" fontId="34" fillId="0" borderId="62" xfId="0" applyFont="1" applyFill="1" applyBorder="1" applyAlignment="1">
      <alignment vertical="center"/>
    </xf>
    <xf numFmtId="10" fontId="34" fillId="0" borderId="63" xfId="17" applyNumberFormat="1" applyFont="1" applyFill="1" applyBorder="1" applyAlignment="1">
      <alignment horizontal="right" vertical="center"/>
    </xf>
    <xf numFmtId="38" fontId="34" fillId="4" borderId="39" xfId="17" applyNumberFormat="1" applyFont="1" applyFill="1" applyBorder="1" applyAlignment="1">
      <alignment horizontal="right" vertical="center"/>
    </xf>
    <xf numFmtId="10" fontId="34" fillId="0" borderId="39" xfId="17" applyNumberFormat="1" applyFont="1" applyFill="1" applyBorder="1" applyAlignment="1">
      <alignment horizontal="right" vertical="center"/>
    </xf>
    <xf numFmtId="38" fontId="34" fillId="4" borderId="63" xfId="17" applyNumberFormat="1" applyFont="1" applyFill="1" applyBorder="1" applyAlignment="1">
      <alignment horizontal="right" vertical="center"/>
    </xf>
    <xf numFmtId="0" fontId="31" fillId="0" borderId="0" xfId="0" applyFont="1"/>
    <xf numFmtId="38" fontId="31" fillId="0" borderId="0" xfId="0" applyNumberFormat="1" applyFont="1"/>
    <xf numFmtId="0" fontId="34" fillId="0" borderId="0" xfId="0" applyFont="1"/>
    <xf numFmtId="10" fontId="31" fillId="0" borderId="0" xfId="17" applyNumberFormat="1" applyFont="1"/>
    <xf numFmtId="38" fontId="31" fillId="0" borderId="0" xfId="17" applyNumberFormat="1" applyFont="1"/>
    <xf numFmtId="38" fontId="26" fillId="0" borderId="0" xfId="0" applyNumberFormat="1" applyFont="1"/>
    <xf numFmtId="10" fontId="26" fillId="0" borderId="0" xfId="17" applyNumberFormat="1" applyFont="1"/>
    <xf numFmtId="0" fontId="38" fillId="0" borderId="0" xfId="0" applyFont="1" applyFill="1"/>
    <xf numFmtId="0" fontId="37" fillId="0" borderId="0" xfId="0" applyFont="1" applyFill="1" applyBorder="1"/>
    <xf numFmtId="0" fontId="31" fillId="0" borderId="0" xfId="0" applyFont="1" applyFill="1" applyBorder="1"/>
    <xf numFmtId="38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31" fillId="0" borderId="0" xfId="0" applyFont="1" applyBorder="1"/>
    <xf numFmtId="166" fontId="14" fillId="0" borderId="0" xfId="0" applyNumberFormat="1" applyFont="1"/>
    <xf numFmtId="10" fontId="39" fillId="0" borderId="0" xfId="17" applyNumberFormat="1" applyFont="1"/>
    <xf numFmtId="166" fontId="31" fillId="0" borderId="0" xfId="17" applyNumberFormat="1" applyFont="1"/>
    <xf numFmtId="41" fontId="21" fillId="2" borderId="64" xfId="2" applyNumberFormat="1" applyFont="1" applyFill="1" applyBorder="1" applyAlignment="1">
      <alignment horizontal="right" vertical="center"/>
    </xf>
    <xf numFmtId="41" fontId="21" fillId="2" borderId="65" xfId="2" applyNumberFormat="1" applyFont="1" applyFill="1" applyBorder="1" applyAlignment="1">
      <alignment horizontal="right" vertical="center"/>
    </xf>
    <xf numFmtId="38" fontId="31" fillId="11" borderId="16" xfId="0" applyNumberFormat="1" applyFont="1" applyFill="1" applyBorder="1" applyAlignment="1">
      <alignment vertical="center"/>
    </xf>
    <xf numFmtId="165" fontId="31" fillId="0" borderId="0" xfId="1" applyNumberFormat="1" applyFont="1"/>
    <xf numFmtId="165" fontId="14" fillId="0" borderId="0" xfId="1" applyNumberFormat="1" applyFont="1" applyBorder="1"/>
    <xf numFmtId="38" fontId="32" fillId="5" borderId="16" xfId="17" applyNumberFormat="1" applyFont="1" applyFill="1" applyBorder="1" applyAlignment="1">
      <alignment vertical="center"/>
    </xf>
    <xf numFmtId="3" fontId="31" fillId="0" borderId="16" xfId="0" applyNumberFormat="1" applyFont="1" applyFill="1" applyBorder="1" applyAlignment="1">
      <alignment vertical="center"/>
    </xf>
    <xf numFmtId="3" fontId="31" fillId="0" borderId="9" xfId="0" applyNumberFormat="1" applyFont="1" applyFill="1" applyBorder="1" applyAlignment="1">
      <alignment vertical="center"/>
    </xf>
    <xf numFmtId="38" fontId="31" fillId="12" borderId="17" xfId="17" applyNumberFormat="1" applyFont="1" applyFill="1" applyBorder="1" applyAlignment="1">
      <alignment horizontal="right" vertical="center"/>
    </xf>
    <xf numFmtId="3" fontId="31" fillId="0" borderId="61" xfId="0" applyNumberFormat="1" applyFont="1" applyFill="1" applyBorder="1" applyAlignment="1">
      <alignment vertical="center"/>
    </xf>
    <xf numFmtId="10" fontId="34" fillId="12" borderId="36" xfId="17" applyNumberFormat="1" applyFont="1" applyFill="1" applyBorder="1" applyAlignment="1">
      <alignment horizontal="right" vertical="center"/>
    </xf>
    <xf numFmtId="37" fontId="34" fillId="12" borderId="27" xfId="17" applyNumberFormat="1" applyFont="1" applyFill="1" applyBorder="1" applyAlignment="1">
      <alignment horizontal="right" vertical="center"/>
    </xf>
    <xf numFmtId="10" fontId="31" fillId="12" borderId="26" xfId="17" applyNumberFormat="1" applyFont="1" applyFill="1" applyBorder="1" applyAlignment="1">
      <alignment horizontal="right" vertical="center"/>
    </xf>
    <xf numFmtId="3" fontId="31" fillId="12" borderId="27" xfId="17" applyNumberFormat="1" applyFont="1" applyFill="1" applyBorder="1" applyAlignment="1">
      <alignment horizontal="right" vertical="center"/>
    </xf>
    <xf numFmtId="0" fontId="31" fillId="3" borderId="48" xfId="0" applyFont="1" applyFill="1" applyBorder="1" applyAlignment="1">
      <alignment vertical="center"/>
    </xf>
    <xf numFmtId="41" fontId="31" fillId="3" borderId="36" xfId="0" applyNumberFormat="1" applyFont="1" applyFill="1" applyBorder="1" applyAlignment="1">
      <alignment vertical="center"/>
    </xf>
    <xf numFmtId="38" fontId="31" fillId="3" borderId="36" xfId="0" applyNumberFormat="1" applyFont="1" applyFill="1" applyBorder="1" applyAlignment="1">
      <alignment vertical="center"/>
    </xf>
    <xf numFmtId="38" fontId="31" fillId="3" borderId="20" xfId="0" applyNumberFormat="1" applyFont="1" applyFill="1" applyBorder="1" applyAlignment="1">
      <alignment vertical="center"/>
    </xf>
    <xf numFmtId="38" fontId="31" fillId="11" borderId="20" xfId="0" applyNumberFormat="1" applyFont="1" applyFill="1" applyBorder="1" applyAlignment="1">
      <alignment vertical="center"/>
    </xf>
    <xf numFmtId="0" fontId="26" fillId="3" borderId="48" xfId="0" applyFont="1" applyFill="1" applyBorder="1" applyAlignment="1">
      <alignment vertical="center"/>
    </xf>
    <xf numFmtId="38" fontId="26" fillId="3" borderId="36" xfId="0" applyNumberFormat="1" applyFont="1" applyFill="1" applyBorder="1" applyAlignment="1">
      <alignment vertical="center"/>
    </xf>
    <xf numFmtId="38" fontId="26" fillId="3" borderId="20" xfId="0" applyNumberFormat="1" applyFont="1" applyFill="1" applyBorder="1" applyAlignment="1">
      <alignment vertical="center"/>
    </xf>
    <xf numFmtId="41" fontId="31" fillId="13" borderId="36" xfId="0" applyNumberFormat="1" applyFont="1" applyFill="1" applyBorder="1" applyAlignment="1">
      <alignment vertical="center"/>
    </xf>
    <xf numFmtId="38" fontId="31" fillId="13" borderId="36" xfId="0" applyNumberFormat="1" applyFont="1" applyFill="1" applyBorder="1" applyAlignment="1">
      <alignment vertical="center"/>
    </xf>
    <xf numFmtId="38" fontId="31" fillId="13" borderId="20" xfId="0" applyNumberFormat="1" applyFont="1" applyFill="1" applyBorder="1" applyAlignment="1">
      <alignment vertical="center"/>
    </xf>
    <xf numFmtId="41" fontId="31" fillId="3" borderId="27" xfId="0" applyNumberFormat="1" applyFont="1" applyFill="1" applyBorder="1" applyAlignment="1">
      <alignment vertical="center"/>
    </xf>
    <xf numFmtId="38" fontId="31" fillId="3" borderId="27" xfId="0" applyNumberFormat="1" applyFont="1" applyFill="1" applyBorder="1" applyAlignment="1">
      <alignment vertical="center"/>
    </xf>
    <xf numFmtId="38" fontId="31" fillId="3" borderId="9" xfId="0" applyNumberFormat="1" applyFont="1" applyFill="1" applyBorder="1" applyAlignment="1">
      <alignment vertical="center"/>
    </xf>
    <xf numFmtId="38" fontId="31" fillId="11" borderId="9" xfId="0" applyNumberFormat="1" applyFont="1" applyFill="1" applyBorder="1" applyAlignment="1">
      <alignment vertical="center"/>
    </xf>
    <xf numFmtId="0" fontId="31" fillId="3" borderId="66" xfId="0" applyFont="1" applyFill="1" applyBorder="1" applyAlignment="1">
      <alignment vertical="center"/>
    </xf>
    <xf numFmtId="41" fontId="31" fillId="3" borderId="28" xfId="0" applyNumberFormat="1" applyFont="1" applyFill="1" applyBorder="1" applyAlignment="1">
      <alignment vertical="center"/>
    </xf>
    <xf numFmtId="38" fontId="31" fillId="3" borderId="28" xfId="0" applyNumberFormat="1" applyFont="1" applyFill="1" applyBorder="1" applyAlignment="1">
      <alignment vertical="center"/>
    </xf>
    <xf numFmtId="41" fontId="31" fillId="3" borderId="13" xfId="0" applyNumberFormat="1" applyFont="1" applyFill="1" applyBorder="1" applyAlignment="1">
      <alignment vertical="center"/>
    </xf>
    <xf numFmtId="38" fontId="31" fillId="3" borderId="13" xfId="0" applyNumberFormat="1" applyFont="1" applyFill="1" applyBorder="1" applyAlignment="1">
      <alignment vertical="center"/>
    </xf>
    <xf numFmtId="38" fontId="31" fillId="11" borderId="13" xfId="0" applyNumberFormat="1" applyFont="1" applyFill="1" applyBorder="1" applyAlignment="1">
      <alignment vertical="center"/>
    </xf>
    <xf numFmtId="0" fontId="47" fillId="3" borderId="67" xfId="0" applyFont="1" applyFill="1" applyBorder="1" applyAlignment="1">
      <alignment vertical="center"/>
    </xf>
    <xf numFmtId="164" fontId="47" fillId="3" borderId="68" xfId="0" applyNumberFormat="1" applyFont="1" applyFill="1" applyBorder="1" applyAlignment="1">
      <alignment vertical="center"/>
    </xf>
    <xf numFmtId="164" fontId="47" fillId="3" borderId="16" xfId="0" applyNumberFormat="1" applyFont="1" applyFill="1" applyBorder="1" applyAlignment="1">
      <alignment vertical="center"/>
    </xf>
    <xf numFmtId="38" fontId="48" fillId="3" borderId="14" xfId="17" applyNumberFormat="1" applyFont="1" applyFill="1" applyBorder="1" applyAlignment="1">
      <alignment horizontal="right" vertical="center"/>
    </xf>
    <xf numFmtId="38" fontId="49" fillId="3" borderId="20" xfId="17" applyNumberFormat="1" applyFont="1" applyFill="1" applyBorder="1" applyAlignment="1">
      <alignment horizontal="right" vertical="center"/>
    </xf>
    <xf numFmtId="38" fontId="48" fillId="3" borderId="9" xfId="17" applyNumberFormat="1" applyFont="1" applyFill="1" applyBorder="1" applyAlignment="1">
      <alignment horizontal="right" vertical="center"/>
    </xf>
    <xf numFmtId="0" fontId="36" fillId="14" borderId="69" xfId="0" applyFont="1" applyFill="1" applyBorder="1" applyAlignment="1">
      <alignment vertical="center"/>
    </xf>
    <xf numFmtId="10" fontId="36" fillId="14" borderId="31" xfId="17" applyNumberFormat="1" applyFont="1" applyFill="1" applyBorder="1" applyAlignment="1">
      <alignment horizontal="right" vertical="center"/>
    </xf>
    <xf numFmtId="10" fontId="36" fillId="14" borderId="21" xfId="17" applyNumberFormat="1" applyFont="1" applyFill="1" applyBorder="1" applyAlignment="1">
      <alignment horizontal="right" vertical="center"/>
    </xf>
    <xf numFmtId="0" fontId="36" fillId="14" borderId="62" xfId="0" applyFont="1" applyFill="1" applyBorder="1" applyAlignment="1">
      <alignment vertical="center"/>
    </xf>
    <xf numFmtId="10" fontId="14" fillId="0" borderId="0" xfId="17" applyNumberFormat="1" applyFont="1" applyBorder="1"/>
    <xf numFmtId="38" fontId="31" fillId="13" borderId="9" xfId="0" applyNumberFormat="1" applyFont="1" applyFill="1" applyBorder="1" applyAlignment="1">
      <alignment vertical="center"/>
    </xf>
    <xf numFmtId="10" fontId="31" fillId="12" borderId="16" xfId="17" applyNumberFormat="1" applyFont="1" applyFill="1" applyBorder="1" applyAlignment="1">
      <alignment horizontal="right" vertical="center"/>
    </xf>
    <xf numFmtId="3" fontId="31" fillId="12" borderId="9" xfId="17" applyNumberFormat="1" applyFont="1" applyFill="1" applyBorder="1" applyAlignment="1">
      <alignment horizontal="right" vertical="center"/>
    </xf>
    <xf numFmtId="10" fontId="31" fillId="0" borderId="22" xfId="17" applyNumberFormat="1" applyFont="1" applyFill="1" applyBorder="1" applyAlignment="1">
      <alignment horizontal="right" vertical="center"/>
    </xf>
    <xf numFmtId="10" fontId="34" fillId="12" borderId="16" xfId="17" applyNumberFormat="1" applyFont="1" applyFill="1" applyBorder="1" applyAlignment="1">
      <alignment horizontal="right" vertical="center"/>
    </xf>
    <xf numFmtId="37" fontId="34" fillId="12" borderId="9" xfId="17" applyNumberFormat="1" applyFont="1" applyFill="1" applyBorder="1" applyAlignment="1">
      <alignment horizontal="right" vertical="center"/>
    </xf>
    <xf numFmtId="10" fontId="34" fillId="13" borderId="16" xfId="17" applyNumberFormat="1" applyFont="1" applyFill="1" applyBorder="1" applyAlignment="1">
      <alignment horizontal="right" vertical="center"/>
    </xf>
    <xf numFmtId="37" fontId="34" fillId="13" borderId="9" xfId="17" applyNumberFormat="1" applyFont="1" applyFill="1" applyBorder="1" applyAlignment="1">
      <alignment horizontal="right" vertical="center"/>
    </xf>
    <xf numFmtId="10" fontId="34" fillId="13" borderId="63" xfId="17" applyNumberFormat="1" applyFont="1" applyFill="1" applyBorder="1" applyAlignment="1">
      <alignment horizontal="right" vertical="center"/>
    </xf>
    <xf numFmtId="10" fontId="31" fillId="0" borderId="16" xfId="17" applyNumberFormat="1" applyFont="1" applyFill="1" applyBorder="1" applyAlignment="1">
      <alignment horizontal="right" vertical="center"/>
    </xf>
    <xf numFmtId="3" fontId="31" fillId="0" borderId="9" xfId="17" applyNumberFormat="1" applyFont="1" applyFill="1" applyBorder="1" applyAlignment="1">
      <alignment horizontal="right" vertical="center"/>
    </xf>
    <xf numFmtId="10" fontId="34" fillId="0" borderId="16" xfId="17" applyNumberFormat="1" applyFont="1" applyFill="1" applyBorder="1" applyAlignment="1">
      <alignment horizontal="right" vertical="center"/>
    </xf>
    <xf numFmtId="0" fontId="35" fillId="0" borderId="70" xfId="0" applyFont="1" applyFill="1" applyBorder="1" applyAlignment="1">
      <alignment vertical="center"/>
    </xf>
    <xf numFmtId="38" fontId="35" fillId="0" borderId="30" xfId="17" applyNumberFormat="1" applyFont="1" applyFill="1" applyBorder="1" applyAlignment="1">
      <alignment horizontal="right" vertical="center"/>
    </xf>
    <xf numFmtId="38" fontId="35" fillId="0" borderId="15" xfId="17" applyNumberFormat="1" applyFont="1" applyFill="1" applyBorder="1" applyAlignment="1">
      <alignment horizontal="right" vertical="center"/>
    </xf>
    <xf numFmtId="0" fontId="31" fillId="0" borderId="70" xfId="0" applyFont="1" applyFill="1" applyBorder="1" applyAlignment="1">
      <alignment vertical="center"/>
    </xf>
    <xf numFmtId="38" fontId="31" fillId="0" borderId="30" xfId="17" applyNumberFormat="1" applyFont="1" applyFill="1" applyBorder="1" applyAlignment="1">
      <alignment horizontal="right" vertical="center"/>
    </xf>
    <xf numFmtId="38" fontId="31" fillId="0" borderId="15" xfId="17" applyNumberFormat="1" applyFont="1" applyFill="1" applyBorder="1" applyAlignment="1">
      <alignment horizontal="right" vertical="center"/>
    </xf>
    <xf numFmtId="38" fontId="32" fillId="3" borderId="16" xfId="18" applyNumberFormat="1" applyFont="1" applyFill="1" applyBorder="1" applyAlignment="1">
      <alignment vertical="center"/>
    </xf>
    <xf numFmtId="10" fontId="34" fillId="3" borderId="19" xfId="18" applyNumberFormat="1" applyFont="1" applyFill="1" applyBorder="1" applyAlignment="1">
      <alignment vertical="center"/>
    </xf>
    <xf numFmtId="41" fontId="35" fillId="3" borderId="16" xfId="18" applyNumberFormat="1" applyFont="1" applyFill="1" applyBorder="1" applyAlignment="1">
      <alignment vertical="center"/>
    </xf>
    <xf numFmtId="38" fontId="36" fillId="3" borderId="20" xfId="18" applyNumberFormat="1" applyFont="1" applyFill="1" applyBorder="1" applyAlignment="1">
      <alignment horizontal="right" vertical="center"/>
    </xf>
    <xf numFmtId="10" fontId="36" fillId="14" borderId="21" xfId="18" applyNumberFormat="1" applyFont="1" applyFill="1" applyBorder="1" applyAlignment="1">
      <alignment horizontal="right" vertical="center"/>
    </xf>
    <xf numFmtId="38" fontId="48" fillId="3" borderId="14" xfId="18" applyNumberFormat="1" applyFont="1" applyFill="1" applyBorder="1" applyAlignment="1">
      <alignment horizontal="right" vertical="center"/>
    </xf>
    <xf numFmtId="38" fontId="49" fillId="3" borderId="20" xfId="18" applyNumberFormat="1" applyFont="1" applyFill="1" applyBorder="1" applyAlignment="1">
      <alignment horizontal="right" vertical="center"/>
    </xf>
    <xf numFmtId="38" fontId="48" fillId="3" borderId="9" xfId="18" applyNumberFormat="1" applyFont="1" applyFill="1" applyBorder="1" applyAlignment="1">
      <alignment horizontal="right" vertical="center"/>
    </xf>
    <xf numFmtId="38" fontId="31" fillId="0" borderId="14" xfId="18" applyNumberFormat="1" applyFont="1" applyFill="1" applyBorder="1" applyAlignment="1">
      <alignment horizontal="right" vertical="center"/>
    </xf>
    <xf numFmtId="38" fontId="35" fillId="0" borderId="20" xfId="18" applyNumberFormat="1" applyFont="1" applyFill="1" applyBorder="1" applyAlignment="1">
      <alignment horizontal="right" vertical="center"/>
    </xf>
    <xf numFmtId="38" fontId="31" fillId="0" borderId="15" xfId="18" applyNumberFormat="1" applyFont="1" applyFill="1" applyBorder="1" applyAlignment="1">
      <alignment horizontal="right" vertical="center"/>
    </xf>
    <xf numFmtId="38" fontId="31" fillId="0" borderId="17" xfId="18" applyNumberFormat="1" applyFont="1" applyFill="1" applyBorder="1" applyAlignment="1">
      <alignment horizontal="right" vertical="center"/>
    </xf>
    <xf numFmtId="38" fontId="35" fillId="0" borderId="15" xfId="18" applyNumberFormat="1" applyFont="1" applyFill="1" applyBorder="1" applyAlignment="1">
      <alignment horizontal="right" vertical="center"/>
    </xf>
    <xf numFmtId="165" fontId="14" fillId="0" borderId="0" xfId="3" applyNumberFormat="1" applyFont="1" applyBorder="1"/>
    <xf numFmtId="0" fontId="26" fillId="0" borderId="0" xfId="0" applyFont="1" applyProtection="1"/>
    <xf numFmtId="0" fontId="0" fillId="0" borderId="0" xfId="0" applyAlignment="1" applyProtection="1"/>
    <xf numFmtId="0" fontId="0" fillId="0" borderId="0" xfId="0" applyProtection="1"/>
    <xf numFmtId="41" fontId="0" fillId="0" borderId="0" xfId="0" applyNumberFormat="1" applyAlignment="1" applyProtection="1">
      <alignment horizontal="right"/>
    </xf>
    <xf numFmtId="0" fontId="9" fillId="0" borderId="0" xfId="0" applyFont="1" applyProtection="1"/>
    <xf numFmtId="0" fontId="24" fillId="0" borderId="0" xfId="0" applyFont="1" applyProtection="1"/>
    <xf numFmtId="0" fontId="20" fillId="0" borderId="0" xfId="0" applyFont="1" applyFill="1" applyProtection="1"/>
    <xf numFmtId="4" fontId="9" fillId="0" borderId="0" xfId="0" applyNumberFormat="1" applyFont="1" applyAlignment="1" applyProtection="1">
      <alignment horizontal="right"/>
    </xf>
    <xf numFmtId="3" fontId="9" fillId="0" borderId="0" xfId="0" applyNumberFormat="1" applyFont="1" applyAlignment="1" applyProtection="1">
      <alignment horizontal="right"/>
    </xf>
    <xf numFmtId="4" fontId="20" fillId="0" borderId="0" xfId="0" applyNumberFormat="1" applyFont="1" applyAlignment="1" applyProtection="1">
      <alignment horizontal="right"/>
    </xf>
    <xf numFmtId="3" fontId="20" fillId="0" borderId="0" xfId="0" applyNumberFormat="1" applyFont="1" applyAlignment="1" applyProtection="1">
      <alignment horizontal="right"/>
    </xf>
    <xf numFmtId="4" fontId="20" fillId="0" borderId="0" xfId="0" applyNumberFormat="1" applyFont="1" applyFill="1" applyAlignment="1" applyProtection="1">
      <alignment horizontal="right"/>
    </xf>
    <xf numFmtId="3" fontId="20" fillId="0" borderId="0" xfId="0" applyNumberFormat="1" applyFont="1" applyFill="1" applyAlignment="1" applyProtection="1">
      <alignment horizontal="right"/>
    </xf>
    <xf numFmtId="4" fontId="24" fillId="0" borderId="0" xfId="0" applyNumberFormat="1" applyFont="1" applyAlignment="1" applyProtection="1">
      <alignment horizontal="right"/>
    </xf>
    <xf numFmtId="0" fontId="20" fillId="0" borderId="0" xfId="0" applyFont="1" applyProtection="1"/>
    <xf numFmtId="2" fontId="24" fillId="0" borderId="0" xfId="0" applyNumberFormat="1" applyFont="1" applyProtection="1"/>
    <xf numFmtId="4" fontId="24" fillId="0" borderId="0" xfId="0" applyNumberFormat="1" applyFont="1" applyProtection="1"/>
    <xf numFmtId="38" fontId="26" fillId="0" borderId="31" xfId="0" quotePrefix="1" applyNumberFormat="1" applyFont="1" applyFill="1" applyBorder="1" applyAlignment="1">
      <alignment horizontal="center" vertical="center" wrapText="1"/>
    </xf>
    <xf numFmtId="38" fontId="26" fillId="0" borderId="21" xfId="0" quotePrefix="1" applyNumberFormat="1" applyFont="1" applyFill="1" applyBorder="1" applyAlignment="1">
      <alignment horizontal="center" vertical="center" wrapText="1"/>
    </xf>
    <xf numFmtId="1" fontId="14" fillId="0" borderId="0" xfId="0" applyNumberFormat="1" applyFont="1"/>
    <xf numFmtId="10" fontId="21" fillId="2" borderId="15" xfId="17" applyNumberFormat="1" applyFont="1" applyFill="1" applyBorder="1" applyAlignment="1">
      <alignment horizontal="right" vertical="center"/>
    </xf>
    <xf numFmtId="10" fontId="34" fillId="12" borderId="63" xfId="17" applyNumberFormat="1" applyFont="1" applyFill="1" applyBorder="1" applyAlignment="1">
      <alignment horizontal="right" vertical="center"/>
    </xf>
    <xf numFmtId="165" fontId="26" fillId="0" borderId="0" xfId="1" applyNumberFormat="1" applyFont="1" applyFill="1" applyBorder="1" applyAlignment="1">
      <alignment horizontal="center"/>
    </xf>
    <xf numFmtId="3" fontId="35" fillId="3" borderId="4" xfId="0" applyNumberFormat="1" applyFont="1" applyFill="1" applyBorder="1" applyAlignment="1">
      <alignment vertical="center"/>
    </xf>
    <xf numFmtId="41" fontId="35" fillId="3" borderId="30" xfId="17" applyNumberFormat="1" applyFont="1" applyFill="1" applyBorder="1" applyAlignment="1">
      <alignment vertical="center"/>
    </xf>
    <xf numFmtId="41" fontId="35" fillId="3" borderId="15" xfId="17" applyNumberFormat="1" applyFont="1" applyFill="1" applyBorder="1" applyAlignment="1">
      <alignment vertical="center"/>
    </xf>
    <xf numFmtId="41" fontId="35" fillId="3" borderId="15" xfId="18" applyNumberFormat="1" applyFont="1" applyFill="1" applyBorder="1" applyAlignment="1">
      <alignment vertical="center"/>
    </xf>
    <xf numFmtId="38" fontId="26" fillId="14" borderId="21" xfId="0" quotePrefix="1" applyNumberFormat="1" applyFont="1" applyFill="1" applyBorder="1" applyAlignment="1">
      <alignment horizontal="center" vertical="center" wrapText="1"/>
    </xf>
    <xf numFmtId="43" fontId="24" fillId="0" borderId="0" xfId="1" applyFont="1" applyProtection="1"/>
    <xf numFmtId="3" fontId="14" fillId="0" borderId="0" xfId="0" applyNumberFormat="1" applyFont="1" applyBorder="1"/>
    <xf numFmtId="4" fontId="9" fillId="0" borderId="61" xfId="1" applyNumberFormat="1" applyFont="1" applyBorder="1" applyAlignment="1" applyProtection="1">
      <alignment horizontal="right" vertical="center"/>
    </xf>
    <xf numFmtId="4" fontId="9" fillId="0" borderId="59" xfId="1" applyNumberFormat="1" applyFont="1" applyBorder="1" applyAlignment="1" applyProtection="1">
      <alignment horizontal="right" vertical="center"/>
    </xf>
    <xf numFmtId="4" fontId="9" fillId="0" borderId="93" xfId="1" applyNumberFormat="1" applyFont="1" applyBorder="1" applyAlignment="1" applyProtection="1">
      <alignment horizontal="right" vertical="center"/>
    </xf>
    <xf numFmtId="4" fontId="9" fillId="0" borderId="92" xfId="1" applyNumberFormat="1" applyFont="1" applyBorder="1" applyAlignment="1" applyProtection="1">
      <alignment horizontal="right" vertical="center"/>
    </xf>
    <xf numFmtId="4" fontId="9" fillId="0" borderId="94" xfId="1" applyNumberFormat="1" applyFont="1" applyBorder="1" applyAlignment="1" applyProtection="1">
      <alignment horizontal="right" vertical="center"/>
    </xf>
    <xf numFmtId="4" fontId="9" fillId="0" borderId="95" xfId="1" applyNumberFormat="1" applyFont="1" applyBorder="1" applyAlignment="1" applyProtection="1">
      <alignment horizontal="right" vertical="center"/>
    </xf>
    <xf numFmtId="3" fontId="9" fillId="0" borderId="63" xfId="1" applyNumberFormat="1" applyFont="1" applyBorder="1" applyAlignment="1" applyProtection="1">
      <alignment horizontal="right" vertical="center"/>
    </xf>
    <xf numFmtId="3" fontId="9" fillId="0" borderId="62" xfId="1" applyNumberFormat="1" applyFont="1" applyBorder="1" applyAlignment="1" applyProtection="1">
      <alignment horizontal="right" vertical="center"/>
    </xf>
    <xf numFmtId="3" fontId="9" fillId="0" borderId="97" xfId="1" applyNumberFormat="1" applyFont="1" applyBorder="1" applyAlignment="1" applyProtection="1">
      <alignment horizontal="right" vertical="center"/>
    </xf>
    <xf numFmtId="3" fontId="9" fillId="0" borderId="96" xfId="1" applyNumberFormat="1" applyFont="1" applyBorder="1" applyAlignment="1" applyProtection="1">
      <alignment horizontal="right" vertical="center"/>
    </xf>
    <xf numFmtId="3" fontId="9" fillId="0" borderId="98" xfId="1" applyNumberFormat="1" applyFont="1" applyBorder="1" applyAlignment="1" applyProtection="1">
      <alignment horizontal="right" vertical="center"/>
    </xf>
    <xf numFmtId="3" fontId="9" fillId="0" borderId="99" xfId="1" applyNumberFormat="1" applyFont="1" applyBorder="1" applyAlignment="1" applyProtection="1">
      <alignment horizontal="right" vertical="center"/>
    </xf>
    <xf numFmtId="4" fontId="9" fillId="0" borderId="20" xfId="1" applyNumberFormat="1" applyFont="1" applyBorder="1" applyAlignment="1" applyProtection="1">
      <alignment horizontal="right" vertical="center"/>
    </xf>
    <xf numFmtId="4" fontId="9" fillId="0" borderId="54" xfId="1" applyNumberFormat="1" applyFont="1" applyBorder="1" applyAlignment="1" applyProtection="1">
      <alignment horizontal="right" vertical="center"/>
    </xf>
    <xf numFmtId="4" fontId="9" fillId="0" borderId="76" xfId="1" applyNumberFormat="1" applyFont="1" applyBorder="1" applyAlignment="1" applyProtection="1">
      <alignment horizontal="right" vertical="center"/>
    </xf>
    <xf numFmtId="4" fontId="9" fillId="0" borderId="75" xfId="1" applyNumberFormat="1" applyFont="1" applyBorder="1" applyAlignment="1" applyProtection="1">
      <alignment horizontal="right" vertical="center"/>
    </xf>
    <xf numFmtId="4" fontId="9" fillId="0" borderId="77" xfId="1" applyNumberFormat="1" applyFont="1" applyBorder="1" applyAlignment="1" applyProtection="1">
      <alignment horizontal="right" vertical="center"/>
    </xf>
    <xf numFmtId="4" fontId="9" fillId="0" borderId="48" xfId="1" applyNumberFormat="1" applyFont="1" applyBorder="1" applyAlignment="1" applyProtection="1">
      <alignment horizontal="right" vertical="center"/>
    </xf>
    <xf numFmtId="3" fontId="9" fillId="0" borderId="15" xfId="1" applyNumberFormat="1" applyFont="1" applyFill="1" applyBorder="1" applyAlignment="1" applyProtection="1">
      <alignment horizontal="right" vertical="center"/>
    </xf>
    <xf numFmtId="3" fontId="9" fillId="0" borderId="15" xfId="1" applyNumberFormat="1" applyFont="1" applyBorder="1" applyAlignment="1" applyProtection="1">
      <alignment horizontal="right" vertical="center"/>
    </xf>
    <xf numFmtId="3" fontId="9" fillId="0" borderId="70" xfId="1" applyNumberFormat="1" applyFont="1" applyBorder="1" applyAlignment="1" applyProtection="1">
      <alignment horizontal="right" vertical="center"/>
    </xf>
    <xf numFmtId="3" fontId="9" fillId="0" borderId="79" xfId="1" applyNumberFormat="1" applyFont="1" applyBorder="1" applyAlignment="1" applyProtection="1">
      <alignment horizontal="right" vertical="center"/>
    </xf>
    <xf numFmtId="3" fontId="9" fillId="0" borderId="78" xfId="1" applyNumberFormat="1" applyFont="1" applyBorder="1" applyAlignment="1" applyProtection="1">
      <alignment horizontal="right" vertical="center"/>
    </xf>
    <xf numFmtId="3" fontId="9" fillId="0" borderId="0" xfId="1" applyNumberFormat="1" applyFont="1" applyBorder="1" applyAlignment="1" applyProtection="1">
      <alignment horizontal="right" vertical="center"/>
    </xf>
    <xf numFmtId="3" fontId="9" fillId="0" borderId="4" xfId="1" applyNumberFormat="1" applyFont="1" applyBorder="1" applyAlignment="1" applyProtection="1">
      <alignment horizontal="right" vertical="center"/>
    </xf>
    <xf numFmtId="4" fontId="9" fillId="7" borderId="21" xfId="1" applyNumberFormat="1" applyFont="1" applyFill="1" applyBorder="1" applyAlignment="1" applyProtection="1">
      <alignment horizontal="right" vertical="center"/>
    </xf>
    <xf numFmtId="4" fontId="9" fillId="0" borderId="21" xfId="1" applyNumberFormat="1" applyFont="1" applyBorder="1" applyAlignment="1" applyProtection="1">
      <alignment horizontal="right" vertical="center"/>
    </xf>
    <xf numFmtId="4" fontId="9" fillId="0" borderId="56" xfId="1" applyNumberFormat="1" applyFont="1" applyBorder="1" applyAlignment="1" applyProtection="1">
      <alignment horizontal="right" vertical="center"/>
    </xf>
    <xf numFmtId="4" fontId="9" fillId="0" borderId="81" xfId="1" applyNumberFormat="1" applyFont="1" applyBorder="1" applyAlignment="1" applyProtection="1">
      <alignment horizontal="right" vertical="center"/>
    </xf>
    <xf numFmtId="4" fontId="9" fillId="0" borderId="80" xfId="1" applyNumberFormat="1" applyFont="1" applyBorder="1" applyAlignment="1" applyProtection="1">
      <alignment horizontal="right" vertical="center"/>
    </xf>
    <xf numFmtId="4" fontId="9" fillId="0" borderId="82" xfId="1" applyNumberFormat="1" applyFont="1" applyBorder="1" applyAlignment="1" applyProtection="1">
      <alignment horizontal="right" vertical="center"/>
    </xf>
    <xf numFmtId="4" fontId="9" fillId="0" borderId="50" xfId="1" applyNumberFormat="1" applyFont="1" applyBorder="1" applyAlignment="1" applyProtection="1">
      <alignment horizontal="right" vertical="center"/>
    </xf>
    <xf numFmtId="4" fontId="9" fillId="7" borderId="63" xfId="1" applyNumberFormat="1" applyFont="1" applyFill="1" applyBorder="1" applyAlignment="1" applyProtection="1">
      <alignment horizontal="right" vertical="center"/>
    </xf>
    <xf numFmtId="4" fontId="9" fillId="0" borderId="70" xfId="1" applyNumberFormat="1" applyFont="1" applyBorder="1" applyAlignment="1" applyProtection="1">
      <alignment horizontal="right" vertical="center"/>
    </xf>
    <xf numFmtId="4" fontId="9" fillId="0" borderId="79" xfId="1" applyNumberFormat="1" applyFont="1" applyBorder="1" applyAlignment="1" applyProtection="1">
      <alignment horizontal="right" vertical="center"/>
    </xf>
    <xf numFmtId="4" fontId="9" fillId="0" borderId="78" xfId="1" applyNumberFormat="1" applyFont="1" applyBorder="1" applyAlignment="1" applyProtection="1">
      <alignment horizontal="right" vertical="center"/>
    </xf>
    <xf numFmtId="4" fontId="9" fillId="0" borderId="0" xfId="1" applyNumberFormat="1" applyFont="1" applyBorder="1" applyAlignment="1" applyProtection="1">
      <alignment horizontal="right" vertical="center"/>
    </xf>
    <xf numFmtId="4" fontId="9" fillId="0" borderId="4" xfId="1" applyNumberFormat="1" applyFont="1" applyBorder="1" applyAlignment="1" applyProtection="1">
      <alignment horizontal="right" vertical="center"/>
    </xf>
    <xf numFmtId="4" fontId="24" fillId="4" borderId="16" xfId="1" applyNumberFormat="1" applyFont="1" applyFill="1" applyBorder="1" applyAlignment="1" applyProtection="1">
      <alignment horizontal="right" vertical="center"/>
    </xf>
    <xf numFmtId="4" fontId="24" fillId="4" borderId="52" xfId="1" applyNumberFormat="1" applyFont="1" applyFill="1" applyBorder="1" applyAlignment="1" applyProtection="1">
      <alignment horizontal="right" vertical="center"/>
    </xf>
    <xf numFmtId="4" fontId="24" fillId="4" borderId="40" xfId="1" applyNumberFormat="1" applyFont="1" applyFill="1" applyBorder="1" applyAlignment="1" applyProtection="1">
      <alignment horizontal="right" vertical="center"/>
    </xf>
    <xf numFmtId="4" fontId="24" fillId="4" borderId="84" xfId="1" applyNumberFormat="1" applyFont="1" applyFill="1" applyBorder="1" applyAlignment="1" applyProtection="1">
      <alignment horizontal="right" vertical="center"/>
    </xf>
    <xf numFmtId="4" fontId="24" fillId="13" borderId="84" xfId="1" applyNumberFormat="1" applyFont="1" applyFill="1" applyBorder="1" applyAlignment="1" applyProtection="1">
      <alignment horizontal="right" vertical="center"/>
    </xf>
    <xf numFmtId="4" fontId="24" fillId="13" borderId="68" xfId="1" applyNumberFormat="1" applyFont="1" applyFill="1" applyBorder="1" applyAlignment="1" applyProtection="1">
      <alignment horizontal="right" vertical="center"/>
    </xf>
    <xf numFmtId="4" fontId="24" fillId="13" borderId="40" xfId="1" applyNumberFormat="1" applyFont="1" applyFill="1" applyBorder="1" applyAlignment="1" applyProtection="1">
      <alignment horizontal="right" vertical="center"/>
    </xf>
    <xf numFmtId="4" fontId="24" fillId="13" borderId="46" xfId="1" applyNumberFormat="1" applyFont="1" applyFill="1" applyBorder="1" applyAlignment="1" applyProtection="1">
      <alignment horizontal="right" vertical="center"/>
    </xf>
    <xf numFmtId="3" fontId="24" fillId="4" borderId="17" xfId="1" applyNumberFormat="1" applyFont="1" applyFill="1" applyBorder="1" applyAlignment="1" applyProtection="1">
      <alignment horizontal="right" vertical="center"/>
    </xf>
    <xf numFmtId="3" fontId="24" fillId="4" borderId="57" xfId="1" applyNumberFormat="1" applyFont="1" applyFill="1" applyBorder="1" applyAlignment="1" applyProtection="1">
      <alignment horizontal="right" vertical="center"/>
    </xf>
    <xf numFmtId="3" fontId="24" fillId="4" borderId="42" xfId="1" applyNumberFormat="1" applyFont="1" applyFill="1" applyBorder="1" applyAlignment="1" applyProtection="1">
      <alignment horizontal="right" vertical="center"/>
    </xf>
    <xf numFmtId="3" fontId="24" fillId="4" borderId="19" xfId="1" applyNumberFormat="1" applyFont="1" applyFill="1" applyBorder="1" applyAlignment="1" applyProtection="1">
      <alignment horizontal="right" vertical="center"/>
    </xf>
    <xf numFmtId="3" fontId="24" fillId="4" borderId="83" xfId="1" applyNumberFormat="1" applyFont="1" applyFill="1" applyBorder="1" applyAlignment="1" applyProtection="1">
      <alignment horizontal="right" vertical="center"/>
    </xf>
    <xf numFmtId="3" fontId="24" fillId="4" borderId="74" xfId="1" applyNumberFormat="1" applyFont="1" applyFill="1" applyBorder="1" applyAlignment="1" applyProtection="1">
      <alignment horizontal="right" vertical="center"/>
    </xf>
    <xf numFmtId="3" fontId="24" fillId="4" borderId="18" xfId="1" applyNumberFormat="1" applyFont="1" applyFill="1" applyBorder="1" applyAlignment="1" applyProtection="1">
      <alignment horizontal="right" vertical="center"/>
    </xf>
    <xf numFmtId="3" fontId="24" fillId="13" borderId="18" xfId="1" applyNumberFormat="1" applyFont="1" applyFill="1" applyBorder="1" applyAlignment="1" applyProtection="1">
      <alignment horizontal="right" vertical="center"/>
    </xf>
    <xf numFmtId="3" fontId="24" fillId="13" borderId="44" xfId="1" applyNumberFormat="1" applyFont="1" applyFill="1" applyBorder="1" applyAlignment="1" applyProtection="1">
      <alignment horizontal="right" vertical="center"/>
    </xf>
    <xf numFmtId="3" fontId="24" fillId="13" borderId="74" xfId="1" applyNumberFormat="1" applyFont="1" applyFill="1" applyBorder="1" applyAlignment="1" applyProtection="1">
      <alignment horizontal="right" vertical="center"/>
    </xf>
    <xf numFmtId="3" fontId="24" fillId="13" borderId="7" xfId="1" applyNumberFormat="1" applyFont="1" applyFill="1" applyBorder="1" applyAlignment="1" applyProtection="1">
      <alignment horizontal="right" vertical="center"/>
    </xf>
    <xf numFmtId="4" fontId="9" fillId="0" borderId="14" xfId="1" applyNumberFormat="1" applyFont="1" applyFill="1" applyBorder="1" applyAlignment="1" applyProtection="1">
      <alignment horizontal="right" vertical="center"/>
    </xf>
    <xf numFmtId="4" fontId="9" fillId="0" borderId="14" xfId="1" applyNumberFormat="1" applyFont="1" applyBorder="1" applyAlignment="1" applyProtection="1">
      <alignment horizontal="right" vertical="center"/>
    </xf>
    <xf numFmtId="4" fontId="9" fillId="0" borderId="80" xfId="1" applyNumberFormat="1" applyFont="1" applyFill="1" applyBorder="1" applyAlignment="1" applyProtection="1">
      <alignment horizontal="right" vertical="center"/>
    </xf>
    <xf numFmtId="4" fontId="9" fillId="0" borderId="82" xfId="1" applyNumberFormat="1" applyFont="1" applyFill="1" applyBorder="1" applyAlignment="1" applyProtection="1">
      <alignment horizontal="right" vertical="center"/>
    </xf>
    <xf numFmtId="4" fontId="9" fillId="0" borderId="81" xfId="1" applyNumberFormat="1" applyFont="1" applyFill="1" applyBorder="1" applyAlignment="1" applyProtection="1">
      <alignment horizontal="right" vertical="center"/>
    </xf>
    <xf numFmtId="4" fontId="9" fillId="0" borderId="50" xfId="1" applyNumberFormat="1" applyFont="1" applyFill="1" applyBorder="1" applyAlignment="1" applyProtection="1">
      <alignment horizontal="right" vertical="center"/>
    </xf>
    <xf numFmtId="3" fontId="9" fillId="0" borderId="78" xfId="1" applyNumberFormat="1" applyFont="1" applyFill="1" applyBorder="1" applyAlignment="1" applyProtection="1">
      <alignment horizontal="right" vertical="center"/>
    </xf>
    <xf numFmtId="3" fontId="9" fillId="0" borderId="0" xfId="1" applyNumberFormat="1" applyFont="1" applyFill="1" applyBorder="1" applyAlignment="1" applyProtection="1">
      <alignment horizontal="right" vertical="center"/>
    </xf>
    <xf numFmtId="3" fontId="9" fillId="0" borderId="79" xfId="1" applyNumberFormat="1" applyFont="1" applyFill="1" applyBorder="1" applyAlignment="1" applyProtection="1">
      <alignment horizontal="right" vertical="center"/>
    </xf>
    <xf numFmtId="3" fontId="9" fillId="0" borderId="4" xfId="1" applyNumberFormat="1" applyFont="1" applyFill="1" applyBorder="1" applyAlignment="1" applyProtection="1">
      <alignment horizontal="right" vertical="center"/>
    </xf>
    <xf numFmtId="4" fontId="9" fillId="6" borderId="80" xfId="1" applyNumberFormat="1" applyFont="1" applyFill="1" applyBorder="1" applyAlignment="1" applyProtection="1">
      <alignment horizontal="right" vertical="center"/>
    </xf>
    <xf numFmtId="4" fontId="9" fillId="6" borderId="82" xfId="1" applyNumberFormat="1" applyFont="1" applyFill="1" applyBorder="1" applyAlignment="1" applyProtection="1">
      <alignment horizontal="right" vertical="center"/>
    </xf>
    <xf numFmtId="3" fontId="9" fillId="0" borderId="17" xfId="1" applyNumberFormat="1" applyFont="1" applyFill="1" applyBorder="1" applyAlignment="1" applyProtection="1">
      <alignment horizontal="right" vertical="center"/>
    </xf>
    <xf numFmtId="3" fontId="9" fillId="0" borderId="17" xfId="1" applyNumberFormat="1" applyFont="1" applyBorder="1" applyAlignment="1" applyProtection="1">
      <alignment horizontal="right" vertical="center"/>
    </xf>
    <xf numFmtId="3" fontId="9" fillId="0" borderId="57" xfId="1" applyNumberFormat="1" applyFont="1" applyBorder="1" applyAlignment="1" applyProtection="1">
      <alignment horizontal="right" vertical="center"/>
    </xf>
    <xf numFmtId="3" fontId="9" fillId="0" borderId="42" xfId="1" applyNumberFormat="1" applyFont="1" applyBorder="1" applyAlignment="1" applyProtection="1">
      <alignment horizontal="right" vertical="center"/>
    </xf>
    <xf numFmtId="3" fontId="9" fillId="0" borderId="85" xfId="1" applyNumberFormat="1" applyFont="1" applyBorder="1" applyAlignment="1" applyProtection="1">
      <alignment horizontal="right" vertical="center"/>
    </xf>
    <xf numFmtId="3" fontId="9" fillId="6" borderId="85" xfId="1" applyNumberFormat="1" applyFont="1" applyFill="1" applyBorder="1" applyAlignment="1" applyProtection="1">
      <alignment horizontal="right" vertical="center"/>
    </xf>
    <xf numFmtId="3" fontId="9" fillId="6" borderId="86" xfId="1" applyNumberFormat="1" applyFont="1" applyFill="1" applyBorder="1" applyAlignment="1" applyProtection="1">
      <alignment horizontal="right" vertical="center"/>
    </xf>
    <xf numFmtId="3" fontId="9" fillId="0" borderId="42" xfId="1" applyNumberFormat="1" applyFont="1" applyFill="1" applyBorder="1" applyAlignment="1" applyProtection="1">
      <alignment horizontal="right" vertical="center"/>
    </xf>
    <xf numFmtId="3" fontId="9" fillId="0" borderId="85" xfId="1" applyNumberFormat="1" applyFont="1" applyFill="1" applyBorder="1" applyAlignment="1" applyProtection="1">
      <alignment horizontal="right" vertical="center"/>
    </xf>
    <xf numFmtId="3" fontId="9" fillId="0" borderId="87" xfId="1" applyNumberFormat="1" applyFont="1" applyFill="1" applyBorder="1" applyAlignment="1" applyProtection="1">
      <alignment horizontal="right" vertical="center"/>
    </xf>
    <xf numFmtId="4" fontId="24" fillId="10" borderId="88" xfId="1" applyNumberFormat="1" applyFont="1" applyFill="1" applyBorder="1" applyAlignment="1" applyProtection="1">
      <alignment horizontal="right" vertical="center"/>
    </xf>
    <xf numFmtId="4" fontId="9" fillId="7" borderId="61" xfId="1" applyNumberFormat="1" applyFont="1" applyFill="1" applyBorder="1" applyAlignment="1" applyProtection="1">
      <alignment horizontal="right" vertical="center"/>
    </xf>
    <xf numFmtId="4" fontId="9" fillId="0" borderId="93" xfId="1" applyNumberFormat="1" applyFont="1" applyFill="1" applyBorder="1" applyAlignment="1" applyProtection="1">
      <alignment horizontal="right" vertical="center"/>
    </xf>
    <xf numFmtId="4" fontId="9" fillId="0" borderId="92" xfId="1" applyNumberFormat="1" applyFont="1" applyFill="1" applyBorder="1" applyAlignment="1" applyProtection="1">
      <alignment horizontal="right" vertical="center"/>
    </xf>
    <xf numFmtId="4" fontId="9" fillId="0" borderId="94" xfId="1" applyNumberFormat="1" applyFont="1" applyFill="1" applyBorder="1" applyAlignment="1" applyProtection="1">
      <alignment horizontal="right" vertical="center"/>
    </xf>
    <xf numFmtId="4" fontId="9" fillId="0" borderId="95" xfId="1" applyNumberFormat="1" applyFont="1" applyFill="1" applyBorder="1" applyAlignment="1" applyProtection="1">
      <alignment horizontal="right" vertical="center"/>
    </xf>
    <xf numFmtId="3" fontId="9" fillId="7" borderId="15" xfId="1" applyNumberFormat="1" applyFont="1" applyFill="1" applyBorder="1" applyAlignment="1" applyProtection="1">
      <alignment horizontal="right" vertical="center"/>
    </xf>
    <xf numFmtId="41" fontId="9" fillId="7" borderId="14" xfId="1" applyNumberFormat="1" applyFont="1" applyFill="1" applyBorder="1" applyAlignment="1" applyProtection="1">
      <alignment horizontal="right" vertical="center"/>
    </xf>
    <xf numFmtId="41" fontId="9" fillId="0" borderId="14" xfId="1" applyNumberFormat="1" applyFont="1" applyBorder="1" applyAlignment="1" applyProtection="1">
      <alignment horizontal="right" vertical="center"/>
    </xf>
    <xf numFmtId="4" fontId="9" fillId="0" borderId="14" xfId="1" applyNumberFormat="1" applyFont="1" applyBorder="1" applyAlignment="1" applyProtection="1">
      <alignment vertical="center"/>
    </xf>
    <xf numFmtId="4" fontId="9" fillId="0" borderId="56" xfId="1" applyNumberFormat="1" applyFont="1" applyBorder="1" applyAlignment="1" applyProtection="1">
      <alignment vertical="center"/>
    </xf>
    <xf numFmtId="4" fontId="9" fillId="0" borderId="81" xfId="1" applyNumberFormat="1" applyFont="1" applyBorder="1" applyAlignment="1" applyProtection="1">
      <alignment vertical="center"/>
    </xf>
    <xf numFmtId="4" fontId="9" fillId="0" borderId="80" xfId="1" applyNumberFormat="1" applyFont="1" applyBorder="1" applyAlignment="1" applyProtection="1">
      <alignment vertical="center"/>
    </xf>
    <xf numFmtId="4" fontId="9" fillId="0" borderId="82" xfId="1" applyNumberFormat="1" applyFont="1" applyBorder="1" applyAlignment="1" applyProtection="1">
      <alignment vertical="center"/>
    </xf>
    <xf numFmtId="4" fontId="9" fillId="0" borderId="50" xfId="1" applyNumberFormat="1" applyFont="1" applyBorder="1" applyAlignment="1" applyProtection="1">
      <alignment vertical="center"/>
    </xf>
    <xf numFmtId="41" fontId="9" fillId="7" borderId="15" xfId="1" applyNumberFormat="1" applyFont="1" applyFill="1" applyBorder="1" applyAlignment="1" applyProtection="1">
      <alignment horizontal="right" vertical="center"/>
    </xf>
    <xf numFmtId="41" fontId="9" fillId="0" borderId="15" xfId="1" applyNumberFormat="1" applyFont="1" applyBorder="1" applyAlignment="1" applyProtection="1">
      <alignment horizontal="right" vertical="center"/>
    </xf>
    <xf numFmtId="4" fontId="9" fillId="7" borderId="14" xfId="1" applyNumberFormat="1" applyFont="1" applyFill="1" applyBorder="1" applyAlignment="1" applyProtection="1">
      <alignment horizontal="right" vertical="center"/>
    </xf>
    <xf numFmtId="4" fontId="20" fillId="7" borderId="14" xfId="1" applyNumberFormat="1" applyFont="1" applyFill="1" applyBorder="1" applyAlignment="1" applyProtection="1">
      <alignment horizontal="right" vertical="center"/>
    </xf>
    <xf numFmtId="4" fontId="20" fillId="0" borderId="14" xfId="1" applyNumberFormat="1" applyFont="1" applyBorder="1" applyAlignment="1" applyProtection="1">
      <alignment horizontal="right" vertical="center"/>
    </xf>
    <xf numFmtId="4" fontId="20" fillId="0" borderId="56" xfId="1" applyNumberFormat="1" applyFont="1" applyBorder="1" applyAlignment="1" applyProtection="1">
      <alignment horizontal="right" vertical="center"/>
    </xf>
    <xf numFmtId="4" fontId="20" fillId="0" borderId="81" xfId="1" applyNumberFormat="1" applyFont="1" applyBorder="1" applyAlignment="1" applyProtection="1">
      <alignment horizontal="right" vertical="center"/>
    </xf>
    <xf numFmtId="4" fontId="20" fillId="0" borderId="80" xfId="1" applyNumberFormat="1" applyFont="1" applyBorder="1" applyAlignment="1" applyProtection="1">
      <alignment horizontal="right" vertical="center"/>
    </xf>
    <xf numFmtId="4" fontId="20" fillId="0" borderId="82" xfId="1" applyNumberFormat="1" applyFont="1" applyBorder="1" applyAlignment="1" applyProtection="1">
      <alignment horizontal="right" vertical="center"/>
    </xf>
    <xf numFmtId="4" fontId="20" fillId="0" borderId="50" xfId="1" applyNumberFormat="1" applyFont="1" applyBorder="1" applyAlignment="1" applyProtection="1">
      <alignment horizontal="right" vertical="center"/>
    </xf>
    <xf numFmtId="41" fontId="20" fillId="7" borderId="19" xfId="1" applyNumberFormat="1" applyFont="1" applyFill="1" applyBorder="1" applyAlignment="1" applyProtection="1">
      <alignment horizontal="right" vertical="center"/>
    </xf>
    <xf numFmtId="3" fontId="20" fillId="0" borderId="15" xfId="1" applyNumberFormat="1" applyFont="1" applyBorder="1" applyAlignment="1" applyProtection="1">
      <alignment horizontal="right" vertical="center"/>
    </xf>
    <xf numFmtId="3" fontId="20" fillId="0" borderId="70" xfId="1" applyNumberFormat="1" applyFont="1" applyBorder="1" applyAlignment="1" applyProtection="1">
      <alignment horizontal="right" vertical="center"/>
    </xf>
    <xf numFmtId="3" fontId="20" fillId="0" borderId="79" xfId="1" applyNumberFormat="1" applyFont="1" applyBorder="1" applyAlignment="1" applyProtection="1">
      <alignment horizontal="right" vertical="center"/>
    </xf>
    <xf numFmtId="3" fontId="20" fillId="0" borderId="78" xfId="1" applyNumberFormat="1" applyFont="1" applyBorder="1" applyAlignment="1" applyProtection="1">
      <alignment horizontal="right" vertical="center"/>
    </xf>
    <xf numFmtId="3" fontId="20" fillId="0" borderId="0" xfId="1" applyNumberFormat="1" applyFont="1" applyBorder="1" applyAlignment="1" applyProtection="1">
      <alignment horizontal="right" vertical="center"/>
    </xf>
    <xf numFmtId="3" fontId="20" fillId="0" borderId="4" xfId="1" applyNumberFormat="1" applyFont="1" applyBorder="1" applyAlignment="1" applyProtection="1">
      <alignment horizontal="right" vertical="center"/>
    </xf>
    <xf numFmtId="4" fontId="24" fillId="4" borderId="68" xfId="1" applyNumberFormat="1" applyFont="1" applyFill="1" applyBorder="1" applyAlignment="1" applyProtection="1">
      <alignment horizontal="right" vertical="center"/>
    </xf>
    <xf numFmtId="4" fontId="24" fillId="4" borderId="46" xfId="1" applyNumberFormat="1" applyFont="1" applyFill="1" applyBorder="1" applyAlignment="1" applyProtection="1">
      <alignment horizontal="right" vertical="center"/>
    </xf>
    <xf numFmtId="3" fontId="24" fillId="4" borderId="85" xfId="1" applyNumberFormat="1" applyFont="1" applyFill="1" applyBorder="1" applyAlignment="1" applyProtection="1">
      <alignment horizontal="right" vertical="center"/>
    </xf>
    <xf numFmtId="3" fontId="24" fillId="4" borderId="86" xfId="1" applyNumberFormat="1" applyFont="1" applyFill="1" applyBorder="1" applyAlignment="1" applyProtection="1">
      <alignment horizontal="right" vertical="center"/>
    </xf>
    <xf numFmtId="3" fontId="24" fillId="4" borderId="87" xfId="1" applyNumberFormat="1" applyFont="1" applyFill="1" applyBorder="1" applyAlignment="1" applyProtection="1">
      <alignment horizontal="right" vertical="center"/>
    </xf>
    <xf numFmtId="3" fontId="9" fillId="0" borderId="15" xfId="1" applyNumberFormat="1" applyFont="1" applyBorder="1" applyAlignment="1" applyProtection="1">
      <alignment vertical="center"/>
    </xf>
    <xf numFmtId="3" fontId="9" fillId="0" borderId="70" xfId="1" applyNumberFormat="1" applyFont="1" applyBorder="1" applyAlignment="1" applyProtection="1">
      <alignment vertical="center"/>
    </xf>
    <xf numFmtId="3" fontId="9" fillId="0" borderId="79" xfId="1" applyNumberFormat="1" applyFont="1" applyBorder="1" applyAlignment="1" applyProtection="1">
      <alignment vertical="center"/>
    </xf>
    <xf numFmtId="3" fontId="9" fillId="0" borderId="78" xfId="1" applyNumberFormat="1" applyFont="1" applyBorder="1" applyAlignment="1" applyProtection="1">
      <alignment vertical="center"/>
    </xf>
    <xf numFmtId="3" fontId="9" fillId="0" borderId="0" xfId="1" applyNumberFormat="1" applyFont="1" applyBorder="1" applyAlignment="1" applyProtection="1">
      <alignment vertical="center"/>
    </xf>
    <xf numFmtId="3" fontId="9" fillId="0" borderId="4" xfId="1" applyNumberFormat="1" applyFont="1" applyBorder="1" applyAlignment="1" applyProtection="1">
      <alignment vertical="center"/>
    </xf>
    <xf numFmtId="4" fontId="20" fillId="0" borderId="14" xfId="1" applyNumberFormat="1" applyFont="1" applyBorder="1" applyAlignment="1" applyProtection="1">
      <alignment vertical="center"/>
    </xf>
    <xf numFmtId="4" fontId="20" fillId="0" borderId="56" xfId="1" applyNumberFormat="1" applyFont="1" applyBorder="1" applyAlignment="1" applyProtection="1">
      <alignment vertical="center"/>
    </xf>
    <xf numFmtId="4" fontId="20" fillId="0" borderId="81" xfId="1" applyNumberFormat="1" applyFont="1" applyBorder="1" applyAlignment="1" applyProtection="1">
      <alignment vertical="center"/>
    </xf>
    <xf numFmtId="4" fontId="20" fillId="0" borderId="80" xfId="1" applyNumberFormat="1" applyFont="1" applyBorder="1" applyAlignment="1" applyProtection="1">
      <alignment vertical="center"/>
    </xf>
    <xf numFmtId="4" fontId="20" fillId="0" borderId="82" xfId="1" applyNumberFormat="1" applyFont="1" applyBorder="1" applyAlignment="1" applyProtection="1">
      <alignment vertical="center"/>
    </xf>
    <xf numFmtId="4" fontId="20" fillId="0" borderId="50" xfId="1" applyNumberFormat="1" applyFont="1" applyBorder="1" applyAlignment="1" applyProtection="1">
      <alignment vertical="center"/>
    </xf>
    <xf numFmtId="3" fontId="20" fillId="0" borderId="17" xfId="1" applyNumberFormat="1" applyFont="1" applyBorder="1" applyAlignment="1" applyProtection="1">
      <alignment vertical="center"/>
    </xf>
    <xf numFmtId="3" fontId="20" fillId="0" borderId="57" xfId="1" applyNumberFormat="1" applyFont="1" applyBorder="1" applyAlignment="1" applyProtection="1">
      <alignment vertical="center"/>
    </xf>
    <xf numFmtId="3" fontId="20" fillId="0" borderId="42" xfId="1" applyNumberFormat="1" applyFont="1" applyBorder="1" applyAlignment="1" applyProtection="1">
      <alignment vertical="center"/>
    </xf>
    <xf numFmtId="3" fontId="20" fillId="0" borderId="85" xfId="1" applyNumberFormat="1" applyFont="1" applyBorder="1" applyAlignment="1" applyProtection="1">
      <alignment vertical="center"/>
    </xf>
    <xf numFmtId="3" fontId="20" fillId="0" borderId="86" xfId="1" applyNumberFormat="1" applyFont="1" applyBorder="1" applyAlignment="1" applyProtection="1">
      <alignment vertical="center"/>
    </xf>
    <xf numFmtId="3" fontId="20" fillId="0" borderId="87" xfId="1" applyNumberFormat="1" applyFont="1" applyBorder="1" applyAlignment="1" applyProtection="1">
      <alignment vertical="center"/>
    </xf>
    <xf numFmtId="4" fontId="9" fillId="0" borderId="80" xfId="1" applyNumberFormat="1" applyFont="1" applyFill="1" applyBorder="1" applyAlignment="1" applyProtection="1">
      <alignment vertical="center"/>
    </xf>
    <xf numFmtId="4" fontId="9" fillId="0" borderId="82" xfId="1" applyNumberFormat="1" applyFont="1" applyFill="1" applyBorder="1" applyAlignment="1" applyProtection="1">
      <alignment vertical="center"/>
    </xf>
    <xf numFmtId="4" fontId="9" fillId="0" borderId="81" xfId="1" applyNumberFormat="1" applyFont="1" applyFill="1" applyBorder="1" applyAlignment="1" applyProtection="1">
      <alignment vertical="center"/>
    </xf>
    <xf numFmtId="4" fontId="9" fillId="0" borderId="50" xfId="1" applyNumberFormat="1" applyFont="1" applyFill="1" applyBorder="1" applyAlignment="1" applyProtection="1">
      <alignment vertical="center"/>
    </xf>
    <xf numFmtId="3" fontId="9" fillId="0" borderId="17" xfId="1" applyNumberFormat="1" applyFont="1" applyBorder="1" applyAlignment="1" applyProtection="1">
      <alignment vertical="center"/>
    </xf>
    <xf numFmtId="3" fontId="9" fillId="0" borderId="57" xfId="1" applyNumberFormat="1" applyFont="1" applyBorder="1" applyAlignment="1" applyProtection="1">
      <alignment vertical="center"/>
    </xf>
    <xf numFmtId="3" fontId="9" fillId="0" borderId="42" xfId="1" applyNumberFormat="1" applyFont="1" applyBorder="1" applyAlignment="1" applyProtection="1">
      <alignment vertical="center"/>
    </xf>
    <xf numFmtId="3" fontId="9" fillId="0" borderId="85" xfId="1" applyNumberFormat="1" applyFont="1" applyBorder="1" applyAlignment="1" applyProtection="1">
      <alignment vertical="center"/>
    </xf>
    <xf numFmtId="3" fontId="9" fillId="0" borderId="86" xfId="1" applyNumberFormat="1" applyFont="1" applyBorder="1" applyAlignment="1" applyProtection="1">
      <alignment vertical="center"/>
    </xf>
    <xf numFmtId="3" fontId="9" fillId="0" borderId="87" xfId="1" applyNumberFormat="1" applyFont="1" applyBorder="1" applyAlignment="1" applyProtection="1">
      <alignment vertical="center"/>
    </xf>
    <xf numFmtId="4" fontId="24" fillId="10" borderId="103" xfId="1" applyNumberFormat="1" applyFont="1" applyFill="1" applyBorder="1" applyAlignment="1" applyProtection="1">
      <alignment horizontal="right" vertical="center"/>
    </xf>
    <xf numFmtId="4" fontId="24" fillId="10" borderId="104" xfId="1" applyNumberFormat="1" applyFont="1" applyFill="1" applyBorder="1" applyAlignment="1" applyProtection="1">
      <alignment horizontal="right" vertical="center"/>
    </xf>
    <xf numFmtId="4" fontId="24" fillId="10" borderId="106" xfId="1" applyNumberFormat="1" applyFont="1" applyFill="1" applyBorder="1" applyAlignment="1" applyProtection="1">
      <alignment horizontal="right" vertical="center"/>
    </xf>
    <xf numFmtId="4" fontId="24" fillId="10" borderId="105" xfId="1" applyNumberFormat="1" applyFont="1" applyFill="1" applyBorder="1" applyAlignment="1" applyProtection="1">
      <alignment horizontal="right" vertical="center"/>
    </xf>
    <xf numFmtId="4" fontId="24" fillId="10" borderId="107" xfId="1" applyNumberFormat="1" applyFont="1" applyFill="1" applyBorder="1" applyAlignment="1" applyProtection="1">
      <alignment horizontal="right" vertical="center"/>
    </xf>
    <xf numFmtId="4" fontId="24" fillId="10" borderId="108" xfId="1" applyNumberFormat="1" applyFont="1" applyFill="1" applyBorder="1" applyAlignment="1" applyProtection="1">
      <alignment horizontal="right" vertical="center"/>
    </xf>
    <xf numFmtId="4" fontId="9" fillId="7" borderId="20" xfId="1" applyNumberFormat="1" applyFont="1" applyFill="1" applyBorder="1" applyAlignment="1" applyProtection="1">
      <alignment horizontal="right" vertical="center"/>
    </xf>
    <xf numFmtId="4" fontId="9" fillId="0" borderId="76" xfId="1" applyNumberFormat="1" applyFont="1" applyFill="1" applyBorder="1" applyAlignment="1" applyProtection="1">
      <alignment horizontal="right" vertical="center"/>
    </xf>
    <xf numFmtId="4" fontId="9" fillId="0" borderId="75" xfId="1" applyNumberFormat="1" applyFont="1" applyFill="1" applyBorder="1" applyAlignment="1" applyProtection="1">
      <alignment horizontal="right" vertical="center"/>
    </xf>
    <xf numFmtId="4" fontId="9" fillId="0" borderId="77" xfId="1" applyNumberFormat="1" applyFont="1" applyFill="1" applyBorder="1" applyAlignment="1" applyProtection="1">
      <alignment horizontal="right" vertical="center"/>
    </xf>
    <xf numFmtId="4" fontId="9" fillId="0" borderId="48" xfId="1" applyNumberFormat="1" applyFont="1" applyFill="1" applyBorder="1" applyAlignment="1" applyProtection="1">
      <alignment horizontal="right" vertical="center"/>
    </xf>
    <xf numFmtId="41" fontId="9" fillId="0" borderId="56" xfId="1" applyNumberFormat="1" applyFont="1" applyBorder="1" applyAlignment="1" applyProtection="1">
      <alignment horizontal="right" vertical="center"/>
    </xf>
    <xf numFmtId="167" fontId="9" fillId="0" borderId="81" xfId="1" applyNumberFormat="1" applyFont="1" applyBorder="1" applyAlignment="1" applyProtection="1">
      <alignment horizontal="right" vertical="center"/>
    </xf>
    <xf numFmtId="167" fontId="9" fillId="0" borderId="80" xfId="1" applyNumberFormat="1" applyFont="1" applyBorder="1" applyAlignment="1" applyProtection="1">
      <alignment horizontal="right" vertical="center"/>
    </xf>
    <xf numFmtId="167" fontId="9" fillId="0" borderId="82" xfId="1" applyNumberFormat="1" applyFont="1" applyBorder="1" applyAlignment="1" applyProtection="1">
      <alignment horizontal="right" vertical="center"/>
    </xf>
    <xf numFmtId="167" fontId="9" fillId="0" borderId="50" xfId="1" applyNumberFormat="1" applyFont="1" applyBorder="1" applyAlignment="1" applyProtection="1">
      <alignment horizontal="right" vertical="center"/>
    </xf>
    <xf numFmtId="41" fontId="9" fillId="0" borderId="70" xfId="1" applyNumberFormat="1" applyFont="1" applyBorder="1" applyAlignment="1" applyProtection="1">
      <alignment horizontal="right" vertical="center"/>
    </xf>
    <xf numFmtId="41" fontId="9" fillId="0" borderId="79" xfId="1" applyNumberFormat="1" applyFont="1" applyBorder="1" applyAlignment="1" applyProtection="1">
      <alignment horizontal="right" vertical="center"/>
    </xf>
    <xf numFmtId="41" fontId="9" fillId="0" borderId="78" xfId="1" applyNumberFormat="1" applyFont="1" applyBorder="1" applyAlignment="1" applyProtection="1">
      <alignment horizontal="right" vertical="center"/>
    </xf>
    <xf numFmtId="41" fontId="9" fillId="0" borderId="0" xfId="1" applyNumberFormat="1" applyFont="1" applyBorder="1" applyAlignment="1" applyProtection="1">
      <alignment horizontal="right" vertical="center"/>
    </xf>
    <xf numFmtId="41" fontId="9" fillId="0" borderId="4" xfId="1" applyNumberFormat="1" applyFont="1" applyBorder="1" applyAlignment="1" applyProtection="1">
      <alignment horizontal="right" vertical="center"/>
    </xf>
    <xf numFmtId="3" fontId="9" fillId="0" borderId="85" xfId="1" applyNumberFormat="1" applyFont="1" applyFill="1" applyBorder="1" applyAlignment="1" applyProtection="1">
      <alignment vertical="center"/>
    </xf>
    <xf numFmtId="3" fontId="9" fillId="0" borderId="86" xfId="1" applyNumberFormat="1" applyFont="1" applyFill="1" applyBorder="1" applyAlignment="1" applyProtection="1">
      <alignment vertical="center"/>
    </xf>
    <xf numFmtId="3" fontId="9" fillId="0" borderId="42" xfId="1" applyNumberFormat="1" applyFont="1" applyFill="1" applyBorder="1" applyAlignment="1" applyProtection="1">
      <alignment vertical="center"/>
    </xf>
    <xf numFmtId="3" fontId="9" fillId="0" borderId="87" xfId="1" applyNumberFormat="1" applyFont="1" applyFill="1" applyBorder="1" applyAlignment="1" applyProtection="1">
      <alignment vertical="center"/>
    </xf>
    <xf numFmtId="4" fontId="24" fillId="10" borderId="22" xfId="1" applyNumberFormat="1" applyFont="1" applyFill="1" applyBorder="1" applyAlignment="1" applyProtection="1">
      <alignment horizontal="right" vertical="center"/>
    </xf>
    <xf numFmtId="4" fontId="24" fillId="10" borderId="58" xfId="1" applyNumberFormat="1" applyFont="1" applyFill="1" applyBorder="1" applyAlignment="1" applyProtection="1">
      <alignment horizontal="right" vertical="center"/>
    </xf>
    <xf numFmtId="4" fontId="24" fillId="10" borderId="89" xfId="1" applyNumberFormat="1" applyFont="1" applyFill="1" applyBorder="1" applyAlignment="1" applyProtection="1">
      <alignment horizontal="right" vertical="center"/>
    </xf>
    <xf numFmtId="4" fontId="24" fillId="10" borderId="90" xfId="1" applyNumberFormat="1" applyFont="1" applyFill="1" applyBorder="1" applyAlignment="1" applyProtection="1">
      <alignment horizontal="right" vertical="center"/>
    </xf>
    <xf numFmtId="4" fontId="24" fillId="10" borderId="91" xfId="1" applyNumberFormat="1" applyFont="1" applyFill="1" applyBorder="1" applyAlignment="1" applyProtection="1">
      <alignment horizontal="right" vertical="center"/>
    </xf>
    <xf numFmtId="41" fontId="9" fillId="0" borderId="61" xfId="1" applyNumberFormat="1" applyFont="1" applyBorder="1" applyAlignment="1" applyProtection="1">
      <alignment horizontal="right" vertical="center"/>
    </xf>
    <xf numFmtId="4" fontId="9" fillId="0" borderId="61" xfId="1" applyNumberFormat="1" applyFont="1" applyFill="1" applyBorder="1" applyAlignment="1" applyProtection="1">
      <alignment horizontal="right" vertical="center"/>
    </xf>
    <xf numFmtId="41" fontId="9" fillId="0" borderId="81" xfId="1" applyNumberFormat="1" applyFont="1" applyBorder="1" applyAlignment="1" applyProtection="1">
      <alignment horizontal="right" vertical="center"/>
    </xf>
    <xf numFmtId="167" fontId="9" fillId="0" borderId="14" xfId="1" applyNumberFormat="1" applyFont="1" applyBorder="1" applyAlignment="1" applyProtection="1">
      <alignment horizontal="right" vertical="center"/>
    </xf>
    <xf numFmtId="43" fontId="9" fillId="0" borderId="56" xfId="1" applyFont="1" applyBorder="1" applyAlignment="1" applyProtection="1">
      <alignment horizontal="center" vertical="center"/>
    </xf>
    <xf numFmtId="41" fontId="20" fillId="0" borderId="14" xfId="1" applyNumberFormat="1" applyFont="1" applyBorder="1" applyAlignment="1" applyProtection="1">
      <alignment horizontal="right" vertical="center"/>
    </xf>
    <xf numFmtId="41" fontId="20" fillId="0" borderId="15" xfId="1" applyNumberFormat="1" applyFont="1" applyBorder="1" applyAlignment="1" applyProtection="1">
      <alignment horizontal="right" vertical="center"/>
    </xf>
    <xf numFmtId="3" fontId="9" fillId="0" borderId="13" xfId="1" applyNumberFormat="1" applyFont="1" applyFill="1" applyBorder="1" applyAlignment="1" applyProtection="1">
      <alignment vertical="center"/>
    </xf>
    <xf numFmtId="3" fontId="9" fillId="0" borderId="28" xfId="1" applyNumberFormat="1" applyFont="1" applyFill="1" applyBorder="1" applyAlignment="1" applyProtection="1">
      <alignment vertical="center"/>
    </xf>
    <xf numFmtId="3" fontId="9" fillId="0" borderId="109" xfId="1" applyNumberFormat="1" applyFont="1" applyFill="1" applyBorder="1" applyAlignment="1" applyProtection="1">
      <alignment vertical="center"/>
    </xf>
    <xf numFmtId="3" fontId="9" fillId="0" borderId="55" xfId="1" applyNumberFormat="1" applyFont="1" applyFill="1" applyBorder="1" applyAlignment="1" applyProtection="1">
      <alignment vertical="center"/>
    </xf>
    <xf numFmtId="3" fontId="9" fillId="0" borderId="110" xfId="1" applyNumberFormat="1" applyFont="1" applyFill="1" applyBorder="1" applyAlignment="1" applyProtection="1">
      <alignment vertical="center"/>
    </xf>
    <xf numFmtId="4" fontId="20" fillId="0" borderId="75" xfId="1" applyNumberFormat="1" applyFont="1" applyBorder="1" applyAlignment="1" applyProtection="1">
      <alignment vertical="center"/>
    </xf>
    <xf numFmtId="4" fontId="20" fillId="0" borderId="77" xfId="1" applyNumberFormat="1" applyFont="1" applyBorder="1" applyAlignment="1" applyProtection="1">
      <alignment vertical="center"/>
    </xf>
    <xf numFmtId="4" fontId="20" fillId="0" borderId="76" xfId="1" applyNumberFormat="1" applyFont="1" applyBorder="1" applyAlignment="1" applyProtection="1">
      <alignment vertical="center"/>
    </xf>
    <xf numFmtId="4" fontId="20" fillId="0" borderId="48" xfId="1" applyNumberFormat="1" applyFont="1" applyBorder="1" applyAlignment="1" applyProtection="1">
      <alignment vertical="center"/>
    </xf>
    <xf numFmtId="41" fontId="9" fillId="0" borderId="57" xfId="1" applyNumberFormat="1" applyFont="1" applyBorder="1" applyAlignment="1" applyProtection="1">
      <alignment horizontal="right" vertical="center"/>
    </xf>
    <xf numFmtId="4" fontId="9" fillId="0" borderId="60" xfId="1" applyNumberFormat="1" applyFont="1" applyFill="1" applyBorder="1" applyAlignment="1" applyProtection="1">
      <alignment horizontal="right" vertical="center"/>
    </xf>
    <xf numFmtId="4" fontId="9" fillId="0" borderId="59" xfId="1" applyNumberFormat="1" applyFont="1" applyFill="1" applyBorder="1" applyAlignment="1" applyProtection="1">
      <alignment horizontal="right" vertical="center"/>
    </xf>
    <xf numFmtId="3" fontId="9" fillId="0" borderId="30" xfId="1" applyNumberFormat="1" applyFont="1" applyFill="1" applyBorder="1" applyAlignment="1" applyProtection="1">
      <alignment horizontal="right" vertical="center"/>
    </xf>
    <xf numFmtId="3" fontId="9" fillId="0" borderId="70" xfId="1" applyNumberFormat="1" applyFont="1" applyFill="1" applyBorder="1" applyAlignment="1" applyProtection="1">
      <alignment horizontal="right" vertical="center"/>
    </xf>
    <xf numFmtId="167" fontId="9" fillId="0" borderId="29" xfId="1" applyNumberFormat="1" applyFont="1" applyBorder="1" applyAlignment="1" applyProtection="1">
      <alignment horizontal="right" vertical="center"/>
    </xf>
    <xf numFmtId="167" fontId="9" fillId="0" borderId="56" xfId="1" applyNumberFormat="1" applyFont="1" applyBorder="1" applyAlignment="1" applyProtection="1">
      <alignment horizontal="right" vertical="center"/>
    </xf>
    <xf numFmtId="165" fontId="9" fillId="0" borderId="70" xfId="1" applyNumberFormat="1" applyFont="1" applyBorder="1" applyAlignment="1" applyProtection="1">
      <alignment horizontal="center" vertical="center"/>
    </xf>
    <xf numFmtId="41" fontId="9" fillId="0" borderId="30" xfId="1" applyNumberFormat="1" applyFont="1" applyBorder="1" applyAlignment="1" applyProtection="1">
      <alignment horizontal="right" vertical="center"/>
    </xf>
    <xf numFmtId="4" fontId="9" fillId="0" borderId="29" xfId="1" applyNumberFormat="1" applyFont="1" applyBorder="1" applyAlignment="1" applyProtection="1">
      <alignment horizontal="right" vertical="center"/>
    </xf>
    <xf numFmtId="4" fontId="9" fillId="0" borderId="14" xfId="1" applyNumberFormat="1" applyFont="1" applyFill="1" applyBorder="1" applyAlignment="1" applyProtection="1">
      <alignment vertical="center"/>
    </xf>
    <xf numFmtId="165" fontId="9" fillId="0" borderId="57" xfId="1" applyNumberFormat="1" applyFont="1" applyBorder="1" applyAlignment="1" applyProtection="1">
      <alignment horizontal="center" vertical="center"/>
    </xf>
    <xf numFmtId="3" fontId="9" fillId="0" borderId="17" xfId="1" applyNumberFormat="1" applyFont="1" applyFill="1" applyBorder="1" applyAlignment="1" applyProtection="1">
      <alignment vertical="center"/>
    </xf>
    <xf numFmtId="4" fontId="24" fillId="10" borderId="63" xfId="1" applyNumberFormat="1" applyFont="1" applyFill="1" applyBorder="1" applyAlignment="1" applyProtection="1">
      <alignment horizontal="right" vertical="center"/>
    </xf>
    <xf numFmtId="4" fontId="24" fillId="10" borderId="62" xfId="1" applyNumberFormat="1" applyFont="1" applyFill="1" applyBorder="1" applyAlignment="1" applyProtection="1">
      <alignment horizontal="right" vertical="center"/>
    </xf>
    <xf numFmtId="4" fontId="24" fillId="10" borderId="112" xfId="1" applyNumberFormat="1" applyFont="1" applyFill="1" applyBorder="1" applyAlignment="1" applyProtection="1">
      <alignment horizontal="right" vertical="center"/>
    </xf>
    <xf numFmtId="4" fontId="24" fillId="10" borderId="113" xfId="1" applyNumberFormat="1" applyFont="1" applyFill="1" applyBorder="1" applyAlignment="1" applyProtection="1">
      <alignment horizontal="right" vertical="center"/>
    </xf>
    <xf numFmtId="4" fontId="24" fillId="10" borderId="65" xfId="1" applyNumberFormat="1" applyFont="1" applyFill="1" applyBorder="1" applyAlignment="1" applyProtection="1">
      <alignment horizontal="right" vertical="center"/>
    </xf>
    <xf numFmtId="4" fontId="24" fillId="10" borderId="111" xfId="1" applyNumberFormat="1" applyFont="1" applyFill="1" applyBorder="1" applyAlignment="1" applyProtection="1">
      <alignment horizontal="right" vertical="center"/>
    </xf>
    <xf numFmtId="0" fontId="12" fillId="0" borderId="0" xfId="16" applyFont="1" applyFill="1" applyBorder="1" applyAlignment="1" applyProtection="1">
      <alignment horizontal="center" vertical="center"/>
    </xf>
    <xf numFmtId="0" fontId="6" fillId="0" borderId="0" xfId="16" applyFont="1" applyFill="1" applyBorder="1" applyAlignment="1" applyProtection="1">
      <alignment horizontal="center" vertical="center"/>
    </xf>
    <xf numFmtId="0" fontId="15" fillId="0" borderId="0" xfId="0" applyFont="1" applyAlignment="1" applyProtection="1"/>
    <xf numFmtId="0" fontId="26" fillId="0" borderId="0" xfId="0" applyFont="1" applyAlignment="1" applyProtection="1"/>
    <xf numFmtId="41" fontId="26" fillId="0" borderId="0" xfId="0" applyNumberFormat="1" applyFont="1" applyAlignment="1" applyProtection="1">
      <alignment horizontal="right"/>
    </xf>
    <xf numFmtId="14" fontId="6" fillId="0" borderId="0" xfId="0" applyNumberFormat="1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8" fillId="8" borderId="71" xfId="0" applyFont="1" applyFill="1" applyBorder="1" applyAlignment="1" applyProtection="1">
      <alignment horizontal="center" vertical="center"/>
    </xf>
    <xf numFmtId="41" fontId="8" fillId="8" borderId="8" xfId="0" applyNumberFormat="1" applyFont="1" applyFill="1" applyBorder="1" applyAlignment="1" applyProtection="1">
      <alignment horizontal="center" vertical="center"/>
    </xf>
    <xf numFmtId="0" fontId="8" fillId="8" borderId="8" xfId="0" applyFont="1" applyFill="1" applyBorder="1" applyAlignment="1" applyProtection="1">
      <alignment horizontal="center" vertical="center"/>
    </xf>
    <xf numFmtId="0" fontId="8" fillId="8" borderId="72" xfId="0" applyFont="1" applyFill="1" applyBorder="1" applyAlignment="1" applyProtection="1">
      <alignment horizontal="center" vertical="center"/>
    </xf>
    <xf numFmtId="41" fontId="8" fillId="8" borderId="73" xfId="0" applyNumberFormat="1" applyFont="1" applyFill="1" applyBorder="1" applyAlignment="1" applyProtection="1">
      <alignment horizontal="center" vertical="center"/>
    </xf>
    <xf numFmtId="0" fontId="8" fillId="8" borderId="73" xfId="0" applyFont="1" applyFill="1" applyBorder="1" applyAlignment="1" applyProtection="1">
      <alignment horizontal="center" vertical="center"/>
    </xf>
    <xf numFmtId="0" fontId="8" fillId="8" borderId="44" xfId="0" applyFont="1" applyFill="1" applyBorder="1" applyAlignment="1" applyProtection="1">
      <alignment horizontal="center" vertical="center"/>
    </xf>
    <xf numFmtId="0" fontId="8" fillId="8" borderId="74" xfId="0" applyFont="1" applyFill="1" applyBorder="1" applyAlignment="1" applyProtection="1">
      <alignment horizontal="center" vertical="center"/>
    </xf>
    <xf numFmtId="0" fontId="8" fillId="8" borderId="25" xfId="0" applyFont="1" applyFill="1" applyBorder="1" applyAlignment="1" applyProtection="1">
      <alignment horizontal="center" vertical="center"/>
    </xf>
    <xf numFmtId="0" fontId="8" fillId="8" borderId="7" xfId="0" applyFont="1" applyFill="1" applyBorder="1" applyAlignment="1" applyProtection="1">
      <alignment horizontal="center" vertical="center"/>
    </xf>
    <xf numFmtId="0" fontId="9" fillId="9" borderId="54" xfId="0" applyFont="1" applyFill="1" applyBorder="1" applyAlignment="1" applyProtection="1">
      <alignment horizontal="center" vertical="center"/>
    </xf>
    <xf numFmtId="4" fontId="9" fillId="9" borderId="75" xfId="0" applyNumberFormat="1" applyFont="1" applyFill="1" applyBorder="1" applyAlignment="1" applyProtection="1">
      <alignment horizontal="right" vertical="center"/>
    </xf>
    <xf numFmtId="4" fontId="9" fillId="9" borderId="20" xfId="0" applyNumberFormat="1" applyFont="1" applyFill="1" applyBorder="1" applyAlignment="1" applyProtection="1">
      <alignment horizontal="right" vertical="center"/>
    </xf>
    <xf numFmtId="41" fontId="9" fillId="9" borderId="54" xfId="0" applyNumberFormat="1" applyFont="1" applyFill="1" applyBorder="1" applyAlignment="1" applyProtection="1">
      <alignment horizontal="right" vertical="center"/>
    </xf>
    <xf numFmtId="4" fontId="9" fillId="9" borderId="76" xfId="0" applyNumberFormat="1" applyFont="1" applyFill="1" applyBorder="1" applyAlignment="1" applyProtection="1">
      <alignment horizontal="right" vertical="center"/>
    </xf>
    <xf numFmtId="41" fontId="9" fillId="9" borderId="20" xfId="0" applyNumberFormat="1" applyFont="1" applyFill="1" applyBorder="1" applyAlignment="1" applyProtection="1">
      <alignment horizontal="right" vertical="center"/>
    </xf>
    <xf numFmtId="4" fontId="9" fillId="9" borderId="54" xfId="0" applyNumberFormat="1" applyFont="1" applyFill="1" applyBorder="1" applyAlignment="1" applyProtection="1">
      <alignment horizontal="right" vertical="center"/>
    </xf>
    <xf numFmtId="4" fontId="9" fillId="9" borderId="77" xfId="0" applyNumberFormat="1" applyFont="1" applyFill="1" applyBorder="1" applyAlignment="1" applyProtection="1">
      <alignment horizontal="right" vertical="center"/>
    </xf>
    <xf numFmtId="4" fontId="9" fillId="9" borderId="48" xfId="0" applyNumberFormat="1" applyFont="1" applyFill="1" applyBorder="1" applyAlignment="1" applyProtection="1">
      <alignment horizontal="right" vertical="center"/>
    </xf>
    <xf numFmtId="0" fontId="9" fillId="9" borderId="70" xfId="0" applyFont="1" applyFill="1" applyBorder="1" applyAlignment="1" applyProtection="1">
      <alignment horizontal="center" vertical="center"/>
    </xf>
    <xf numFmtId="0" fontId="9" fillId="9" borderId="78" xfId="0" applyFont="1" applyFill="1" applyBorder="1" applyAlignment="1" applyProtection="1">
      <alignment horizontal="right" vertical="center"/>
    </xf>
    <xf numFmtId="0" fontId="9" fillId="9" borderId="15" xfId="0" applyFont="1" applyFill="1" applyBorder="1" applyAlignment="1" applyProtection="1">
      <alignment horizontal="right" vertical="center"/>
    </xf>
    <xf numFmtId="41" fontId="9" fillId="9" borderId="70" xfId="0" applyNumberFormat="1" applyFont="1" applyFill="1" applyBorder="1" applyAlignment="1" applyProtection="1">
      <alignment horizontal="right" vertical="center"/>
    </xf>
    <xf numFmtId="0" fontId="9" fillId="9" borderId="79" xfId="0" applyFont="1" applyFill="1" applyBorder="1" applyAlignment="1" applyProtection="1">
      <alignment horizontal="right" vertical="center"/>
    </xf>
    <xf numFmtId="41" fontId="9" fillId="9" borderId="15" xfId="0" applyNumberFormat="1" applyFont="1" applyFill="1" applyBorder="1" applyAlignment="1" applyProtection="1">
      <alignment horizontal="right" vertical="center"/>
    </xf>
    <xf numFmtId="0" fontId="9" fillId="9" borderId="70" xfId="0" applyFont="1" applyFill="1" applyBorder="1" applyAlignment="1" applyProtection="1">
      <alignment horizontal="right" vertical="center"/>
    </xf>
    <xf numFmtId="0" fontId="9" fillId="9" borderId="0" xfId="0" applyFont="1" applyFill="1" applyBorder="1" applyAlignment="1" applyProtection="1">
      <alignment horizontal="right" vertical="center"/>
    </xf>
    <xf numFmtId="0" fontId="9" fillId="9" borderId="4" xfId="0" applyFont="1" applyFill="1" applyBorder="1" applyAlignment="1" applyProtection="1">
      <alignment horizontal="right" vertical="center"/>
    </xf>
    <xf numFmtId="0" fontId="9" fillId="9" borderId="56" xfId="0" applyFont="1" applyFill="1" applyBorder="1" applyAlignment="1" applyProtection="1">
      <alignment horizontal="center" vertical="center"/>
    </xf>
    <xf numFmtId="41" fontId="9" fillId="9" borderId="80" xfId="0" applyNumberFormat="1" applyFont="1" applyFill="1" applyBorder="1" applyAlignment="1" applyProtection="1">
      <alignment horizontal="right" vertical="center"/>
    </xf>
    <xf numFmtId="4" fontId="9" fillId="9" borderId="14" xfId="0" applyNumberFormat="1" applyFont="1" applyFill="1" applyBorder="1" applyAlignment="1" applyProtection="1">
      <alignment horizontal="right" vertical="center"/>
    </xf>
    <xf numFmtId="4" fontId="9" fillId="9" borderId="56" xfId="0" applyNumberFormat="1" applyFont="1" applyFill="1" applyBorder="1" applyAlignment="1" applyProtection="1">
      <alignment horizontal="right" vertical="center"/>
    </xf>
    <xf numFmtId="4" fontId="9" fillId="9" borderId="81" xfId="0" applyNumberFormat="1" applyFont="1" applyFill="1" applyBorder="1" applyAlignment="1" applyProtection="1">
      <alignment horizontal="right" vertical="center"/>
    </xf>
    <xf numFmtId="4" fontId="9" fillId="9" borderId="80" xfId="0" applyNumberFormat="1" applyFont="1" applyFill="1" applyBorder="1" applyAlignment="1" applyProtection="1">
      <alignment horizontal="right" vertical="center"/>
    </xf>
    <xf numFmtId="4" fontId="9" fillId="9" borderId="82" xfId="0" applyNumberFormat="1" applyFont="1" applyFill="1" applyBorder="1" applyAlignment="1" applyProtection="1">
      <alignment horizontal="right" vertical="center"/>
    </xf>
    <xf numFmtId="4" fontId="9" fillId="9" borderId="50" xfId="0" applyNumberFormat="1" applyFont="1" applyFill="1" applyBorder="1" applyAlignment="1" applyProtection="1">
      <alignment horizontal="right" vertical="center"/>
    </xf>
    <xf numFmtId="41" fontId="9" fillId="9" borderId="78" xfId="0" applyNumberFormat="1" applyFont="1" applyFill="1" applyBorder="1" applyAlignment="1" applyProtection="1">
      <alignment horizontal="right" vertical="center"/>
    </xf>
    <xf numFmtId="3" fontId="9" fillId="9" borderId="15" xfId="0" applyNumberFormat="1" applyFont="1" applyFill="1" applyBorder="1" applyAlignment="1" applyProtection="1">
      <alignment horizontal="right" vertical="center"/>
    </xf>
    <xf numFmtId="3" fontId="9" fillId="9" borderId="70" xfId="0" applyNumberFormat="1" applyFont="1" applyFill="1" applyBorder="1" applyAlignment="1" applyProtection="1">
      <alignment horizontal="right" vertical="center"/>
    </xf>
    <xf numFmtId="3" fontId="9" fillId="9" borderId="79" xfId="0" applyNumberFormat="1" applyFont="1" applyFill="1" applyBorder="1" applyAlignment="1" applyProtection="1">
      <alignment horizontal="right" vertical="center"/>
    </xf>
    <xf numFmtId="3" fontId="9" fillId="9" borderId="78" xfId="0" applyNumberFormat="1" applyFont="1" applyFill="1" applyBorder="1" applyAlignment="1" applyProtection="1">
      <alignment horizontal="right" vertical="center"/>
    </xf>
    <xf numFmtId="3" fontId="9" fillId="9" borderId="0" xfId="0" applyNumberFormat="1" applyFont="1" applyFill="1" applyBorder="1" applyAlignment="1" applyProtection="1">
      <alignment horizontal="right" vertical="center"/>
    </xf>
    <xf numFmtId="3" fontId="9" fillId="9" borderId="4" xfId="0" applyNumberFormat="1" applyFont="1" applyFill="1" applyBorder="1" applyAlignment="1" applyProtection="1">
      <alignment horizontal="right" vertical="center"/>
    </xf>
    <xf numFmtId="41" fontId="9" fillId="9" borderId="14" xfId="0" applyNumberFormat="1" applyFont="1" applyFill="1" applyBorder="1" applyAlignment="1" applyProtection="1">
      <alignment horizontal="right" vertical="center"/>
    </xf>
    <xf numFmtId="41" fontId="9" fillId="9" borderId="56" xfId="0" applyNumberFormat="1" applyFont="1" applyFill="1" applyBorder="1" applyAlignment="1" applyProtection="1">
      <alignment horizontal="right" vertical="center"/>
    </xf>
    <xf numFmtId="41" fontId="9" fillId="9" borderId="81" xfId="0" applyNumberFormat="1" applyFont="1" applyFill="1" applyBorder="1" applyAlignment="1" applyProtection="1">
      <alignment horizontal="right" vertical="center"/>
    </xf>
    <xf numFmtId="0" fontId="9" fillId="9" borderId="57" xfId="0" applyFont="1" applyFill="1" applyBorder="1" applyAlignment="1" applyProtection="1">
      <alignment horizontal="center" vertical="center"/>
    </xf>
    <xf numFmtId="3" fontId="9" fillId="9" borderId="18" xfId="0" applyNumberFormat="1" applyFont="1" applyFill="1" applyBorder="1" applyAlignment="1" applyProtection="1">
      <alignment horizontal="right" vertical="center"/>
    </xf>
    <xf numFmtId="3" fontId="9" fillId="9" borderId="19" xfId="0" applyNumberFormat="1" applyFont="1" applyFill="1" applyBorder="1" applyAlignment="1" applyProtection="1">
      <alignment horizontal="right" vertical="center"/>
    </xf>
    <xf numFmtId="3" fontId="9" fillId="9" borderId="74" xfId="0" applyNumberFormat="1" applyFont="1" applyFill="1" applyBorder="1" applyAlignment="1" applyProtection="1">
      <alignment horizontal="right" vertical="center"/>
    </xf>
    <xf numFmtId="3" fontId="9" fillId="9" borderId="83" xfId="0" applyNumberFormat="1" applyFont="1" applyFill="1" applyBorder="1" applyAlignment="1" applyProtection="1">
      <alignment horizontal="right" vertical="center"/>
    </xf>
    <xf numFmtId="3" fontId="9" fillId="9" borderId="44" xfId="0" applyNumberFormat="1" applyFont="1" applyFill="1" applyBorder="1" applyAlignment="1" applyProtection="1">
      <alignment horizontal="right" vertical="center"/>
    </xf>
    <xf numFmtId="3" fontId="9" fillId="9" borderId="7" xfId="0" applyNumberFormat="1" applyFont="1" applyFill="1" applyBorder="1" applyAlignment="1" applyProtection="1">
      <alignment horizontal="right" vertical="center"/>
    </xf>
    <xf numFmtId="0" fontId="24" fillId="4" borderId="52" xfId="0" applyFont="1" applyFill="1" applyBorder="1" applyAlignment="1" applyProtection="1">
      <alignment horizontal="center" vertical="center"/>
    </xf>
    <xf numFmtId="4" fontId="24" fillId="4" borderId="84" xfId="0" applyNumberFormat="1" applyFont="1" applyFill="1" applyBorder="1" applyAlignment="1" applyProtection="1">
      <alignment horizontal="right" vertical="center"/>
    </xf>
    <xf numFmtId="4" fontId="24" fillId="4" borderId="16" xfId="0" applyNumberFormat="1" applyFont="1" applyFill="1" applyBorder="1" applyAlignment="1" applyProtection="1">
      <alignment horizontal="right" vertical="center"/>
    </xf>
    <xf numFmtId="4" fontId="24" fillId="4" borderId="52" xfId="0" applyNumberFormat="1" applyFont="1" applyFill="1" applyBorder="1" applyAlignment="1" applyProtection="1">
      <alignment horizontal="right" vertical="center"/>
    </xf>
    <xf numFmtId="4" fontId="24" fillId="4" borderId="40" xfId="0" applyNumberFormat="1" applyFont="1" applyFill="1" applyBorder="1" applyAlignment="1" applyProtection="1">
      <alignment horizontal="right" vertical="center"/>
    </xf>
    <xf numFmtId="4" fontId="24" fillId="4" borderId="68" xfId="0" applyNumberFormat="1" applyFont="1" applyFill="1" applyBorder="1" applyAlignment="1" applyProtection="1">
      <alignment horizontal="right" vertical="center"/>
    </xf>
    <xf numFmtId="4" fontId="24" fillId="4" borderId="46" xfId="0" applyNumberFormat="1" applyFont="1" applyFill="1" applyBorder="1" applyAlignment="1" applyProtection="1">
      <alignment horizontal="right" vertical="center"/>
    </xf>
    <xf numFmtId="0" fontId="24" fillId="4" borderId="57" xfId="0" applyFont="1" applyFill="1" applyBorder="1" applyAlignment="1" applyProtection="1">
      <alignment horizontal="center" vertical="center"/>
    </xf>
    <xf numFmtId="3" fontId="24" fillId="4" borderId="85" xfId="0" applyNumberFormat="1" applyFont="1" applyFill="1" applyBorder="1" applyAlignment="1" applyProtection="1">
      <alignment horizontal="right" vertical="center"/>
    </xf>
    <xf numFmtId="3" fontId="24" fillId="4" borderId="17" xfId="0" applyNumberFormat="1" applyFont="1" applyFill="1" applyBorder="1" applyAlignment="1" applyProtection="1">
      <alignment horizontal="right" vertical="center"/>
    </xf>
    <xf numFmtId="3" fontId="24" fillId="4" borderId="57" xfId="0" applyNumberFormat="1" applyFont="1" applyFill="1" applyBorder="1" applyAlignment="1" applyProtection="1">
      <alignment horizontal="right" vertical="center"/>
    </xf>
    <xf numFmtId="3" fontId="24" fillId="4" borderId="42" xfId="0" applyNumberFormat="1" applyFont="1" applyFill="1" applyBorder="1" applyAlignment="1" applyProtection="1">
      <alignment horizontal="right" vertical="center"/>
    </xf>
    <xf numFmtId="3" fontId="24" fillId="4" borderId="86" xfId="0" applyNumberFormat="1" applyFont="1" applyFill="1" applyBorder="1" applyAlignment="1" applyProtection="1">
      <alignment horizontal="right" vertical="center"/>
    </xf>
    <xf numFmtId="3" fontId="24" fillId="4" borderId="87" xfId="0" applyNumberFormat="1" applyFont="1" applyFill="1" applyBorder="1" applyAlignment="1" applyProtection="1">
      <alignment horizontal="right" vertical="center"/>
    </xf>
    <xf numFmtId="3" fontId="9" fillId="9" borderId="85" xfId="0" applyNumberFormat="1" applyFont="1" applyFill="1" applyBorder="1" applyAlignment="1" applyProtection="1">
      <alignment horizontal="right" vertical="center"/>
    </xf>
    <xf numFmtId="3" fontId="9" fillId="9" borderId="17" xfId="0" applyNumberFormat="1" applyFont="1" applyFill="1" applyBorder="1" applyAlignment="1" applyProtection="1">
      <alignment horizontal="right" vertical="center"/>
    </xf>
    <xf numFmtId="3" fontId="9" fillId="9" borderId="57" xfId="0" applyNumberFormat="1" applyFont="1" applyFill="1" applyBorder="1" applyAlignment="1" applyProtection="1">
      <alignment horizontal="right" vertical="center"/>
    </xf>
    <xf numFmtId="3" fontId="9" fillId="9" borderId="42" xfId="0" applyNumberFormat="1" applyFont="1" applyFill="1" applyBorder="1" applyAlignment="1" applyProtection="1">
      <alignment horizontal="right" vertical="center"/>
    </xf>
    <xf numFmtId="3" fontId="9" fillId="9" borderId="86" xfId="0" applyNumberFormat="1" applyFont="1" applyFill="1" applyBorder="1" applyAlignment="1" applyProtection="1">
      <alignment horizontal="right" vertical="center"/>
    </xf>
    <xf numFmtId="3" fontId="9" fillId="9" borderId="87" xfId="0" applyNumberFormat="1" applyFont="1" applyFill="1" applyBorder="1" applyAlignment="1" applyProtection="1">
      <alignment horizontal="right" vertical="center"/>
    </xf>
    <xf numFmtId="0" fontId="24" fillId="10" borderId="22" xfId="0" applyFont="1" applyFill="1" applyBorder="1" applyAlignment="1" applyProtection="1">
      <alignment horizontal="center" vertical="center"/>
    </xf>
    <xf numFmtId="0" fontId="24" fillId="10" borderId="58" xfId="0" applyFont="1" applyFill="1" applyBorder="1" applyAlignment="1" applyProtection="1">
      <alignment horizontal="center" vertical="center"/>
    </xf>
    <xf numFmtId="4" fontId="24" fillId="10" borderId="88" xfId="0" applyNumberFormat="1" applyFont="1" applyFill="1" applyBorder="1" applyAlignment="1" applyProtection="1">
      <alignment horizontal="right" vertical="center"/>
    </xf>
    <xf numFmtId="4" fontId="24" fillId="10" borderId="22" xfId="0" applyNumberFormat="1" applyFont="1" applyFill="1" applyBorder="1" applyAlignment="1" applyProtection="1">
      <alignment horizontal="right" vertical="center"/>
    </xf>
    <xf numFmtId="4" fontId="24" fillId="10" borderId="58" xfId="0" applyNumberFormat="1" applyFont="1" applyFill="1" applyBorder="1" applyAlignment="1" applyProtection="1">
      <alignment horizontal="right" vertical="center"/>
    </xf>
    <xf numFmtId="4" fontId="24" fillId="10" borderId="89" xfId="0" applyNumberFormat="1" applyFont="1" applyFill="1" applyBorder="1" applyAlignment="1" applyProtection="1">
      <alignment horizontal="right" vertical="center"/>
    </xf>
    <xf numFmtId="4" fontId="24" fillId="10" borderId="90" xfId="0" applyNumberFormat="1" applyFont="1" applyFill="1" applyBorder="1" applyAlignment="1" applyProtection="1">
      <alignment horizontal="right" vertical="center"/>
    </xf>
    <xf numFmtId="4" fontId="24" fillId="10" borderId="91" xfId="0" applyNumberFormat="1" applyFont="1" applyFill="1" applyBorder="1" applyAlignment="1" applyProtection="1">
      <alignment horizontal="right" vertical="center"/>
    </xf>
    <xf numFmtId="4" fontId="9" fillId="0" borderId="59" xfId="0" applyNumberFormat="1" applyFont="1" applyBorder="1" applyAlignment="1" applyProtection="1">
      <alignment horizontal="center" vertical="center"/>
    </xf>
    <xf numFmtId="4" fontId="9" fillId="0" borderId="92" xfId="0" applyNumberFormat="1" applyFont="1" applyBorder="1" applyAlignment="1" applyProtection="1">
      <alignment horizontal="right" vertical="center"/>
    </xf>
    <xf numFmtId="4" fontId="9" fillId="0" borderId="61" xfId="0" applyNumberFormat="1" applyFont="1" applyBorder="1" applyAlignment="1" applyProtection="1">
      <alignment horizontal="right" vertical="center"/>
    </xf>
    <xf numFmtId="41" fontId="9" fillId="0" borderId="59" xfId="0" applyNumberFormat="1" applyFont="1" applyBorder="1" applyAlignment="1" applyProtection="1">
      <alignment horizontal="right" vertical="center"/>
    </xf>
    <xf numFmtId="4" fontId="9" fillId="0" borderId="93" xfId="0" applyNumberFormat="1" applyFont="1" applyBorder="1" applyAlignment="1" applyProtection="1">
      <alignment horizontal="right" vertical="center"/>
    </xf>
    <xf numFmtId="41" fontId="9" fillId="0" borderId="61" xfId="0" applyNumberFormat="1" applyFont="1" applyBorder="1" applyAlignment="1" applyProtection="1">
      <alignment horizontal="right" vertical="center"/>
    </xf>
    <xf numFmtId="3" fontId="9" fillId="0" borderId="62" xfId="0" applyNumberFormat="1" applyFont="1" applyBorder="1" applyAlignment="1" applyProtection="1">
      <alignment horizontal="center" vertical="center"/>
    </xf>
    <xf numFmtId="3" fontId="9" fillId="0" borderId="96" xfId="0" applyNumberFormat="1" applyFont="1" applyBorder="1" applyAlignment="1" applyProtection="1">
      <alignment horizontal="right" vertical="center"/>
    </xf>
    <xf numFmtId="3" fontId="9" fillId="0" borderId="63" xfId="0" applyNumberFormat="1" applyFont="1" applyBorder="1" applyAlignment="1" applyProtection="1">
      <alignment horizontal="right" vertical="center"/>
    </xf>
    <xf numFmtId="41" fontId="9" fillId="0" borderId="62" xfId="0" applyNumberFormat="1" applyFont="1" applyBorder="1" applyAlignment="1" applyProtection="1">
      <alignment horizontal="right" vertical="center"/>
    </xf>
    <xf numFmtId="3" fontId="9" fillId="0" borderId="97" xfId="0" applyNumberFormat="1" applyFont="1" applyBorder="1" applyAlignment="1" applyProtection="1">
      <alignment horizontal="right" vertical="center"/>
    </xf>
    <xf numFmtId="41" fontId="9" fillId="0" borderId="63" xfId="0" applyNumberFormat="1" applyFont="1" applyBorder="1" applyAlignment="1" applyProtection="1">
      <alignment horizontal="right" vertical="center"/>
    </xf>
    <xf numFmtId="4" fontId="9" fillId="0" borderId="54" xfId="0" applyNumberFormat="1" applyFont="1" applyBorder="1" applyAlignment="1" applyProtection="1">
      <alignment horizontal="center" vertical="center"/>
    </xf>
    <xf numFmtId="41" fontId="9" fillId="0" borderId="75" xfId="0" applyNumberFormat="1" applyFont="1" applyBorder="1" applyAlignment="1" applyProtection="1">
      <alignment horizontal="right" vertical="center"/>
    </xf>
    <xf numFmtId="4" fontId="9" fillId="0" borderId="20" xfId="0" applyNumberFormat="1" applyFont="1" applyBorder="1" applyAlignment="1" applyProtection="1">
      <alignment horizontal="right" vertical="center"/>
    </xf>
    <xf numFmtId="4" fontId="9" fillId="0" borderId="54" xfId="0" applyNumberFormat="1" applyFont="1" applyBorder="1" applyAlignment="1" applyProtection="1">
      <alignment horizontal="right" vertical="center"/>
    </xf>
    <xf numFmtId="4" fontId="9" fillId="0" borderId="76" xfId="0" applyNumberFormat="1" applyFont="1" applyBorder="1" applyAlignment="1" applyProtection="1">
      <alignment horizontal="right" vertical="center"/>
    </xf>
    <xf numFmtId="3" fontId="9" fillId="0" borderId="70" xfId="0" applyNumberFormat="1" applyFont="1" applyBorder="1" applyAlignment="1" applyProtection="1">
      <alignment horizontal="center" vertical="center"/>
    </xf>
    <xf numFmtId="41" fontId="9" fillId="0" borderId="78" xfId="0" applyNumberFormat="1" applyFont="1" applyFill="1" applyBorder="1" applyAlignment="1" applyProtection="1">
      <alignment horizontal="right" vertical="center"/>
    </xf>
    <xf numFmtId="3" fontId="9" fillId="0" borderId="15" xfId="0" applyNumberFormat="1" applyFont="1" applyFill="1" applyBorder="1" applyAlignment="1" applyProtection="1">
      <alignment horizontal="right" vertical="center"/>
    </xf>
    <xf numFmtId="3" fontId="9" fillId="0" borderId="70" xfId="0" applyNumberFormat="1" applyFont="1" applyFill="1" applyBorder="1" applyAlignment="1" applyProtection="1">
      <alignment horizontal="right" vertical="center"/>
    </xf>
    <xf numFmtId="3" fontId="9" fillId="0" borderId="79" xfId="0" applyNumberFormat="1" applyFont="1" applyFill="1" applyBorder="1" applyAlignment="1" applyProtection="1">
      <alignment horizontal="right" vertical="center"/>
    </xf>
    <xf numFmtId="4" fontId="9" fillId="0" borderId="21" xfId="0" applyNumberFormat="1" applyFont="1" applyBorder="1" applyAlignment="1" applyProtection="1">
      <alignment horizontal="center" vertical="center"/>
    </xf>
    <xf numFmtId="4" fontId="9" fillId="0" borderId="100" xfId="0" applyNumberFormat="1" applyFont="1" applyBorder="1" applyAlignment="1" applyProtection="1">
      <alignment horizontal="center" vertical="center"/>
    </xf>
    <xf numFmtId="4" fontId="9" fillId="7" borderId="101" xfId="0" applyNumberFormat="1" applyFont="1" applyFill="1" applyBorder="1" applyAlignment="1" applyProtection="1">
      <alignment horizontal="right" vertical="center"/>
    </xf>
    <xf numFmtId="4" fontId="9" fillId="7" borderId="21" xfId="0" applyNumberFormat="1" applyFont="1" applyFill="1" applyBorder="1" applyAlignment="1" applyProtection="1">
      <alignment horizontal="right" vertical="center"/>
    </xf>
    <xf numFmtId="4" fontId="9" fillId="7" borderId="100" xfId="0" applyNumberFormat="1" applyFont="1" applyFill="1" applyBorder="1" applyAlignment="1" applyProtection="1">
      <alignment horizontal="right" vertical="center"/>
    </xf>
    <xf numFmtId="4" fontId="9" fillId="7" borderId="102" xfId="0" applyNumberFormat="1" applyFont="1" applyFill="1" applyBorder="1" applyAlignment="1" applyProtection="1">
      <alignment horizontal="right" vertical="center"/>
    </xf>
    <xf numFmtId="4" fontId="9" fillId="7" borderId="63" xfId="0" applyNumberFormat="1" applyFont="1" applyFill="1" applyBorder="1" applyAlignment="1" applyProtection="1">
      <alignment vertical="center"/>
    </xf>
    <xf numFmtId="4" fontId="9" fillId="7" borderId="62" xfId="0" applyNumberFormat="1" applyFont="1" applyFill="1" applyBorder="1" applyAlignment="1" applyProtection="1">
      <alignment horizontal="center" vertical="center"/>
    </xf>
    <xf numFmtId="4" fontId="9" fillId="7" borderId="96" xfId="0" applyNumberFormat="1" applyFont="1" applyFill="1" applyBorder="1" applyAlignment="1" applyProtection="1">
      <alignment horizontal="right" vertical="center"/>
    </xf>
    <xf numFmtId="4" fontId="9" fillId="7" borderId="63" xfId="0" applyNumberFormat="1" applyFont="1" applyFill="1" applyBorder="1" applyAlignment="1" applyProtection="1">
      <alignment horizontal="right" vertical="center"/>
    </xf>
    <xf numFmtId="4" fontId="9" fillId="7" borderId="62" xfId="0" applyNumberFormat="1" applyFont="1" applyFill="1" applyBorder="1" applyAlignment="1" applyProtection="1">
      <alignment horizontal="right" vertical="center"/>
    </xf>
    <xf numFmtId="4" fontId="9" fillId="7" borderId="97" xfId="0" applyNumberFormat="1" applyFont="1" applyFill="1" applyBorder="1" applyAlignment="1" applyProtection="1">
      <alignment horizontal="right" vertical="center"/>
    </xf>
    <xf numFmtId="4" fontId="20" fillId="0" borderId="56" xfId="0" applyNumberFormat="1" applyFont="1" applyBorder="1" applyAlignment="1" applyProtection="1">
      <alignment horizontal="center" vertical="center"/>
    </xf>
    <xf numFmtId="4" fontId="20" fillId="0" borderId="80" xfId="0" applyNumberFormat="1" applyFont="1" applyFill="1" applyBorder="1" applyAlignment="1" applyProtection="1">
      <alignment horizontal="right" vertical="center"/>
    </xf>
    <xf numFmtId="4" fontId="20" fillId="0" borderId="14" xfId="0" applyNumberFormat="1" applyFont="1" applyFill="1" applyBorder="1" applyAlignment="1" applyProtection="1">
      <alignment horizontal="right" vertical="center"/>
    </xf>
    <xf numFmtId="41" fontId="20" fillId="0" borderId="54" xfId="0" applyNumberFormat="1" applyFont="1" applyBorder="1" applyAlignment="1" applyProtection="1">
      <alignment horizontal="right" vertical="center"/>
    </xf>
    <xf numFmtId="4" fontId="20" fillId="0" borderId="81" xfId="0" applyNumberFormat="1" applyFont="1" applyFill="1" applyBorder="1" applyAlignment="1" applyProtection="1">
      <alignment horizontal="right" vertical="center"/>
    </xf>
    <xf numFmtId="41" fontId="20" fillId="0" borderId="20" xfId="0" applyNumberFormat="1" applyFont="1" applyBorder="1" applyAlignment="1" applyProtection="1">
      <alignment horizontal="right" vertical="center"/>
    </xf>
    <xf numFmtId="4" fontId="20" fillId="0" borderId="56" xfId="0" applyNumberFormat="1" applyFont="1" applyFill="1" applyBorder="1" applyAlignment="1" applyProtection="1">
      <alignment horizontal="right" vertical="center"/>
    </xf>
    <xf numFmtId="4" fontId="20" fillId="0" borderId="82" xfId="0" applyNumberFormat="1" applyFont="1" applyFill="1" applyBorder="1" applyAlignment="1" applyProtection="1">
      <alignment horizontal="right" vertical="center"/>
    </xf>
    <xf numFmtId="4" fontId="20" fillId="0" borderId="50" xfId="0" applyNumberFormat="1" applyFont="1" applyFill="1" applyBorder="1" applyAlignment="1" applyProtection="1">
      <alignment horizontal="right" vertical="center"/>
    </xf>
    <xf numFmtId="3" fontId="20" fillId="0" borderId="57" xfId="0" applyNumberFormat="1" applyFont="1" applyBorder="1" applyAlignment="1" applyProtection="1">
      <alignment horizontal="center" vertical="center"/>
    </xf>
    <xf numFmtId="3" fontId="20" fillId="0" borderId="18" xfId="0" applyNumberFormat="1" applyFont="1" applyFill="1" applyBorder="1" applyAlignment="1" applyProtection="1">
      <alignment horizontal="right" vertical="center"/>
    </xf>
    <xf numFmtId="3" fontId="20" fillId="0" borderId="19" xfId="0" applyNumberFormat="1" applyFont="1" applyFill="1" applyBorder="1" applyAlignment="1" applyProtection="1">
      <alignment horizontal="right" vertical="center"/>
    </xf>
    <xf numFmtId="41" fontId="20" fillId="0" borderId="83" xfId="0" applyNumberFormat="1" applyFont="1" applyBorder="1" applyAlignment="1" applyProtection="1">
      <alignment horizontal="right" vertical="center"/>
    </xf>
    <xf numFmtId="3" fontId="20" fillId="0" borderId="74" xfId="0" applyNumberFormat="1" applyFont="1" applyFill="1" applyBorder="1" applyAlignment="1" applyProtection="1">
      <alignment horizontal="right" vertical="center"/>
    </xf>
    <xf numFmtId="41" fontId="20" fillId="0" borderId="15" xfId="0" applyNumberFormat="1" applyFont="1" applyFill="1" applyBorder="1" applyAlignment="1" applyProtection="1">
      <alignment horizontal="right" vertical="center"/>
    </xf>
    <xf numFmtId="3" fontId="20" fillId="0" borderId="83" xfId="0" applyNumberFormat="1" applyFont="1" applyFill="1" applyBorder="1" applyAlignment="1" applyProtection="1">
      <alignment horizontal="right" vertical="center"/>
    </xf>
    <xf numFmtId="3" fontId="20" fillId="0" borderId="44" xfId="0" applyNumberFormat="1" applyFont="1" applyFill="1" applyBorder="1" applyAlignment="1" applyProtection="1">
      <alignment horizontal="right" vertical="center"/>
    </xf>
    <xf numFmtId="3" fontId="20" fillId="0" borderId="7" xfId="0" applyNumberFormat="1" applyFont="1" applyFill="1" applyBorder="1" applyAlignment="1" applyProtection="1">
      <alignment horizontal="right" vertical="center"/>
    </xf>
    <xf numFmtId="4" fontId="24" fillId="4" borderId="52" xfId="0" applyNumberFormat="1" applyFont="1" applyFill="1" applyBorder="1" applyAlignment="1" applyProtection="1">
      <alignment horizontal="center" vertical="center"/>
    </xf>
    <xf numFmtId="3" fontId="24" fillId="4" borderId="57" xfId="0" applyNumberFormat="1" applyFont="1" applyFill="1" applyBorder="1" applyAlignment="1" applyProtection="1">
      <alignment horizontal="center" vertical="center"/>
    </xf>
    <xf numFmtId="4" fontId="9" fillId="0" borderId="56" xfId="0" applyNumberFormat="1" applyFont="1" applyBorder="1" applyAlignment="1" applyProtection="1">
      <alignment horizontal="center" vertical="center"/>
    </xf>
    <xf numFmtId="4" fontId="9" fillId="0" borderId="80" xfId="0" applyNumberFormat="1" applyFont="1" applyFill="1" applyBorder="1" applyAlignment="1" applyProtection="1">
      <alignment horizontal="right" vertical="center"/>
    </xf>
    <xf numFmtId="4" fontId="9" fillId="0" borderId="14" xfId="0" applyNumberFormat="1" applyFont="1" applyFill="1" applyBorder="1" applyAlignment="1" applyProtection="1">
      <alignment horizontal="right" vertical="center"/>
    </xf>
    <xf numFmtId="4" fontId="9" fillId="0" borderId="56" xfId="0" applyNumberFormat="1" applyFont="1" applyFill="1" applyBorder="1" applyAlignment="1" applyProtection="1">
      <alignment horizontal="right" vertical="center"/>
    </xf>
    <xf numFmtId="4" fontId="9" fillId="0" borderId="81" xfId="0" applyNumberFormat="1" applyFont="1" applyFill="1" applyBorder="1" applyAlignment="1" applyProtection="1">
      <alignment horizontal="right" vertical="center"/>
    </xf>
    <xf numFmtId="3" fontId="9" fillId="0" borderId="78" xfId="0" applyNumberFormat="1" applyFont="1" applyFill="1" applyBorder="1" applyAlignment="1" applyProtection="1">
      <alignment horizontal="right" vertical="center"/>
    </xf>
    <xf numFmtId="3" fontId="20" fillId="0" borderId="85" xfId="0" applyNumberFormat="1" applyFont="1" applyFill="1" applyBorder="1" applyAlignment="1" applyProtection="1">
      <alignment horizontal="right" vertical="center"/>
    </xf>
    <xf numFmtId="3" fontId="20" fillId="0" borderId="17" xfId="0" applyNumberFormat="1" applyFont="1" applyFill="1" applyBorder="1" applyAlignment="1" applyProtection="1">
      <alignment horizontal="right" vertical="center"/>
    </xf>
    <xf numFmtId="3" fontId="20" fillId="0" borderId="57" xfId="0" applyNumberFormat="1" applyFont="1" applyFill="1" applyBorder="1" applyAlignment="1" applyProtection="1">
      <alignment horizontal="right" vertical="center"/>
    </xf>
    <xf numFmtId="3" fontId="20" fillId="0" borderId="42" xfId="0" applyNumberFormat="1" applyFont="1" applyFill="1" applyBorder="1" applyAlignment="1" applyProtection="1">
      <alignment horizontal="right" vertical="center"/>
    </xf>
    <xf numFmtId="3" fontId="20" fillId="0" borderId="86" xfId="0" applyNumberFormat="1" applyFont="1" applyFill="1" applyBorder="1" applyAlignment="1" applyProtection="1">
      <alignment horizontal="right" vertical="center"/>
    </xf>
    <xf numFmtId="3" fontId="20" fillId="0" borderId="87" xfId="0" applyNumberFormat="1" applyFont="1" applyFill="1" applyBorder="1" applyAlignment="1" applyProtection="1">
      <alignment horizontal="right" vertical="center"/>
    </xf>
    <xf numFmtId="3" fontId="9" fillId="0" borderId="57" xfId="0" applyNumberFormat="1" applyFont="1" applyBorder="1" applyAlignment="1" applyProtection="1">
      <alignment horizontal="center" vertical="center"/>
    </xf>
    <xf numFmtId="3" fontId="9" fillId="0" borderId="85" xfId="0" applyNumberFormat="1" applyFont="1" applyFill="1" applyBorder="1" applyAlignment="1" applyProtection="1">
      <alignment horizontal="right" vertical="center"/>
    </xf>
    <xf numFmtId="3" fontId="9" fillId="0" borderId="17" xfId="0" applyNumberFormat="1" applyFont="1" applyFill="1" applyBorder="1" applyAlignment="1" applyProtection="1">
      <alignment horizontal="right" vertical="center"/>
    </xf>
    <xf numFmtId="3" fontId="9" fillId="0" borderId="57" xfId="0" applyNumberFormat="1" applyFont="1" applyFill="1" applyBorder="1" applyAlignment="1" applyProtection="1">
      <alignment horizontal="right" vertical="center"/>
    </xf>
    <xf numFmtId="3" fontId="9" fillId="0" borderId="42" xfId="0" applyNumberFormat="1" applyFont="1" applyFill="1" applyBorder="1" applyAlignment="1" applyProtection="1">
      <alignment horizontal="right" vertical="center"/>
    </xf>
    <xf numFmtId="4" fontId="24" fillId="10" borderId="22" xfId="0" applyNumberFormat="1" applyFont="1" applyFill="1" applyBorder="1" applyAlignment="1" applyProtection="1">
      <alignment horizontal="center" vertical="center"/>
    </xf>
    <xf numFmtId="4" fontId="24" fillId="10" borderId="58" xfId="0" applyNumberFormat="1" applyFont="1" applyFill="1" applyBorder="1" applyAlignment="1" applyProtection="1">
      <alignment horizontal="center" vertical="center"/>
    </xf>
    <xf numFmtId="4" fontId="9" fillId="7" borderId="92" xfId="0" applyNumberFormat="1" applyFont="1" applyFill="1" applyBorder="1" applyAlignment="1" applyProtection="1">
      <alignment horizontal="right" vertical="center"/>
    </xf>
    <xf numFmtId="4" fontId="9" fillId="7" borderId="61" xfId="0" applyNumberFormat="1" applyFont="1" applyFill="1" applyBorder="1" applyAlignment="1" applyProtection="1">
      <alignment horizontal="right" vertical="center"/>
    </xf>
    <xf numFmtId="4" fontId="9" fillId="7" borderId="59" xfId="0" applyNumberFormat="1" applyFont="1" applyFill="1" applyBorder="1" applyAlignment="1" applyProtection="1">
      <alignment horizontal="right" vertical="center"/>
    </xf>
    <xf numFmtId="4" fontId="9" fillId="7" borderId="93" xfId="0" applyNumberFormat="1" applyFont="1" applyFill="1" applyBorder="1" applyAlignment="1" applyProtection="1">
      <alignment horizontal="right" vertical="center"/>
    </xf>
    <xf numFmtId="3" fontId="9" fillId="7" borderId="78" xfId="0" applyNumberFormat="1" applyFont="1" applyFill="1" applyBorder="1" applyAlignment="1" applyProtection="1">
      <alignment horizontal="right" vertical="center"/>
    </xf>
    <xf numFmtId="3" fontId="9" fillId="7" borderId="15" xfId="0" applyNumberFormat="1" applyFont="1" applyFill="1" applyBorder="1" applyAlignment="1" applyProtection="1">
      <alignment horizontal="right" vertical="center"/>
    </xf>
    <xf numFmtId="3" fontId="9" fillId="7" borderId="70" xfId="0" applyNumberFormat="1" applyFont="1" applyFill="1" applyBorder="1" applyAlignment="1" applyProtection="1">
      <alignment horizontal="right" vertical="center"/>
    </xf>
    <xf numFmtId="3" fontId="9" fillId="7" borderId="79" xfId="0" applyNumberFormat="1" applyFont="1" applyFill="1" applyBorder="1" applyAlignment="1" applyProtection="1">
      <alignment horizontal="right" vertical="center"/>
    </xf>
    <xf numFmtId="0" fontId="9" fillId="0" borderId="56" xfId="0" applyFont="1" applyBorder="1" applyAlignment="1" applyProtection="1">
      <alignment horizontal="center" vertical="center"/>
    </xf>
    <xf numFmtId="0" fontId="9" fillId="7" borderId="80" xfId="0" applyFont="1" applyFill="1" applyBorder="1" applyAlignment="1" applyProtection="1">
      <alignment horizontal="center" vertical="center"/>
    </xf>
    <xf numFmtId="0" fontId="9" fillId="7" borderId="14" xfId="0" applyFont="1" applyFill="1" applyBorder="1" applyAlignment="1" applyProtection="1">
      <alignment horizontal="center" vertical="center"/>
    </xf>
    <xf numFmtId="0" fontId="9" fillId="7" borderId="56" xfId="0" applyFont="1" applyFill="1" applyBorder="1" applyAlignment="1" applyProtection="1">
      <alignment horizontal="center" vertical="center"/>
    </xf>
    <xf numFmtId="0" fontId="9" fillId="7" borderId="81" xfId="0" applyFont="1" applyFill="1" applyBorder="1" applyAlignment="1" applyProtection="1">
      <alignment horizontal="center" vertical="center"/>
    </xf>
    <xf numFmtId="0" fontId="9" fillId="0" borderId="70" xfId="0" applyFont="1" applyBorder="1" applyAlignment="1" applyProtection="1">
      <alignment horizontal="center" vertical="center"/>
    </xf>
    <xf numFmtId="0" fontId="9" fillId="7" borderId="78" xfId="0" applyFont="1" applyFill="1" applyBorder="1" applyAlignment="1" applyProtection="1">
      <alignment horizontal="center" vertical="center"/>
    </xf>
    <xf numFmtId="0" fontId="9" fillId="7" borderId="15" xfId="0" applyFont="1" applyFill="1" applyBorder="1" applyAlignment="1" applyProtection="1">
      <alignment horizontal="center" vertical="center"/>
    </xf>
    <xf numFmtId="0" fontId="9" fillId="7" borderId="70" xfId="0" applyFont="1" applyFill="1" applyBorder="1" applyAlignment="1" applyProtection="1">
      <alignment horizontal="center" vertical="center"/>
    </xf>
    <xf numFmtId="0" fontId="9" fillId="7" borderId="79" xfId="0" applyFont="1" applyFill="1" applyBorder="1" applyAlignment="1" applyProtection="1">
      <alignment horizontal="center" vertical="center"/>
    </xf>
    <xf numFmtId="4" fontId="9" fillId="0" borderId="23" xfId="0" applyNumberFormat="1" applyFont="1" applyBorder="1" applyAlignment="1" applyProtection="1">
      <alignment horizontal="center" vertical="center"/>
    </xf>
    <xf numFmtId="4" fontId="9" fillId="7" borderId="80" xfId="0" applyNumberFormat="1" applyFont="1" applyFill="1" applyBorder="1" applyAlignment="1" applyProtection="1">
      <alignment horizontal="right" vertical="center"/>
    </xf>
    <xf numFmtId="4" fontId="9" fillId="7" borderId="14" xfId="0" applyNumberFormat="1" applyFont="1" applyFill="1" applyBorder="1" applyAlignment="1" applyProtection="1">
      <alignment horizontal="right" vertical="center"/>
    </xf>
    <xf numFmtId="4" fontId="9" fillId="7" borderId="56" xfId="0" applyNumberFormat="1" applyFont="1" applyFill="1" applyBorder="1" applyAlignment="1" applyProtection="1">
      <alignment horizontal="right" vertical="center"/>
    </xf>
    <xf numFmtId="4" fontId="9" fillId="7" borderId="81" xfId="0" applyNumberFormat="1" applyFont="1" applyFill="1" applyBorder="1" applyAlignment="1" applyProtection="1">
      <alignment horizontal="right" vertical="center"/>
    </xf>
    <xf numFmtId="4" fontId="20" fillId="7" borderId="80" xfId="0" applyNumberFormat="1" applyFont="1" applyFill="1" applyBorder="1" applyAlignment="1" applyProtection="1">
      <alignment horizontal="right" vertical="center"/>
    </xf>
    <xf numFmtId="4" fontId="20" fillId="7" borderId="14" xfId="0" applyNumberFormat="1" applyFont="1" applyFill="1" applyBorder="1" applyAlignment="1" applyProtection="1">
      <alignment horizontal="right" vertical="center"/>
    </xf>
    <xf numFmtId="4" fontId="20" fillId="7" borderId="56" xfId="0" applyNumberFormat="1" applyFont="1" applyFill="1" applyBorder="1" applyAlignment="1" applyProtection="1">
      <alignment horizontal="right" vertical="center"/>
    </xf>
    <xf numFmtId="4" fontId="20" fillId="7" borderId="81" xfId="0" applyNumberFormat="1" applyFont="1" applyFill="1" applyBorder="1" applyAlignment="1" applyProtection="1">
      <alignment horizontal="right" vertical="center"/>
    </xf>
    <xf numFmtId="0" fontId="20" fillId="0" borderId="57" xfId="0" applyFont="1" applyBorder="1" applyAlignment="1" applyProtection="1">
      <alignment horizontal="center" vertical="center"/>
    </xf>
    <xf numFmtId="0" fontId="20" fillId="7" borderId="18" xfId="0" applyFont="1" applyFill="1" applyBorder="1" applyAlignment="1" applyProtection="1">
      <alignment horizontal="center" vertical="center"/>
    </xf>
    <xf numFmtId="0" fontId="20" fillId="7" borderId="19" xfId="0" applyFont="1" applyFill="1" applyBorder="1" applyAlignment="1" applyProtection="1">
      <alignment horizontal="center" vertical="center"/>
    </xf>
    <xf numFmtId="0" fontId="20" fillId="7" borderId="83" xfId="0" applyFont="1" applyFill="1" applyBorder="1" applyAlignment="1" applyProtection="1">
      <alignment horizontal="center" vertical="center"/>
    </xf>
    <xf numFmtId="0" fontId="20" fillId="7" borderId="74" xfId="0" applyFont="1" applyFill="1" applyBorder="1" applyAlignment="1" applyProtection="1">
      <alignment horizontal="center" vertical="center"/>
    </xf>
    <xf numFmtId="2" fontId="24" fillId="4" borderId="52" xfId="0" applyNumberFormat="1" applyFont="1" applyFill="1" applyBorder="1" applyAlignment="1" applyProtection="1">
      <alignment horizontal="center" vertical="center"/>
    </xf>
    <xf numFmtId="2" fontId="24" fillId="4" borderId="84" xfId="0" applyNumberFormat="1" applyFont="1" applyFill="1" applyBorder="1" applyAlignment="1" applyProtection="1">
      <alignment horizontal="center" vertical="center"/>
    </xf>
    <xf numFmtId="2" fontId="24" fillId="4" borderId="16" xfId="0" applyNumberFormat="1" applyFont="1" applyFill="1" applyBorder="1" applyAlignment="1" applyProtection="1">
      <alignment horizontal="center" vertical="center"/>
    </xf>
    <xf numFmtId="43" fontId="24" fillId="4" borderId="40" xfId="0" applyNumberFormat="1" applyFont="1" applyFill="1" applyBorder="1" applyAlignment="1" applyProtection="1">
      <alignment horizontal="center" vertical="center"/>
    </xf>
    <xf numFmtId="43" fontId="24" fillId="4" borderId="84" xfId="0" applyNumberFormat="1" applyFont="1" applyFill="1" applyBorder="1" applyAlignment="1" applyProtection="1">
      <alignment horizontal="center" vertical="center"/>
    </xf>
    <xf numFmtId="0" fontId="24" fillId="4" borderId="85" xfId="0" applyFont="1" applyFill="1" applyBorder="1" applyAlignment="1" applyProtection="1">
      <alignment horizontal="center" vertical="center"/>
    </xf>
    <xf numFmtId="0" fontId="24" fillId="4" borderId="17" xfId="0" applyFont="1" applyFill="1" applyBorder="1" applyAlignment="1" applyProtection="1">
      <alignment horizontal="center" vertical="center"/>
    </xf>
    <xf numFmtId="43" fontId="24" fillId="4" borderId="42" xfId="0" applyNumberFormat="1" applyFont="1" applyFill="1" applyBorder="1" applyAlignment="1" applyProtection="1">
      <alignment horizontal="center" vertical="center"/>
    </xf>
    <xf numFmtId="43" fontId="24" fillId="4" borderId="85" xfId="0" applyNumberFormat="1" applyFont="1" applyFill="1" applyBorder="1" applyAlignment="1" applyProtection="1">
      <alignment horizontal="center" vertical="center"/>
    </xf>
    <xf numFmtId="0" fontId="20" fillId="0" borderId="56" xfId="0" applyFont="1" applyBorder="1" applyAlignment="1" applyProtection="1">
      <alignment horizontal="center" vertical="center"/>
    </xf>
    <xf numFmtId="0" fontId="20" fillId="7" borderId="80" xfId="0" applyFont="1" applyFill="1" applyBorder="1" applyAlignment="1" applyProtection="1">
      <alignment horizontal="center" vertical="center"/>
    </xf>
    <xf numFmtId="0" fontId="20" fillId="7" borderId="14" xfId="0" applyFont="1" applyFill="1" applyBorder="1" applyAlignment="1" applyProtection="1">
      <alignment horizontal="center" vertical="center"/>
    </xf>
    <xf numFmtId="0" fontId="20" fillId="7" borderId="56" xfId="0" applyFont="1" applyFill="1" applyBorder="1" applyAlignment="1" applyProtection="1">
      <alignment horizontal="center" vertical="center"/>
    </xf>
    <xf numFmtId="0" fontId="20" fillId="7" borderId="85" xfId="0" applyFont="1" applyFill="1" applyBorder="1" applyAlignment="1" applyProtection="1">
      <alignment horizontal="center" vertical="center"/>
    </xf>
    <xf numFmtId="0" fontId="20" fillId="7" borderId="17" xfId="0" applyFont="1" applyFill="1" applyBorder="1" applyAlignment="1" applyProtection="1">
      <alignment horizontal="center" vertical="center"/>
    </xf>
    <xf numFmtId="0" fontId="20" fillId="7" borderId="57" xfId="0" applyFont="1" applyFill="1" applyBorder="1" applyAlignment="1" applyProtection="1">
      <alignment horizontal="center" vertical="center"/>
    </xf>
    <xf numFmtId="0" fontId="9" fillId="0" borderId="57" xfId="0" applyFont="1" applyBorder="1" applyAlignment="1" applyProtection="1">
      <alignment horizontal="center" vertical="center"/>
    </xf>
    <xf numFmtId="0" fontId="9" fillId="7" borderId="85" xfId="0" applyFont="1" applyFill="1" applyBorder="1" applyAlignment="1" applyProtection="1">
      <alignment horizontal="center" vertical="center"/>
    </xf>
    <xf numFmtId="0" fontId="9" fillId="7" borderId="17" xfId="0" applyFont="1" applyFill="1" applyBorder="1" applyAlignment="1" applyProtection="1">
      <alignment horizontal="center" vertical="center"/>
    </xf>
    <xf numFmtId="0" fontId="9" fillId="7" borderId="57" xfId="0" applyFont="1" applyFill="1" applyBorder="1" applyAlignment="1" applyProtection="1">
      <alignment horizontal="center" vertical="center"/>
    </xf>
    <xf numFmtId="0" fontId="24" fillId="10" borderId="103" xfId="0" applyFont="1" applyFill="1" applyBorder="1" applyAlignment="1" applyProtection="1">
      <alignment horizontal="center" vertical="center"/>
    </xf>
    <xf numFmtId="0" fontId="24" fillId="10" borderId="104" xfId="0" applyFont="1" applyFill="1" applyBorder="1" applyAlignment="1" applyProtection="1">
      <alignment horizontal="center" vertical="center"/>
    </xf>
    <xf numFmtId="0" fontId="24" fillId="10" borderId="105" xfId="0" applyFont="1" applyFill="1" applyBorder="1" applyAlignment="1" applyProtection="1">
      <alignment horizontal="center" vertical="center"/>
    </xf>
    <xf numFmtId="4" fontId="9" fillId="7" borderId="75" xfId="0" applyNumberFormat="1" applyFont="1" applyFill="1" applyBorder="1" applyAlignment="1" applyProtection="1">
      <alignment horizontal="right" vertical="center"/>
    </xf>
    <xf numFmtId="4" fontId="9" fillId="7" borderId="20" xfId="0" applyNumberFormat="1" applyFont="1" applyFill="1" applyBorder="1" applyAlignment="1" applyProtection="1">
      <alignment horizontal="right" vertical="center"/>
    </xf>
    <xf numFmtId="4" fontId="9" fillId="7" borderId="54" xfId="0" applyNumberFormat="1" applyFont="1" applyFill="1" applyBorder="1" applyAlignment="1" applyProtection="1">
      <alignment horizontal="right" vertical="center"/>
    </xf>
    <xf numFmtId="4" fontId="9" fillId="7" borderId="76" xfId="0" applyNumberFormat="1" applyFont="1" applyFill="1" applyBorder="1" applyAlignment="1" applyProtection="1">
      <alignment horizontal="right" vertical="center"/>
    </xf>
    <xf numFmtId="0" fontId="24" fillId="10" borderId="88" xfId="0" applyFont="1" applyFill="1" applyBorder="1" applyAlignment="1" applyProtection="1">
      <alignment horizontal="center" vertical="center"/>
    </xf>
    <xf numFmtId="0" fontId="24" fillId="10" borderId="19" xfId="0" applyFont="1" applyFill="1" applyBorder="1" applyAlignment="1" applyProtection="1">
      <alignment horizontal="center" vertical="center"/>
    </xf>
    <xf numFmtId="0" fontId="24" fillId="10" borderId="111" xfId="0" applyFont="1" applyFill="1" applyBorder="1" applyAlignment="1" applyProtection="1">
      <alignment horizontal="center" vertical="center"/>
    </xf>
    <xf numFmtId="41" fontId="0" fillId="0" borderId="0" xfId="0" applyNumberFormat="1" applyProtection="1"/>
    <xf numFmtId="0" fontId="0" fillId="0" borderId="0" xfId="0" applyBorder="1" applyProtection="1"/>
    <xf numFmtId="167" fontId="0" fillId="0" borderId="0" xfId="0" applyNumberFormat="1" applyAlignment="1" applyProtection="1">
      <alignment horizontal="right"/>
    </xf>
    <xf numFmtId="169" fontId="26" fillId="0" borderId="0" xfId="1" applyNumberFormat="1" applyFont="1" applyFill="1" applyBorder="1" applyAlignment="1">
      <alignment horizontal="center"/>
    </xf>
    <xf numFmtId="0" fontId="8" fillId="8" borderId="18" xfId="0" applyFont="1" applyFill="1" applyBorder="1" applyAlignment="1" applyProtection="1">
      <alignment horizontal="center" vertical="center"/>
    </xf>
    <xf numFmtId="0" fontId="8" fillId="8" borderId="19" xfId="0" applyFont="1" applyFill="1" applyBorder="1" applyAlignment="1" applyProtection="1">
      <alignment horizontal="center" vertical="center"/>
    </xf>
    <xf numFmtId="0" fontId="42" fillId="0" borderId="114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42" fillId="0" borderId="63" xfId="0" applyFont="1" applyFill="1" applyBorder="1" applyAlignment="1">
      <alignment horizontal="center" vertical="center"/>
    </xf>
    <xf numFmtId="0" fontId="42" fillId="0" borderId="19" xfId="0" applyFont="1" applyFill="1" applyBorder="1" applyAlignment="1">
      <alignment horizontal="center" vertical="center"/>
    </xf>
    <xf numFmtId="0" fontId="42" fillId="0" borderId="115" xfId="0" applyFont="1" applyFill="1" applyBorder="1" applyAlignment="1">
      <alignment horizontal="center" vertical="center"/>
    </xf>
    <xf numFmtId="0" fontId="26" fillId="0" borderId="25" xfId="0" applyFont="1" applyFill="1" applyBorder="1" applyAlignment="1">
      <alignment horizontal="center" vertical="center"/>
    </xf>
    <xf numFmtId="0" fontId="26" fillId="0" borderId="116" xfId="0" applyFont="1" applyFill="1" applyBorder="1" applyAlignment="1">
      <alignment horizontal="center" vertical="center"/>
    </xf>
    <xf numFmtId="0" fontId="26" fillId="0" borderId="117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3" borderId="30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4" xfId="0" applyFont="1" applyFill="1" applyBorder="1" applyAlignment="1">
      <alignment horizontal="center" vertical="center"/>
    </xf>
    <xf numFmtId="0" fontId="42" fillId="3" borderId="7" xfId="0" applyFont="1" applyFill="1" applyBorder="1" applyAlignment="1">
      <alignment horizontal="center" vertical="center"/>
    </xf>
    <xf numFmtId="0" fontId="9" fillId="0" borderId="60" xfId="0" applyFont="1" applyFill="1" applyBorder="1" applyAlignment="1">
      <alignment horizontal="left" vertical="center"/>
    </xf>
    <xf numFmtId="0" fontId="9" fillId="0" borderId="92" xfId="0" applyFont="1" applyFill="1" applyBorder="1" applyAlignment="1">
      <alignment horizontal="left" vertical="center"/>
    </xf>
    <xf numFmtId="0" fontId="14" fillId="0" borderId="98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125" xfId="0" applyFont="1" applyFill="1" applyBorder="1" applyAlignment="1">
      <alignment horizontal="left" vertical="center" wrapText="1"/>
    </xf>
    <xf numFmtId="0" fontId="9" fillId="0" borderId="28" xfId="0" applyFont="1" applyFill="1" applyBorder="1" applyAlignment="1">
      <alignment horizontal="left" vertical="center"/>
    </xf>
    <xf numFmtId="0" fontId="9" fillId="0" borderId="110" xfId="0" applyFont="1" applyFill="1" applyBorder="1" applyAlignment="1">
      <alignment horizontal="left" vertical="center"/>
    </xf>
    <xf numFmtId="0" fontId="20" fillId="2" borderId="82" xfId="0" applyFont="1" applyFill="1" applyBorder="1" applyAlignment="1">
      <alignment horizontal="left" vertical="center"/>
    </xf>
    <xf numFmtId="0" fontId="20" fillId="2" borderId="80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center" vertical="center"/>
    </xf>
    <xf numFmtId="0" fontId="10" fillId="0" borderId="116" xfId="0" applyFont="1" applyBorder="1"/>
    <xf numFmtId="0" fontId="10" fillId="0" borderId="71" xfId="0" applyFont="1" applyBorder="1"/>
    <xf numFmtId="0" fontId="21" fillId="4" borderId="116" xfId="0" applyFont="1" applyFill="1" applyBorder="1" applyAlignment="1">
      <alignment horizontal="left" vertical="center"/>
    </xf>
    <xf numFmtId="0" fontId="21" fillId="4" borderId="71" xfId="0" applyFont="1" applyFill="1" applyBorder="1" applyAlignment="1">
      <alignment horizontal="left" vertical="center"/>
    </xf>
    <xf numFmtId="0" fontId="20" fillId="2" borderId="121" xfId="0" applyFont="1" applyFill="1" applyBorder="1" applyAlignment="1">
      <alignment horizontal="left" vertical="center"/>
    </xf>
    <xf numFmtId="0" fontId="20" fillId="2" borderId="110" xfId="0" applyFont="1" applyFill="1" applyBorder="1" applyAlignment="1">
      <alignment horizontal="left" vertical="center"/>
    </xf>
    <xf numFmtId="0" fontId="8" fillId="2" borderId="11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0" fillId="2" borderId="68" xfId="0" applyFont="1" applyFill="1" applyBorder="1" applyAlignment="1">
      <alignment horizontal="left" vertical="center"/>
    </xf>
    <xf numFmtId="0" fontId="20" fillId="2" borderId="84" xfId="0" applyFont="1" applyFill="1" applyBorder="1" applyAlignment="1">
      <alignment horizontal="left" vertical="center"/>
    </xf>
    <xf numFmtId="0" fontId="20" fillId="3" borderId="29" xfId="0" applyFont="1" applyFill="1" applyBorder="1" applyAlignment="1">
      <alignment horizontal="left" vertical="center"/>
    </xf>
    <xf numFmtId="0" fontId="20" fillId="3" borderId="80" xfId="0" applyFont="1" applyFill="1" applyBorder="1" applyAlignment="1">
      <alignment horizontal="left" vertical="center"/>
    </xf>
    <xf numFmtId="0" fontId="9" fillId="0" borderId="31" xfId="0" applyFont="1" applyFill="1" applyBorder="1" applyAlignment="1">
      <alignment horizontal="left" vertical="center"/>
    </xf>
    <xf numFmtId="0" fontId="9" fillId="0" borderId="101" xfId="0" applyFont="1" applyFill="1" applyBorder="1" applyAlignment="1">
      <alignment horizontal="left" vertical="center"/>
    </xf>
    <xf numFmtId="0" fontId="9" fillId="0" borderId="1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9" fillId="0" borderId="63" xfId="0" applyFont="1" applyFill="1" applyBorder="1" applyAlignment="1">
      <alignment horizontal="center" vertical="center"/>
    </xf>
    <xf numFmtId="0" fontId="8" fillId="3" borderId="11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left" vertical="center"/>
    </xf>
    <xf numFmtId="0" fontId="20" fillId="3" borderId="110" xfId="0" applyFont="1" applyFill="1" applyBorder="1" applyAlignment="1">
      <alignment horizontal="left" vertical="center"/>
    </xf>
    <xf numFmtId="0" fontId="21" fillId="4" borderId="31" xfId="0" applyFont="1" applyFill="1" applyBorder="1" applyAlignment="1">
      <alignment horizontal="left" vertical="center"/>
    </xf>
    <xf numFmtId="0" fontId="21" fillId="4" borderId="101" xfId="0" applyFont="1" applyFill="1" applyBorder="1" applyAlignment="1">
      <alignment horizontal="left" vertical="center"/>
    </xf>
    <xf numFmtId="0" fontId="9" fillId="0" borderId="29" xfId="0" applyFont="1" applyFill="1" applyBorder="1" applyAlignment="1">
      <alignment horizontal="left" vertical="center"/>
    </xf>
    <xf numFmtId="0" fontId="9" fillId="0" borderId="80" xfId="0" applyFont="1" applyFill="1" applyBorder="1" applyAlignment="1">
      <alignment horizontal="left" vertical="center"/>
    </xf>
    <xf numFmtId="0" fontId="21" fillId="4" borderId="35" xfId="0" applyFont="1" applyFill="1" applyBorder="1" applyAlignment="1">
      <alignment horizontal="left" vertical="center"/>
    </xf>
    <xf numFmtId="0" fontId="21" fillId="4" borderId="122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left" vertical="center"/>
    </xf>
    <xf numFmtId="0" fontId="9" fillId="0" borderId="123" xfId="0" applyFont="1" applyFill="1" applyBorder="1" applyAlignment="1">
      <alignment horizontal="left" vertical="center"/>
    </xf>
    <xf numFmtId="0" fontId="9" fillId="0" borderId="22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left" vertical="center"/>
    </xf>
    <xf numFmtId="0" fontId="20" fillId="3" borderId="123" xfId="0" applyFont="1" applyFill="1" applyBorder="1" applyAlignment="1">
      <alignment horizontal="left" vertical="center"/>
    </xf>
    <xf numFmtId="0" fontId="20" fillId="3" borderId="36" xfId="0" applyFont="1" applyFill="1" applyBorder="1" applyAlignment="1">
      <alignment horizontal="left" vertical="center"/>
    </xf>
    <xf numFmtId="0" fontId="20" fillId="3" borderId="75" xfId="0" applyFont="1" applyFill="1" applyBorder="1" applyAlignment="1">
      <alignment horizontal="left" vertical="center"/>
    </xf>
    <xf numFmtId="0" fontId="24" fillId="3" borderId="31" xfId="0" applyFont="1" applyFill="1" applyBorder="1" applyAlignment="1">
      <alignment horizontal="left" vertical="center"/>
    </xf>
    <xf numFmtId="0" fontId="24" fillId="3" borderId="101" xfId="0" applyFont="1" applyFill="1" applyBorder="1" applyAlignment="1">
      <alignment horizontal="left" vertical="center"/>
    </xf>
    <xf numFmtId="0" fontId="9" fillId="0" borderId="36" xfId="0" applyFont="1" applyFill="1" applyBorder="1" applyAlignment="1">
      <alignment horizontal="left" vertical="center"/>
    </xf>
    <xf numFmtId="0" fontId="9" fillId="0" borderId="75" xfId="0" applyFont="1" applyFill="1" applyBorder="1" applyAlignment="1">
      <alignment horizontal="left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118" xfId="0" applyFont="1" applyFill="1" applyBorder="1" applyAlignment="1">
      <alignment horizontal="center" vertical="center"/>
    </xf>
    <xf numFmtId="0" fontId="14" fillId="0" borderId="101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left" vertical="center"/>
    </xf>
    <xf numFmtId="0" fontId="20" fillId="3" borderId="101" xfId="0" applyFont="1" applyFill="1" applyBorder="1" applyAlignment="1">
      <alignment horizontal="left" vertical="center"/>
    </xf>
    <xf numFmtId="0" fontId="18" fillId="0" borderId="31" xfId="0" applyFont="1" applyFill="1" applyBorder="1" applyAlignment="1">
      <alignment horizontal="center" vertical="center"/>
    </xf>
    <xf numFmtId="0" fontId="18" fillId="0" borderId="118" xfId="0" applyFont="1" applyFill="1" applyBorder="1" applyAlignment="1">
      <alignment horizontal="center" vertical="center"/>
    </xf>
    <xf numFmtId="0" fontId="18" fillId="0" borderId="101" xfId="0" applyFont="1" applyFill="1" applyBorder="1" applyAlignment="1">
      <alignment horizontal="center" vertical="center"/>
    </xf>
    <xf numFmtId="2" fontId="18" fillId="0" borderId="31" xfId="0" applyNumberFormat="1" applyFont="1" applyBorder="1" applyAlignment="1">
      <alignment horizontal="center" vertical="center"/>
    </xf>
    <xf numFmtId="2" fontId="18" fillId="0" borderId="118" xfId="0" applyNumberFormat="1" applyFont="1" applyBorder="1" applyAlignment="1">
      <alignment horizontal="center" vertical="center"/>
    </xf>
    <xf numFmtId="2" fontId="18" fillId="0" borderId="101" xfId="0" applyNumberFormat="1" applyFont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2" fontId="18" fillId="0" borderId="21" xfId="0" applyNumberFormat="1" applyFont="1" applyFill="1" applyBorder="1" applyAlignment="1">
      <alignment horizontal="center" vertical="center"/>
    </xf>
    <xf numFmtId="0" fontId="21" fillId="2" borderId="119" xfId="0" applyFont="1" applyFill="1" applyBorder="1" applyAlignment="1">
      <alignment horizontal="left" vertical="center"/>
    </xf>
    <xf numFmtId="0" fontId="21" fillId="2" borderId="120" xfId="0" applyFont="1" applyFill="1" applyBorder="1" applyAlignment="1">
      <alignment horizontal="left" vertical="center"/>
    </xf>
    <xf numFmtId="0" fontId="21" fillId="2" borderId="44" xfId="0" applyFont="1" applyFill="1" applyBorder="1" applyAlignment="1">
      <alignment horizontal="left" vertical="center"/>
    </xf>
    <xf numFmtId="0" fontId="21" fillId="2" borderId="18" xfId="0" applyFont="1" applyFill="1" applyBorder="1" applyAlignment="1">
      <alignment horizontal="left" vertical="center"/>
    </xf>
    <xf numFmtId="0" fontId="24" fillId="2" borderId="118" xfId="0" applyFont="1" applyFill="1" applyBorder="1" applyAlignment="1">
      <alignment horizontal="left" vertical="center"/>
    </xf>
    <xf numFmtId="0" fontId="24" fillId="2" borderId="101" xfId="0" applyFont="1" applyFill="1" applyBorder="1" applyAlignment="1">
      <alignment horizontal="left" vertical="center"/>
    </xf>
    <xf numFmtId="0" fontId="20" fillId="3" borderId="26" xfId="0" applyFont="1" applyFill="1" applyBorder="1" applyAlignment="1">
      <alignment horizontal="left" vertical="center"/>
    </xf>
    <xf numFmtId="0" fontId="20" fillId="3" borderId="84" xfId="0" applyFont="1" applyFill="1" applyBorder="1" applyAlignment="1">
      <alignment horizontal="left" vertical="center"/>
    </xf>
    <xf numFmtId="0" fontId="24" fillId="2" borderId="124" xfId="0" applyFont="1" applyFill="1" applyBorder="1" applyAlignment="1">
      <alignment horizontal="left" vertical="center"/>
    </xf>
    <xf numFmtId="0" fontId="24" fillId="2" borderId="123" xfId="0" applyFont="1" applyFill="1" applyBorder="1" applyAlignment="1">
      <alignment horizontal="left" vertical="center"/>
    </xf>
    <xf numFmtId="0" fontId="8" fillId="8" borderId="128" xfId="0" applyFont="1" applyFill="1" applyBorder="1" applyAlignment="1" applyProtection="1">
      <alignment horizontal="center" vertical="center"/>
    </xf>
    <xf numFmtId="0" fontId="8" fillId="8" borderId="120" xfId="0" applyFont="1" applyFill="1" applyBorder="1" applyAlignment="1" applyProtection="1">
      <alignment horizontal="center" vertical="center"/>
    </xf>
    <xf numFmtId="0" fontId="8" fillId="8" borderId="12" xfId="0" applyFont="1" applyFill="1" applyBorder="1" applyAlignment="1" applyProtection="1">
      <alignment horizontal="center" vertical="center"/>
    </xf>
    <xf numFmtId="0" fontId="8" fillId="8" borderId="18" xfId="0" applyFont="1" applyFill="1" applyBorder="1" applyAlignment="1" applyProtection="1">
      <alignment horizontal="center" vertical="center"/>
    </xf>
    <xf numFmtId="0" fontId="8" fillId="8" borderId="115" xfId="0" applyFont="1" applyFill="1" applyBorder="1" applyAlignment="1" applyProtection="1">
      <alignment horizontal="center" vertical="center"/>
    </xf>
    <xf numFmtId="0" fontId="8" fillId="8" borderId="19" xfId="0" applyFont="1" applyFill="1" applyBorder="1" applyAlignment="1" applyProtection="1">
      <alignment horizontal="center" vertical="center"/>
    </xf>
    <xf numFmtId="0" fontId="8" fillId="8" borderId="127" xfId="0" applyFont="1" applyFill="1" applyBorder="1" applyAlignment="1" applyProtection="1">
      <alignment horizontal="center" vertical="center"/>
    </xf>
    <xf numFmtId="0" fontId="8" fillId="8" borderId="83" xfId="0" applyFont="1" applyFill="1" applyBorder="1" applyAlignment="1" applyProtection="1">
      <alignment horizontal="center" vertical="center"/>
    </xf>
    <xf numFmtId="0" fontId="8" fillId="8" borderId="107" xfId="0" applyFont="1" applyFill="1" applyBorder="1" applyAlignment="1" applyProtection="1">
      <alignment horizontal="center" vertical="center"/>
    </xf>
    <xf numFmtId="0" fontId="8" fillId="8" borderId="108" xfId="0" applyFont="1" applyFill="1" applyBorder="1" applyAlignment="1" applyProtection="1">
      <alignment horizontal="center" vertical="center"/>
    </xf>
    <xf numFmtId="0" fontId="8" fillId="8" borderId="126" xfId="0" applyFont="1" applyFill="1" applyBorder="1" applyAlignment="1" applyProtection="1">
      <alignment horizontal="center" vertical="center"/>
    </xf>
    <xf numFmtId="0" fontId="0" fillId="0" borderId="107" xfId="0" applyBorder="1" applyProtection="1"/>
    <xf numFmtId="0" fontId="0" fillId="0" borderId="108" xfId="0" applyBorder="1" applyProtection="1"/>
    <xf numFmtId="0" fontId="8" fillId="9" borderId="11" xfId="0" applyFont="1" applyFill="1" applyBorder="1" applyAlignment="1" applyProtection="1">
      <alignment horizontal="center" vertical="center"/>
    </xf>
    <xf numFmtId="0" fontId="8" fillId="9" borderId="78" xfId="0" applyFont="1" applyFill="1" applyBorder="1" applyAlignment="1" applyProtection="1">
      <alignment horizontal="center" vertical="center"/>
    </xf>
    <xf numFmtId="0" fontId="8" fillId="9" borderId="131" xfId="0" applyFont="1" applyFill="1" applyBorder="1" applyAlignment="1" applyProtection="1">
      <alignment horizontal="center" vertical="center"/>
    </xf>
    <xf numFmtId="0" fontId="8" fillId="9" borderId="88" xfId="0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</xf>
    <xf numFmtId="0" fontId="8" fillId="9" borderId="63" xfId="0" applyFont="1" applyFill="1" applyBorder="1" applyAlignment="1" applyProtection="1">
      <alignment horizontal="center" vertical="center"/>
    </xf>
    <xf numFmtId="0" fontId="8" fillId="9" borderId="23" xfId="0" applyFont="1" applyFill="1" applyBorder="1" applyAlignment="1" applyProtection="1">
      <alignment horizontal="center" vertical="center"/>
    </xf>
    <xf numFmtId="0" fontId="8" fillId="9" borderId="23" xfId="0" applyFont="1" applyFill="1" applyBorder="1" applyAlignment="1" applyProtection="1">
      <alignment horizontal="center" vertical="center" wrapText="1"/>
    </xf>
    <xf numFmtId="0" fontId="8" fillId="9" borderId="19" xfId="0" applyFont="1" applyFill="1" applyBorder="1" applyAlignment="1" applyProtection="1">
      <alignment horizontal="center" vertical="center"/>
    </xf>
    <xf numFmtId="0" fontId="24" fillId="4" borderId="115" xfId="0" applyFont="1" applyFill="1" applyBorder="1" applyAlignment="1" applyProtection="1">
      <alignment horizontal="center" vertical="center"/>
    </xf>
    <xf numFmtId="0" fontId="24" fillId="4" borderId="19" xfId="0" applyFont="1" applyFill="1" applyBorder="1" applyAlignment="1" applyProtection="1">
      <alignment horizontal="center" vertical="center"/>
    </xf>
    <xf numFmtId="0" fontId="8" fillId="9" borderId="115" xfId="0" applyFont="1" applyFill="1" applyBorder="1" applyAlignment="1" applyProtection="1">
      <alignment horizontal="center" vertical="center" wrapText="1"/>
    </xf>
    <xf numFmtId="0" fontId="24" fillId="9" borderId="23" xfId="0" applyFont="1" applyFill="1" applyBorder="1" applyAlignment="1" applyProtection="1">
      <alignment horizontal="center" vertical="center" wrapText="1"/>
    </xf>
    <xf numFmtId="0" fontId="24" fillId="9" borderId="19" xfId="0" applyFont="1" applyFill="1" applyBorder="1" applyAlignment="1" applyProtection="1">
      <alignment horizontal="center" vertical="center"/>
    </xf>
    <xf numFmtId="0" fontId="8" fillId="9" borderId="115" xfId="0" applyFont="1" applyFill="1" applyBorder="1" applyAlignment="1" applyProtection="1">
      <alignment horizontal="center" vertical="center"/>
    </xf>
    <xf numFmtId="0" fontId="8" fillId="0" borderId="114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0" fontId="8" fillId="0" borderId="22" xfId="0" applyFont="1" applyBorder="1" applyAlignment="1" applyProtection="1">
      <alignment horizontal="center" vertical="center"/>
    </xf>
    <xf numFmtId="0" fontId="9" fillId="0" borderId="114" xfId="0" applyFont="1" applyBorder="1" applyAlignment="1" applyProtection="1">
      <alignment horizontal="center" vertical="center"/>
    </xf>
    <xf numFmtId="0" fontId="9" fillId="0" borderId="63" xfId="0" applyFont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/>
    </xf>
    <xf numFmtId="0" fontId="24" fillId="0" borderId="23" xfId="0" applyFont="1" applyBorder="1" applyAlignment="1" applyProtection="1">
      <alignment horizontal="center" vertical="center" wrapText="1"/>
    </xf>
    <xf numFmtId="0" fontId="24" fillId="0" borderId="19" xfId="0" applyFont="1" applyBorder="1" applyAlignment="1" applyProtection="1">
      <alignment horizontal="center" vertical="center"/>
    </xf>
    <xf numFmtId="0" fontId="9" fillId="0" borderId="115" xfId="0" applyFont="1" applyFill="1" applyBorder="1" applyAlignment="1" applyProtection="1">
      <alignment horizontal="center" vertical="center" wrapText="1"/>
    </xf>
    <xf numFmtId="0" fontId="9" fillId="0" borderId="63" xfId="0" applyFont="1" applyFill="1" applyBorder="1" applyAlignment="1" applyProtection="1">
      <alignment horizontal="center" vertical="center"/>
    </xf>
    <xf numFmtId="0" fontId="20" fillId="0" borderId="23" xfId="0" applyFont="1" applyFill="1" applyBorder="1" applyAlignment="1" applyProtection="1">
      <alignment horizontal="center" vertical="center" wrapText="1"/>
    </xf>
    <xf numFmtId="0" fontId="20" fillId="0" borderId="19" xfId="0" applyFont="1" applyFill="1" applyBorder="1" applyAlignment="1" applyProtection="1">
      <alignment horizontal="center" vertical="center"/>
    </xf>
    <xf numFmtId="0" fontId="8" fillId="0" borderId="115" xfId="0" applyFont="1" applyFill="1" applyBorder="1" applyAlignment="1" applyProtection="1">
      <alignment horizontal="center" vertical="center"/>
    </xf>
    <xf numFmtId="0" fontId="8" fillId="0" borderId="19" xfId="0" applyFont="1" applyFill="1" applyBorder="1" applyAlignment="1" applyProtection="1">
      <alignment horizontal="center" vertical="center"/>
    </xf>
    <xf numFmtId="0" fontId="8" fillId="8" borderId="1" xfId="0" applyFont="1" applyFill="1" applyBorder="1" applyAlignment="1" applyProtection="1">
      <alignment horizontal="center" vertical="center"/>
    </xf>
    <xf numFmtId="0" fontId="8" fillId="8" borderId="43" xfId="0" applyFont="1" applyFill="1" applyBorder="1" applyAlignment="1" applyProtection="1">
      <alignment horizontal="center" vertical="center"/>
    </xf>
    <xf numFmtId="0" fontId="8" fillId="8" borderId="2" xfId="0" applyFont="1" applyFill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8" fillId="0" borderId="129" xfId="0" applyFont="1" applyBorder="1" applyAlignment="1" applyProtection="1">
      <alignment horizontal="center" vertical="center"/>
    </xf>
    <xf numFmtId="0" fontId="8" fillId="0" borderId="132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</xf>
    <xf numFmtId="0" fontId="8" fillId="0" borderId="78" xfId="0" applyFont="1" applyBorder="1" applyAlignment="1" applyProtection="1">
      <alignment horizontal="center" vertical="center"/>
    </xf>
    <xf numFmtId="0" fontId="8" fillId="0" borderId="133" xfId="0" applyFont="1" applyBorder="1" applyAlignment="1" applyProtection="1">
      <alignment horizontal="center" vertical="center"/>
    </xf>
    <xf numFmtId="0" fontId="8" fillId="0" borderId="96" xfId="0" applyFont="1" applyBorder="1" applyAlignment="1" applyProtection="1">
      <alignment horizontal="center" vertical="center"/>
    </xf>
    <xf numFmtId="0" fontId="8" fillId="8" borderId="105" xfId="0" applyFont="1" applyFill="1" applyBorder="1" applyAlignment="1" applyProtection="1">
      <alignment horizontal="center" vertical="center"/>
    </xf>
    <xf numFmtId="0" fontId="8" fillId="8" borderId="112" xfId="0" applyFont="1" applyFill="1" applyBorder="1" applyAlignment="1" applyProtection="1">
      <alignment horizontal="center" vertical="center"/>
    </xf>
    <xf numFmtId="0" fontId="8" fillId="0" borderId="79" xfId="0" applyFont="1" applyBorder="1" applyAlignment="1" applyProtection="1">
      <alignment horizontal="center" vertical="center"/>
    </xf>
    <xf numFmtId="0" fontId="8" fillId="0" borderId="74" xfId="0" applyFont="1" applyBorder="1" applyAlignment="1" applyProtection="1">
      <alignment horizontal="center" vertical="center"/>
    </xf>
    <xf numFmtId="4" fontId="24" fillId="0" borderId="23" xfId="0" applyNumberFormat="1" applyFont="1" applyBorder="1" applyAlignment="1" applyProtection="1">
      <alignment horizontal="center" vertical="center" wrapText="1"/>
    </xf>
    <xf numFmtId="4" fontId="24" fillId="0" borderId="19" xfId="0" applyNumberFormat="1" applyFont="1" applyBorder="1" applyAlignment="1" applyProtection="1">
      <alignment horizontal="center" vertical="center"/>
    </xf>
    <xf numFmtId="4" fontId="24" fillId="4" borderId="115" xfId="0" applyNumberFormat="1" applyFont="1" applyFill="1" applyBorder="1" applyAlignment="1" applyProtection="1">
      <alignment horizontal="center" vertical="center"/>
    </xf>
    <xf numFmtId="4" fontId="24" fillId="4" borderId="19" xfId="0" applyNumberFormat="1" applyFont="1" applyFill="1" applyBorder="1" applyAlignment="1" applyProtection="1">
      <alignment horizontal="center" vertical="center"/>
    </xf>
    <xf numFmtId="4" fontId="9" fillId="0" borderId="115" xfId="0" applyNumberFormat="1" applyFont="1" applyFill="1" applyBorder="1" applyAlignment="1" applyProtection="1">
      <alignment horizontal="center" vertical="center" wrapText="1"/>
    </xf>
    <xf numFmtId="4" fontId="9" fillId="0" borderId="63" xfId="0" applyNumberFormat="1" applyFont="1" applyFill="1" applyBorder="1" applyAlignment="1" applyProtection="1">
      <alignment horizontal="center" vertical="center"/>
    </xf>
    <xf numFmtId="4" fontId="20" fillId="0" borderId="23" xfId="0" applyNumberFormat="1" applyFont="1" applyFill="1" applyBorder="1" applyAlignment="1" applyProtection="1">
      <alignment horizontal="center" vertical="center" wrapText="1"/>
    </xf>
    <xf numFmtId="4" fontId="20" fillId="0" borderId="19" xfId="0" applyNumberFormat="1" applyFont="1" applyFill="1" applyBorder="1" applyAlignment="1" applyProtection="1">
      <alignment horizontal="center" vertical="center"/>
    </xf>
    <xf numFmtId="4" fontId="8" fillId="0" borderId="115" xfId="0" applyNumberFormat="1" applyFont="1" applyFill="1" applyBorder="1" applyAlignment="1" applyProtection="1">
      <alignment horizontal="center" vertical="center"/>
    </xf>
    <xf numFmtId="4" fontId="8" fillId="0" borderId="19" xfId="0" applyNumberFormat="1" applyFont="1" applyFill="1" applyBorder="1" applyAlignment="1" applyProtection="1">
      <alignment horizontal="center" vertical="center"/>
    </xf>
    <xf numFmtId="0" fontId="8" fillId="0" borderId="13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131" xfId="0" applyFont="1" applyBorder="1" applyAlignment="1" applyProtection="1">
      <alignment horizontal="center" vertical="center"/>
    </xf>
    <xf numFmtId="0" fontId="8" fillId="0" borderId="88" xfId="0" applyFont="1" applyBorder="1" applyAlignment="1" applyProtection="1">
      <alignment horizontal="center" vertical="center"/>
    </xf>
    <xf numFmtId="4" fontId="9" fillId="0" borderId="114" xfId="0" applyNumberFormat="1" applyFont="1" applyBorder="1" applyAlignment="1" applyProtection="1">
      <alignment horizontal="center" vertical="center"/>
    </xf>
    <xf numFmtId="4" fontId="9" fillId="0" borderId="63" xfId="0" applyNumberFormat="1" applyFont="1" applyBorder="1" applyAlignment="1" applyProtection="1">
      <alignment horizontal="center" vertical="center"/>
    </xf>
    <xf numFmtId="4" fontId="9" fillId="0" borderId="15" xfId="0" applyNumberFormat="1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172" fontId="14" fillId="0" borderId="0" xfId="0" applyNumberFormat="1" applyFont="1" applyBorder="1"/>
  </cellXfs>
  <cellStyles count="174">
    <cellStyle name="20% - Accent1 2" xfId="21"/>
    <cellStyle name="20% - Accent2 2" xfId="22"/>
    <cellStyle name="20% - Accent3 2" xfId="23"/>
    <cellStyle name="20% - Accent4 2" xfId="24"/>
    <cellStyle name="20% - Accent5 2" xfId="25"/>
    <cellStyle name="20% - Accent6 2" xfId="26"/>
    <cellStyle name="40% - Accent1 2" xfId="27"/>
    <cellStyle name="40% - Accent2 2" xfId="28"/>
    <cellStyle name="40% - Accent3 2" xfId="29"/>
    <cellStyle name="40% - Accent4 2" xfId="30"/>
    <cellStyle name="40% - Accent5 2" xfId="31"/>
    <cellStyle name="40% - Accent6 2" xfId="32"/>
    <cellStyle name="60% - Accent1 2" xfId="33"/>
    <cellStyle name="60% - Accent2 2" xfId="34"/>
    <cellStyle name="60% - Accent3 2" xfId="35"/>
    <cellStyle name="60% - Accent4 2" xfId="36"/>
    <cellStyle name="60% - Accent5 2" xfId="37"/>
    <cellStyle name="60% - Accent6 2" xfId="38"/>
    <cellStyle name="Accent1 2" xfId="39"/>
    <cellStyle name="Accent2 2" xfId="40"/>
    <cellStyle name="Accent3 2" xfId="41"/>
    <cellStyle name="Accent4 2" xfId="42"/>
    <cellStyle name="Accent5 2" xfId="43"/>
    <cellStyle name="Accent6 2" xfId="44"/>
    <cellStyle name="Bad 2" xfId="45"/>
    <cellStyle name="Calculation 2" xfId="46"/>
    <cellStyle name="Check Cell 2" xfId="47"/>
    <cellStyle name="Comma" xfId="1" builtinId="3"/>
    <cellStyle name="Comma [0]" xfId="2" builtinId="6"/>
    <cellStyle name="Comma [0] 2" xfId="49"/>
    <cellStyle name="Comma [0] 3" xfId="149"/>
    <cellStyle name="Comma [0] 4" xfId="160"/>
    <cellStyle name="Comma [0] 5" xfId="172"/>
    <cellStyle name="Comma 10" xfId="3"/>
    <cellStyle name="Comma 10 2" xfId="50"/>
    <cellStyle name="Comma 11" xfId="51"/>
    <cellStyle name="Comma 12" xfId="52"/>
    <cellStyle name="Comma 13" xfId="53"/>
    <cellStyle name="Comma 14" xfId="54"/>
    <cellStyle name="Comma 15" xfId="55"/>
    <cellStyle name="Comma 16" xfId="56"/>
    <cellStyle name="Comma 17" xfId="57"/>
    <cellStyle name="Comma 18" xfId="58"/>
    <cellStyle name="Comma 19" xfId="59"/>
    <cellStyle name="Comma 2" xfId="60"/>
    <cellStyle name="Comma 2 2" xfId="4"/>
    <cellStyle name="Comma 2 2 2" xfId="127"/>
    <cellStyle name="Comma 2 2 2 2" xfId="128"/>
    <cellStyle name="Comma 2 2 3" xfId="61"/>
    <cellStyle name="Comma 2 3" xfId="5"/>
    <cellStyle name="Comma 2 4" xfId="6"/>
    <cellStyle name="Comma 2 5" xfId="7"/>
    <cellStyle name="Comma 2 6" xfId="8"/>
    <cellStyle name="Comma 20" xfId="62"/>
    <cellStyle name="Comma 21" xfId="63"/>
    <cellStyle name="Comma 22" xfId="64"/>
    <cellStyle name="Comma 23" xfId="65"/>
    <cellStyle name="Comma 24" xfId="125"/>
    <cellStyle name="Comma 24 2" xfId="137"/>
    <cellStyle name="Comma 24 3" xfId="147"/>
    <cellStyle name="Comma 24 4" xfId="158"/>
    <cellStyle name="Comma 24 5" xfId="170"/>
    <cellStyle name="Comma 25" xfId="126"/>
    <cellStyle name="Comma 25 2" xfId="138"/>
    <cellStyle name="Comma 25 3" xfId="148"/>
    <cellStyle name="Comma 25 4" xfId="159"/>
    <cellStyle name="Comma 25 5" xfId="171"/>
    <cellStyle name="Comma 26" xfId="48"/>
    <cellStyle name="Comma 26 2" xfId="161"/>
    <cellStyle name="Comma 26 3" xfId="173"/>
    <cellStyle name="Comma 3" xfId="66"/>
    <cellStyle name="Comma 4" xfId="67"/>
    <cellStyle name="Comma 5" xfId="68"/>
    <cellStyle name="Comma 6" xfId="69"/>
    <cellStyle name="Comma 7" xfId="70"/>
    <cellStyle name="Comma 8" xfId="71"/>
    <cellStyle name="Comma 9" xfId="72"/>
    <cellStyle name="Explanatory Text 2" xfId="73"/>
    <cellStyle name="Good 2" xfId="74"/>
    <cellStyle name="Heading 1 2" xfId="75"/>
    <cellStyle name="Heading 2 2" xfId="76"/>
    <cellStyle name="Heading 3 2" xfId="77"/>
    <cellStyle name="Heading 4 2" xfId="78"/>
    <cellStyle name="Input 2" xfId="79"/>
    <cellStyle name="Linked Cell 2" xfId="80"/>
    <cellStyle name="Neutral 2" xfId="81"/>
    <cellStyle name="Normal" xfId="0" builtinId="0"/>
    <cellStyle name="Normal 10" xfId="82"/>
    <cellStyle name="Normal 11" xfId="83"/>
    <cellStyle name="Normal 111" xfId="9"/>
    <cellStyle name="Normal 12" xfId="84"/>
    <cellStyle name="Normal 13" xfId="85"/>
    <cellStyle name="Normal 14" xfId="86"/>
    <cellStyle name="Normal 15" xfId="19"/>
    <cellStyle name="Normal 16" xfId="129"/>
    <cellStyle name="Normal 17" xfId="139"/>
    <cellStyle name="Normal 18" xfId="150"/>
    <cellStyle name="Normal 19" xfId="162"/>
    <cellStyle name="Normal 2" xfId="87"/>
    <cellStyle name="Normal 2 2" xfId="10"/>
    <cellStyle name="Normal 2 2 2" xfId="88"/>
    <cellStyle name="Normal 2 2 3" xfId="130"/>
    <cellStyle name="Normal 2 2 4" xfId="140"/>
    <cellStyle name="Normal 2 2 5" xfId="151"/>
    <cellStyle name="Normal 2 2 6" xfId="163"/>
    <cellStyle name="Normal 2 3" xfId="11"/>
    <cellStyle name="Normal 2 4" xfId="12"/>
    <cellStyle name="Normal 2 5" xfId="13"/>
    <cellStyle name="Normal 2 6" xfId="14"/>
    <cellStyle name="Normal 3" xfId="89"/>
    <cellStyle name="Normal 3 2" xfId="90"/>
    <cellStyle name="Normal 3 3" xfId="131"/>
    <cellStyle name="Normal 3 4" xfId="141"/>
    <cellStyle name="Normal 3 5" xfId="152"/>
    <cellStyle name="Normal 3 6" xfId="164"/>
    <cellStyle name="Normal 3_Impairment loss - Aug'10" xfId="91"/>
    <cellStyle name="Normal 4" xfId="92"/>
    <cellStyle name="Normal 4 2" xfId="93"/>
    <cellStyle name="Normal 5" xfId="94"/>
    <cellStyle name="Normal 6" xfId="95"/>
    <cellStyle name="Normal 6 2" xfId="96"/>
    <cellStyle name="Normal 6 2 2" xfId="132"/>
    <cellStyle name="Normal 6 2 3" xfId="142"/>
    <cellStyle name="Normal 6 2 4" xfId="153"/>
    <cellStyle name="Normal 6 2 5" xfId="165"/>
    <cellStyle name="Normal 7" xfId="97"/>
    <cellStyle name="Normal 7 2" xfId="98"/>
    <cellStyle name="Normal 7 2 2" xfId="133"/>
    <cellStyle name="Normal 7 2 3" xfId="143"/>
    <cellStyle name="Normal 7 2 4" xfId="154"/>
    <cellStyle name="Normal 7 2 5" xfId="166"/>
    <cellStyle name="Normal 71" xfId="15"/>
    <cellStyle name="Normal 8" xfId="99"/>
    <cellStyle name="Normal 8 2" xfId="100"/>
    <cellStyle name="Normal 8 2 2" xfId="134"/>
    <cellStyle name="Normal 8 2 3" xfId="144"/>
    <cellStyle name="Normal 8 2 4" xfId="155"/>
    <cellStyle name="Normal 8 2 5" xfId="167"/>
    <cellStyle name="Normal 9" xfId="101"/>
    <cellStyle name="Normal 9 2" xfId="102"/>
    <cellStyle name="Normal 9 2 2" xfId="135"/>
    <cellStyle name="Normal 9 2 3" xfId="145"/>
    <cellStyle name="Normal 9 2 4" xfId="156"/>
    <cellStyle name="Normal 9 2 5" xfId="168"/>
    <cellStyle name="Normal_SMS BROADCAST AUG 06 2" xfId="16"/>
    <cellStyle name="Note 2" xfId="103"/>
    <cellStyle name="Output 2" xfId="104"/>
    <cellStyle name="Percent" xfId="17" builtinId="5"/>
    <cellStyle name="Percent 10" xfId="105"/>
    <cellStyle name="Percent 11" xfId="106"/>
    <cellStyle name="Percent 12" xfId="107"/>
    <cellStyle name="Percent 13" xfId="108"/>
    <cellStyle name="Percent 14" xfId="109"/>
    <cellStyle name="Percent 15" xfId="110"/>
    <cellStyle name="Percent 16" xfId="20"/>
    <cellStyle name="Percent 17" xfId="136"/>
    <cellStyle name="Percent 18" xfId="146"/>
    <cellStyle name="Percent 19" xfId="157"/>
    <cellStyle name="Percent 2" xfId="18"/>
    <cellStyle name="Percent 2 2" xfId="111"/>
    <cellStyle name="Percent 20" xfId="169"/>
    <cellStyle name="Percent 3" xfId="112"/>
    <cellStyle name="Percent 4" xfId="113"/>
    <cellStyle name="Percent 5" xfId="114"/>
    <cellStyle name="Percent 6" xfId="115"/>
    <cellStyle name="Percent 7" xfId="116"/>
    <cellStyle name="Percent 8" xfId="117"/>
    <cellStyle name="Percent 9" xfId="118"/>
    <cellStyle name="Title 2" xfId="119"/>
    <cellStyle name="Total 2" xfId="120"/>
    <cellStyle name="Warning Text 2" xfId="121"/>
    <cellStyle name="未定義" xfId="122"/>
    <cellStyle name="桁区切り [0.00]_BM format CMD" xfId="123"/>
    <cellStyle name="標準_(page06)branch PL" xfId="12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0</xdr:row>
      <xdr:rowOff>0</xdr:rowOff>
    </xdr:from>
    <xdr:to>
      <xdr:col>73</xdr:col>
      <xdr:colOff>838200</xdr:colOff>
      <xdr:row>1</xdr:row>
      <xdr:rowOff>28575</xdr:rowOff>
    </xdr:to>
    <xdr:pic>
      <xdr:nvPicPr>
        <xdr:cNvPr id="3083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21600" y="0"/>
          <a:ext cx="8382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73</xdr:col>
      <xdr:colOff>0</xdr:colOff>
      <xdr:row>0</xdr:row>
      <xdr:rowOff>0</xdr:rowOff>
    </xdr:from>
    <xdr:to>
      <xdr:col>73</xdr:col>
      <xdr:colOff>838200</xdr:colOff>
      <xdr:row>1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6538" y="0"/>
          <a:ext cx="838200" cy="370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02506/Documents/Write%20Off%20Study/Jan%2016/NPL%20Ratio%20(Aeon%20vs%20Market)%20%20BD%20Provision%20v1(Jan'16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0.1.1.95\cmg-share\Admin%20Support\Monthly%20Report\Debtor%20Balance,Bad%20Debt,AKPK,Restructuring,Write-off\NPL%20Ratio%20(Aeon%20vs%20Market)%20&amp;%20BD%20Provisio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L (ALL)"/>
      <sheetName val="By Product(Link)"/>
      <sheetName val="AKPK"/>
    </sheetNames>
    <sheetDataSet>
      <sheetData sheetId="0" refreshError="1"/>
      <sheetData sheetId="1" refreshError="1">
        <row r="25">
          <cell r="BY25">
            <v>420831.78707999992</v>
          </cell>
        </row>
        <row r="27">
          <cell r="BY27">
            <v>542823.19192000048</v>
          </cell>
        </row>
        <row r="33">
          <cell r="BY33">
            <v>4764553.0153399995</v>
          </cell>
        </row>
        <row r="34">
          <cell r="BY34">
            <v>161170.67856897123</v>
          </cell>
        </row>
        <row r="35">
          <cell r="BY35">
            <v>4925723.6939089708</v>
          </cell>
        </row>
      </sheetData>
      <sheetData sheetId="2" refreshError="1">
        <row r="19">
          <cell r="CY19">
            <v>48718734.960000001</v>
          </cell>
        </row>
        <row r="28">
          <cell r="CY28">
            <v>-22543.009999997914</v>
          </cell>
        </row>
        <row r="36">
          <cell r="CY36">
            <v>5271049.1799999969</v>
          </cell>
        </row>
        <row r="38">
          <cell r="CY38">
            <v>1648671.5299999937</v>
          </cell>
        </row>
        <row r="44">
          <cell r="CY44">
            <v>278707.02000000142</v>
          </cell>
        </row>
        <row r="52">
          <cell r="CY52">
            <v>43447685.780000001</v>
          </cell>
        </row>
        <row r="54">
          <cell r="CY54">
            <v>19696484.670000017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L (ALL)"/>
      <sheetName val="By Product(Link)"/>
      <sheetName val="AKPK"/>
    </sheetNames>
    <sheetDataSet>
      <sheetData sheetId="0" refreshError="1">
        <row r="6">
          <cell r="F6">
            <v>0</v>
          </cell>
          <cell r="G6">
            <v>-13.700939271950801</v>
          </cell>
          <cell r="H6">
            <v>-245.66720410085372</v>
          </cell>
          <cell r="I6">
            <v>-422.14000647640182</v>
          </cell>
          <cell r="J6">
            <v>36.438881583196121</v>
          </cell>
          <cell r="K6">
            <v>-224.87308472922496</v>
          </cell>
          <cell r="L6">
            <v>-320.10141527737608</v>
          </cell>
          <cell r="M6">
            <v>151.87493029586062</v>
          </cell>
          <cell r="N6">
            <v>-250.16185313431492</v>
          </cell>
          <cell r="O6">
            <v>557.8726477613103</v>
          </cell>
          <cell r="P6">
            <v>279.10318332169334</v>
          </cell>
          <cell r="Q6">
            <v>554.33886669283334</v>
          </cell>
        </row>
        <row r="7">
          <cell r="F7">
            <v>1226.34455695776</v>
          </cell>
          <cell r="G7">
            <v>-559.80770109233436</v>
          </cell>
          <cell r="H7">
            <v>176.69931260273233</v>
          </cell>
          <cell r="I7">
            <v>-24.293884103556138</v>
          </cell>
          <cell r="J7">
            <v>49.870070516122581</v>
          </cell>
          <cell r="K7">
            <v>-102.95793451250228</v>
          </cell>
          <cell r="L7">
            <v>-530.80825210388468</v>
          </cell>
          <cell r="M7">
            <v>1399.2239297304798</v>
          </cell>
          <cell r="N7">
            <v>52.071280571064307</v>
          </cell>
          <cell r="O7">
            <v>244.60609413932386</v>
          </cell>
          <cell r="P7">
            <v>238.5045654538464</v>
          </cell>
          <cell r="Q7">
            <v>844.74373338238502</v>
          </cell>
        </row>
        <row r="12">
          <cell r="F12">
            <v>-1.3814900000000001</v>
          </cell>
          <cell r="G12">
            <v>84.786000000000001</v>
          </cell>
          <cell r="H12">
            <v>-1.7860000000000014</v>
          </cell>
          <cell r="I12">
            <v>17</v>
          </cell>
          <cell r="J12">
            <v>-2</v>
          </cell>
          <cell r="K12">
            <v>-1</v>
          </cell>
          <cell r="L12">
            <v>-2</v>
          </cell>
          <cell r="M12">
            <v>12.440999999999999</v>
          </cell>
          <cell r="N12">
            <v>-2.5069999999999979</v>
          </cell>
          <cell r="O12">
            <v>-2.8390000000000022</v>
          </cell>
          <cell r="P12">
            <v>-8.8490000000000002</v>
          </cell>
          <cell r="Q12">
            <v>8.8010000000000019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-9</v>
          </cell>
          <cell r="K14">
            <v>-9</v>
          </cell>
          <cell r="L14">
            <v>-8</v>
          </cell>
          <cell r="M14">
            <v>9.1735000000000007</v>
          </cell>
          <cell r="N14">
            <v>-28.742999999999999</v>
          </cell>
          <cell r="O14">
            <v>35.146999999999998</v>
          </cell>
          <cell r="P14">
            <v>0</v>
          </cell>
          <cell r="Q14">
            <v>-52.532499999999999</v>
          </cell>
        </row>
        <row r="15">
          <cell r="F15">
            <v>48.701142268225318</v>
          </cell>
          <cell r="G15">
            <v>-60.524476381607656</v>
          </cell>
          <cell r="H15">
            <v>-46.520279418392306</v>
          </cell>
          <cell r="I15">
            <v>11.664875120000602</v>
          </cell>
          <cell r="J15">
            <v>-10.454219320000561</v>
          </cell>
          <cell r="K15">
            <v>-19.164821183754498</v>
          </cell>
          <cell r="L15">
            <v>-34.821345555096855</v>
          </cell>
          <cell r="M15">
            <v>2.3392394112447619</v>
          </cell>
          <cell r="N15">
            <v>-61.165523362007661</v>
          </cell>
          <cell r="O15">
            <v>-48.44761446158094</v>
          </cell>
          <cell r="P15">
            <v>-12.312566405843825</v>
          </cell>
          <cell r="Q15">
            <v>-50.799980632905942</v>
          </cell>
        </row>
        <row r="16">
          <cell r="F16">
            <v>79.170249999999996</v>
          </cell>
          <cell r="G16">
            <v>952</v>
          </cell>
          <cell r="H16">
            <v>-300</v>
          </cell>
          <cell r="I16">
            <v>-502.46242472289151</v>
          </cell>
          <cell r="J16">
            <v>-361.89553277931827</v>
          </cell>
          <cell r="K16">
            <v>-1.8303915103570001</v>
          </cell>
          <cell r="L16">
            <v>0</v>
          </cell>
          <cell r="M16">
            <v>-374.59719000000001</v>
          </cell>
          <cell r="N16">
            <v>338.76071130611308</v>
          </cell>
          <cell r="O16">
            <v>36</v>
          </cell>
          <cell r="P16">
            <v>100</v>
          </cell>
          <cell r="Q16">
            <v>-445</v>
          </cell>
        </row>
        <row r="17">
          <cell r="F17">
            <v>4755.906434399998</v>
          </cell>
          <cell r="G17">
            <v>4595.2499032541073</v>
          </cell>
          <cell r="H17">
            <v>3890.0926390834857</v>
          </cell>
          <cell r="I17">
            <v>3722.7130198171517</v>
          </cell>
          <cell r="J17">
            <v>4181</v>
          </cell>
          <cell r="K17">
            <v>4120.4952117732773</v>
          </cell>
          <cell r="L17">
            <v>3733.1267570636419</v>
          </cell>
          <cell r="M17">
            <v>4542.1909194375858</v>
          </cell>
          <cell r="N17">
            <v>4248.8610553808539</v>
          </cell>
          <cell r="O17">
            <v>4669.8624374390529</v>
          </cell>
          <cell r="P17">
            <v>4563.8976523696956</v>
          </cell>
          <cell r="Q17">
            <v>4833.2970594423123</v>
          </cell>
        </row>
        <row r="18">
          <cell r="F18">
            <v>25271.257969999999</v>
          </cell>
          <cell r="G18">
            <v>24308.431490000003</v>
          </cell>
          <cell r="H18">
            <v>22674.566729999999</v>
          </cell>
          <cell r="I18">
            <v>23151.922120000003</v>
          </cell>
          <cell r="J18">
            <v>23573.269880000003</v>
          </cell>
          <cell r="K18">
            <v>21339.9532</v>
          </cell>
          <cell r="L18">
            <v>19790.554649999998</v>
          </cell>
          <cell r="M18">
            <v>21581.714550000001</v>
          </cell>
          <cell r="N18">
            <v>21222.475869999998</v>
          </cell>
          <cell r="O18">
            <v>23293.543160000001</v>
          </cell>
          <cell r="P18">
            <v>22554.806329999999</v>
          </cell>
          <cell r="Q18">
            <v>20231.267889999999</v>
          </cell>
        </row>
        <row r="21">
          <cell r="F21">
            <v>23311.86919189219</v>
          </cell>
          <cell r="G21">
            <v>22677.836075146297</v>
          </cell>
          <cell r="H21">
            <v>22565.490402206586</v>
          </cell>
          <cell r="I21">
            <v>22130.721386746627</v>
          </cell>
          <cell r="J21">
            <v>22199.838161991218</v>
          </cell>
          <cell r="K21">
            <v>21852.842321565735</v>
          </cell>
          <cell r="L21">
            <v>20967.111308629377</v>
          </cell>
          <cell r="M21">
            <v>22520.549408066963</v>
          </cell>
          <cell r="N21">
            <v>22261.293312141705</v>
          </cell>
          <cell r="O21">
            <v>23015.324439580756</v>
          </cell>
          <cell r="P21">
            <v>23520.619621950453</v>
          </cell>
          <cell r="Q21">
            <v>24868.902241392763</v>
          </cell>
        </row>
        <row r="28">
          <cell r="F28">
            <v>1356.4075</v>
          </cell>
          <cell r="G28">
            <v>1151.16598</v>
          </cell>
          <cell r="H28">
            <v>1102.0606600000001</v>
          </cell>
          <cell r="I28">
            <v>1150.8154</v>
          </cell>
          <cell r="J28">
            <v>1200.0452499999999</v>
          </cell>
          <cell r="K28">
            <v>995.49659999999903</v>
          </cell>
          <cell r="L28">
            <v>998.82318999999995</v>
          </cell>
          <cell r="M28">
            <v>621.70363999999995</v>
          </cell>
          <cell r="N28">
            <v>742.47343000000001</v>
          </cell>
          <cell r="O28">
            <v>599.98964999999998</v>
          </cell>
          <cell r="P28">
            <v>599.99968000000001</v>
          </cell>
          <cell r="Q28">
            <v>600.05143999999996</v>
          </cell>
        </row>
        <row r="29">
          <cell r="F29">
            <v>1135.9234799999999</v>
          </cell>
          <cell r="G29">
            <v>1121.6154100000001</v>
          </cell>
          <cell r="H29">
            <v>927.59843000000205</v>
          </cell>
          <cell r="I29">
            <v>933.30023999999503</v>
          </cell>
          <cell r="J29">
            <v>1126.9063900000071</v>
          </cell>
          <cell r="K29">
            <v>931.898459999995</v>
          </cell>
          <cell r="L29">
            <v>768.60603999999603</v>
          </cell>
          <cell r="M29">
            <v>655.24992000000395</v>
          </cell>
          <cell r="N29">
            <v>476.30238000002498</v>
          </cell>
          <cell r="O29">
            <v>726.03737999999805</v>
          </cell>
          <cell r="P29">
            <v>798.09050000000195</v>
          </cell>
          <cell r="Q29">
            <v>822.04088999999897</v>
          </cell>
        </row>
        <row r="31">
          <cell r="F31">
            <v>4314.5916200000001</v>
          </cell>
          <cell r="G31">
            <v>4285.0410500000007</v>
          </cell>
          <cell r="H31">
            <v>4110.5788200000025</v>
          </cell>
          <cell r="I31">
            <v>3893.0636599999975</v>
          </cell>
          <cell r="J31">
            <v>3819.9248000000043</v>
          </cell>
          <cell r="K31">
            <v>3756.3266600000002</v>
          </cell>
          <cell r="L31">
            <v>3526.1095099999957</v>
          </cell>
          <cell r="M31">
            <v>3559.6557899999998</v>
          </cell>
          <cell r="N31">
            <v>3293.4847400000249</v>
          </cell>
          <cell r="O31">
            <v>3419.5324700000228</v>
          </cell>
          <cell r="P31">
            <v>3617.623290000025</v>
          </cell>
          <cell r="Q31">
            <v>3839.6127400000241</v>
          </cell>
        </row>
        <row r="33">
          <cell r="F33">
            <v>166671.10328999997</v>
          </cell>
          <cell r="G33">
            <v>160734.36285999999</v>
          </cell>
          <cell r="H33">
            <v>160844.23318000001</v>
          </cell>
          <cell r="I33">
            <v>160028.52149999997</v>
          </cell>
          <cell r="J33">
            <v>161908.75671000002</v>
          </cell>
          <cell r="K33">
            <v>161436.78766999999</v>
          </cell>
          <cell r="L33">
            <v>165320.14856</v>
          </cell>
          <cell r="M33">
            <v>174502.07688000001</v>
          </cell>
          <cell r="N33">
            <v>176984.84584999998</v>
          </cell>
          <cell r="O33">
            <v>188522.91549000001</v>
          </cell>
          <cell r="P33">
            <v>200495.10079000003</v>
          </cell>
          <cell r="Q33">
            <v>212411.07925000001</v>
          </cell>
        </row>
        <row r="36">
          <cell r="F36">
            <v>182815.12304000001</v>
          </cell>
          <cell r="G36">
            <v>177812.47896000001</v>
          </cell>
          <cell r="H36">
            <v>177700.03784999999</v>
          </cell>
          <cell r="I36">
            <v>177716.15984000001</v>
          </cell>
          <cell r="J36">
            <v>179855.21929000001</v>
          </cell>
          <cell r="K36">
            <v>180278.87995999999</v>
          </cell>
          <cell r="L36">
            <v>185051.72038000001</v>
          </cell>
          <cell r="M36">
            <v>193546.05252999999</v>
          </cell>
          <cell r="N36">
            <v>199976.62508</v>
          </cell>
          <cell r="O36">
            <v>212237.74101999999</v>
          </cell>
          <cell r="P36">
            <v>228109.19696</v>
          </cell>
          <cell r="Q36">
            <v>239603.99153</v>
          </cell>
        </row>
      </sheetData>
      <sheetData sheetId="1" refreshError="1">
        <row r="33">
          <cell r="J33">
            <v>755933.34182999993</v>
          </cell>
          <cell r="K33">
            <v>753002.67665000004</v>
          </cell>
          <cell r="L33">
            <v>765773.59275999991</v>
          </cell>
          <cell r="M33">
            <v>786514.45544000017</v>
          </cell>
          <cell r="N33">
            <v>800395.76388999983</v>
          </cell>
          <cell r="O33">
            <v>816277.48628000007</v>
          </cell>
          <cell r="Q33">
            <v>843290.50071000005</v>
          </cell>
        </row>
        <row r="35">
          <cell r="G35">
            <v>774945.78712999891</v>
          </cell>
          <cell r="H35">
            <v>766939.89156999998</v>
          </cell>
          <cell r="I35">
            <v>767211.63429000007</v>
          </cell>
          <cell r="J35">
            <v>773158.57151000004</v>
          </cell>
          <cell r="K35">
            <v>781455.76485000015</v>
          </cell>
          <cell r="L35">
            <v>797088.15008000005</v>
          </cell>
          <cell r="M35">
            <v>809283.19464</v>
          </cell>
          <cell r="N35">
            <v>827703.24349999998</v>
          </cell>
          <cell r="O35">
            <v>841952.82949999999</v>
          </cell>
          <cell r="P35">
            <v>856910.81271999993</v>
          </cell>
          <cell r="Q35">
            <v>872915.91275999998</v>
          </cell>
        </row>
      </sheetData>
      <sheetData sheetId="2" refreshError="1">
        <row r="68">
          <cell r="AF68">
            <v>500103</v>
          </cell>
          <cell r="AG68">
            <v>589819</v>
          </cell>
          <cell r="AH68">
            <v>546095.5</v>
          </cell>
          <cell r="AI68">
            <v>532428</v>
          </cell>
          <cell r="AJ68">
            <v>752524.5</v>
          </cell>
          <cell r="AK68">
            <v>605400</v>
          </cell>
          <cell r="AL68">
            <v>681273</v>
          </cell>
          <cell r="AM68">
            <v>506982</v>
          </cell>
          <cell r="AN68">
            <v>958353</v>
          </cell>
          <cell r="AO68">
            <v>889965.7</v>
          </cell>
          <cell r="AP68">
            <v>762625.5</v>
          </cell>
          <cell r="AQ68">
            <v>640994</v>
          </cell>
        </row>
        <row r="70">
          <cell r="AF70">
            <v>429120.54999999981</v>
          </cell>
          <cell r="AG70">
            <v>506487.5</v>
          </cell>
          <cell r="AH70">
            <v>398549.5</v>
          </cell>
          <cell r="AI70">
            <v>1104649</v>
          </cell>
          <cell r="AJ70">
            <v>588427.96</v>
          </cell>
          <cell r="AK70">
            <v>630294.49000000022</v>
          </cell>
          <cell r="AL70">
            <v>1220018.9199999897</v>
          </cell>
          <cell r="AM70">
            <v>1175068.8700000099</v>
          </cell>
          <cell r="AN70">
            <v>563431.29</v>
          </cell>
          <cell r="AO70">
            <v>375775.08000000054</v>
          </cell>
          <cell r="AP70">
            <v>960889.79999999981</v>
          </cell>
          <cell r="AQ70">
            <v>1563449.2800000003</v>
          </cell>
        </row>
        <row r="84">
          <cell r="AF84">
            <v>1392701</v>
          </cell>
          <cell r="AG84">
            <v>1931210.9</v>
          </cell>
          <cell r="AH84">
            <v>2056897</v>
          </cell>
          <cell r="AI84">
            <v>1467716.5</v>
          </cell>
          <cell r="AJ84">
            <v>1758896</v>
          </cell>
          <cell r="AK84">
            <v>1980080.3</v>
          </cell>
          <cell r="AL84">
            <v>1879060.5</v>
          </cell>
          <cell r="AM84">
            <v>1652725.02</v>
          </cell>
          <cell r="AN84">
            <v>1839265</v>
          </cell>
          <cell r="AO84">
            <v>1711700.49</v>
          </cell>
          <cell r="AP84">
            <v>1984062.2</v>
          </cell>
          <cell r="AQ84">
            <v>2063202</v>
          </cell>
        </row>
        <row r="86">
          <cell r="AF86">
            <v>1423655</v>
          </cell>
          <cell r="AG86">
            <v>1560397</v>
          </cell>
          <cell r="AH86">
            <v>1541078.8000000007</v>
          </cell>
          <cell r="AI86">
            <v>1777277.5000000009</v>
          </cell>
          <cell r="AJ86">
            <v>2215366.2999999998</v>
          </cell>
          <cell r="AK86">
            <v>2171449.2700000014</v>
          </cell>
          <cell r="AL86">
            <v>1489176.9000000004</v>
          </cell>
          <cell r="AM86">
            <v>2100915.3000000007</v>
          </cell>
          <cell r="AN86">
            <v>2268067.0699999984</v>
          </cell>
          <cell r="AO86">
            <v>2097119.870000001</v>
          </cell>
          <cell r="AP86">
            <v>1998181.8899999987</v>
          </cell>
          <cell r="AQ86">
            <v>2400288</v>
          </cell>
        </row>
        <row r="100">
          <cell r="AF100">
            <v>900641.89</v>
          </cell>
          <cell r="AG100">
            <v>605087.14</v>
          </cell>
          <cell r="AH100">
            <v>600527.65</v>
          </cell>
          <cell r="AI100">
            <v>1508984.56</v>
          </cell>
          <cell r="AJ100">
            <v>755575.05</v>
          </cell>
          <cell r="AK100">
            <v>637878.32999999996</v>
          </cell>
          <cell r="AL100">
            <v>1059701.08</v>
          </cell>
          <cell r="AM100">
            <v>581939.35</v>
          </cell>
          <cell r="AN100">
            <v>629265.01</v>
          </cell>
          <cell r="AO100">
            <v>678175.47</v>
          </cell>
          <cell r="AP100">
            <v>611915.09</v>
          </cell>
          <cell r="AQ100">
            <v>625767</v>
          </cell>
        </row>
        <row r="102">
          <cell r="AF102">
            <v>440845.41999999993</v>
          </cell>
          <cell r="AG102">
            <v>617909.85000000056</v>
          </cell>
          <cell r="AH102">
            <v>1936101.81</v>
          </cell>
          <cell r="AI102">
            <v>478472.14999999991</v>
          </cell>
          <cell r="AJ102">
            <v>333065.70999999996</v>
          </cell>
          <cell r="AK102">
            <v>1111749.2500000005</v>
          </cell>
          <cell r="AL102">
            <v>527040.38999999966</v>
          </cell>
          <cell r="AM102">
            <v>520219.59000000008</v>
          </cell>
          <cell r="AN102">
            <v>609349.7799999998</v>
          </cell>
          <cell r="AO102">
            <v>510655.61999999988</v>
          </cell>
          <cell r="AP102">
            <v>955642.33999999985</v>
          </cell>
          <cell r="AQ102">
            <v>1076781.3200000005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34"/>
  </sheetPr>
  <dimension ref="A1:DH77"/>
  <sheetViews>
    <sheetView view="pageBreakPreview" zoomScale="55" zoomScaleNormal="100" zoomScaleSheetLayoutView="55" workbookViewId="0">
      <pane xSplit="3" ySplit="3" topLeftCell="CZ4" activePane="bottomRight" state="frozen"/>
      <selection pane="topRight" activeCell="D1" sqref="D1"/>
      <selection pane="bottomLeft" activeCell="A4" sqref="A4"/>
      <selection pane="bottomRight" activeCell="DF37" sqref="DF37"/>
    </sheetView>
  </sheetViews>
  <sheetFormatPr defaultRowHeight="18"/>
  <cols>
    <col min="1" max="1" width="21.140625" style="1" customWidth="1"/>
    <col min="2" max="2" width="24.85546875" style="1" customWidth="1"/>
    <col min="3" max="3" width="78.85546875" style="1" customWidth="1"/>
    <col min="4" max="4" width="15.7109375" style="107" hidden="1" customWidth="1"/>
    <col min="5" max="5" width="14.7109375" style="107" hidden="1" customWidth="1"/>
    <col min="6" max="6" width="15" style="107" hidden="1" customWidth="1"/>
    <col min="7" max="7" width="15.7109375" style="107" hidden="1" customWidth="1"/>
    <col min="8" max="8" width="14.7109375" style="107" hidden="1" customWidth="1"/>
    <col min="9" max="9" width="15" style="107" hidden="1" customWidth="1"/>
    <col min="10" max="10" width="15.7109375" style="107" hidden="1" customWidth="1"/>
    <col min="11" max="11" width="14.7109375" style="107" hidden="1" customWidth="1"/>
    <col min="12" max="12" width="15" style="107" hidden="1" customWidth="1"/>
    <col min="13" max="30" width="17.28515625" style="107" hidden="1" customWidth="1"/>
    <col min="31" max="31" width="18.28515625" style="107" hidden="1" customWidth="1"/>
    <col min="32" max="33" width="17.28515625" style="107" hidden="1" customWidth="1"/>
    <col min="34" max="34" width="18.28515625" style="70" hidden="1" customWidth="1"/>
    <col min="35" max="36" width="17.28515625" style="70" hidden="1" customWidth="1"/>
    <col min="37" max="37" width="18.28515625" style="70" hidden="1" customWidth="1"/>
    <col min="38" max="39" width="17.28515625" style="70" hidden="1" customWidth="1"/>
    <col min="40" max="40" width="18.28515625" style="70" hidden="1" customWidth="1"/>
    <col min="41" max="42" width="17.28515625" style="70" hidden="1" customWidth="1"/>
    <col min="43" max="43" width="18.28515625" style="70" hidden="1" customWidth="1"/>
    <col min="44" max="45" width="17.28515625" style="70" hidden="1" customWidth="1"/>
    <col min="46" max="46" width="18.28515625" style="70" hidden="1" customWidth="1"/>
    <col min="47" max="48" width="17.28515625" style="70" hidden="1" customWidth="1"/>
    <col min="49" max="49" width="18.28515625" style="70" hidden="1" customWidth="1"/>
    <col min="50" max="51" width="17.28515625" style="70" hidden="1" customWidth="1"/>
    <col min="52" max="52" width="18.28515625" style="70" hidden="1" customWidth="1"/>
    <col min="53" max="54" width="17.28515625" style="70" hidden="1" customWidth="1"/>
    <col min="55" max="55" width="18.28515625" style="70" hidden="1" customWidth="1"/>
    <col min="56" max="57" width="17.28515625" style="70" hidden="1" customWidth="1"/>
    <col min="58" max="58" width="18.28515625" style="70" hidden="1" customWidth="1"/>
    <col min="59" max="60" width="17.28515625" style="70" hidden="1" customWidth="1"/>
    <col min="61" max="61" width="18.28515625" style="70" hidden="1" customWidth="1"/>
    <col min="62" max="63" width="17.28515625" style="70" hidden="1" customWidth="1"/>
    <col min="64" max="64" width="18.28515625" style="70" hidden="1" customWidth="1"/>
    <col min="65" max="66" width="17.28515625" style="70" hidden="1" customWidth="1"/>
    <col min="67" max="67" width="18.28515625" style="70" hidden="1" customWidth="1"/>
    <col min="68" max="69" width="17.28515625" style="70" hidden="1" customWidth="1"/>
    <col min="70" max="70" width="18.28515625" style="70" hidden="1" customWidth="1"/>
    <col min="71" max="72" width="17.28515625" style="70" hidden="1" customWidth="1"/>
    <col min="73" max="80" width="19.5703125" style="70" hidden="1" customWidth="1"/>
    <col min="81" max="81" width="17.28515625" style="70" hidden="1" customWidth="1"/>
    <col min="82" max="82" width="18.28515625" style="70" hidden="1" customWidth="1"/>
    <col min="83" max="85" width="17.28515625" style="70" hidden="1" customWidth="1"/>
    <col min="86" max="90" width="22.42578125" style="70" hidden="1" customWidth="1"/>
    <col min="91" max="111" width="22.42578125" style="70" customWidth="1"/>
    <col min="112" max="113" width="14.85546875" style="70" customWidth="1"/>
    <col min="114" max="16384" width="9.140625" style="70"/>
  </cols>
  <sheetData>
    <row r="1" spans="1:111" ht="30.75">
      <c r="A1" s="208" t="s">
        <v>124</v>
      </c>
      <c r="B1" s="67"/>
      <c r="C1" s="8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BK1" s="70" t="s">
        <v>190</v>
      </c>
      <c r="BL1" s="70" t="s">
        <v>190</v>
      </c>
      <c r="BM1" s="70" t="s">
        <v>190</v>
      </c>
      <c r="BN1" s="70" t="s">
        <v>190</v>
      </c>
      <c r="BO1" s="70" t="s">
        <v>190</v>
      </c>
      <c r="BP1" s="70" t="s">
        <v>190</v>
      </c>
      <c r="BQ1" s="70" t="s">
        <v>190</v>
      </c>
      <c r="BR1" s="70" t="s">
        <v>190</v>
      </c>
      <c r="BS1" s="70" t="s">
        <v>190</v>
      </c>
      <c r="BT1" s="70" t="s">
        <v>190</v>
      </c>
      <c r="BU1" s="70" t="s">
        <v>190</v>
      </c>
      <c r="BV1" s="70" t="s">
        <v>190</v>
      </c>
      <c r="BW1" s="70" t="s">
        <v>190</v>
      </c>
      <c r="BX1" s="70" t="s">
        <v>190</v>
      </c>
      <c r="BY1" s="70" t="s">
        <v>190</v>
      </c>
      <c r="BZ1" s="70" t="s">
        <v>190</v>
      </c>
      <c r="CA1" s="70" t="s">
        <v>190</v>
      </c>
      <c r="CB1" s="70" t="s">
        <v>190</v>
      </c>
      <c r="CC1" s="70" t="s">
        <v>190</v>
      </c>
      <c r="CD1" s="70" t="s">
        <v>190</v>
      </c>
      <c r="CE1" s="70" t="s">
        <v>190</v>
      </c>
      <c r="CF1" s="70" t="s">
        <v>190</v>
      </c>
      <c r="CG1" s="70" t="s">
        <v>190</v>
      </c>
      <c r="CH1" s="70" t="s">
        <v>190</v>
      </c>
      <c r="CI1" s="70" t="s">
        <v>190</v>
      </c>
      <c r="CJ1" s="70" t="s">
        <v>190</v>
      </c>
      <c r="CK1" s="70" t="s">
        <v>190</v>
      </c>
      <c r="CL1" s="70" t="s">
        <v>190</v>
      </c>
      <c r="CM1" s="70" t="s">
        <v>190</v>
      </c>
      <c r="CN1" s="70" t="s">
        <v>190</v>
      </c>
      <c r="CO1" s="70" t="s">
        <v>190</v>
      </c>
      <c r="CP1" s="70" t="s">
        <v>190</v>
      </c>
      <c r="CQ1" s="70" t="s">
        <v>190</v>
      </c>
      <c r="CR1" s="70" t="s">
        <v>190</v>
      </c>
      <c r="CS1" s="70" t="s">
        <v>190</v>
      </c>
      <c r="CT1" s="70" t="s">
        <v>190</v>
      </c>
      <c r="CU1" s="221"/>
      <c r="CV1" s="221"/>
      <c r="CW1" s="221"/>
      <c r="CX1" s="221"/>
      <c r="CY1" s="221"/>
      <c r="CZ1" s="221"/>
      <c r="DA1" s="262"/>
      <c r="DB1" s="262"/>
      <c r="DC1" s="262"/>
      <c r="DD1" s="262"/>
      <c r="DE1" s="262"/>
      <c r="DF1" s="262"/>
      <c r="DG1" s="262"/>
    </row>
    <row r="2" spans="1:111" s="213" customFormat="1" ht="23.25" customHeight="1">
      <c r="A2" s="209"/>
      <c r="B2" s="209"/>
      <c r="C2" s="210"/>
      <c r="D2" s="211"/>
      <c r="E2" s="211"/>
      <c r="F2" s="212" t="s">
        <v>73</v>
      </c>
      <c r="G2" s="212"/>
      <c r="H2" s="212"/>
      <c r="I2" s="212" t="s">
        <v>79</v>
      </c>
      <c r="J2" s="212"/>
      <c r="K2" s="211"/>
      <c r="L2" s="212" t="s">
        <v>83</v>
      </c>
      <c r="M2" s="212"/>
      <c r="N2" s="212"/>
      <c r="O2" s="212" t="s">
        <v>86</v>
      </c>
      <c r="P2" s="212"/>
      <c r="Q2" s="212"/>
      <c r="R2" s="212" t="s">
        <v>101</v>
      </c>
      <c r="S2" s="212"/>
      <c r="T2" s="212"/>
      <c r="U2" s="212" t="s">
        <v>107</v>
      </c>
      <c r="V2" s="212"/>
      <c r="W2" s="212"/>
      <c r="X2" s="212" t="s">
        <v>110</v>
      </c>
      <c r="Y2" s="212"/>
      <c r="Z2" s="212"/>
      <c r="AA2" s="212" t="s">
        <v>115</v>
      </c>
      <c r="AB2" s="212"/>
      <c r="AC2" s="212"/>
      <c r="AD2" s="212" t="s">
        <v>119</v>
      </c>
      <c r="AE2" s="212"/>
      <c r="AF2" s="212"/>
      <c r="AG2" s="212" t="s">
        <v>129</v>
      </c>
      <c r="AJ2" s="212" t="s">
        <v>140</v>
      </c>
      <c r="AM2" s="212" t="s">
        <v>141</v>
      </c>
      <c r="AP2" s="212" t="s">
        <v>142</v>
      </c>
      <c r="AQ2" s="212"/>
      <c r="AR2" s="212"/>
      <c r="AS2" s="212" t="s">
        <v>150</v>
      </c>
      <c r="AT2" s="212"/>
      <c r="AU2" s="212"/>
      <c r="AV2" s="212" t="s">
        <v>160</v>
      </c>
      <c r="AW2" s="212"/>
      <c r="AX2" s="212"/>
      <c r="AY2" s="212" t="s">
        <v>168</v>
      </c>
      <c r="AZ2" s="212"/>
      <c r="BA2" s="212"/>
      <c r="BB2" s="212" t="s">
        <v>179</v>
      </c>
      <c r="BC2" s="212"/>
      <c r="BD2" s="212"/>
      <c r="BE2" s="212" t="s">
        <v>180</v>
      </c>
      <c r="BF2" s="212"/>
      <c r="BG2" s="212"/>
      <c r="BH2" s="212" t="s">
        <v>187</v>
      </c>
      <c r="BI2" s="212"/>
      <c r="BJ2" s="212"/>
      <c r="BK2" s="212" t="s">
        <v>223</v>
      </c>
      <c r="BL2" s="212"/>
      <c r="BM2" s="212"/>
      <c r="BN2" s="212" t="s">
        <v>224</v>
      </c>
      <c r="BO2" s="212"/>
      <c r="BP2" s="212"/>
      <c r="BQ2" s="212" t="s">
        <v>225</v>
      </c>
      <c r="BR2" s="212"/>
      <c r="BS2" s="212"/>
      <c r="BT2" s="212" t="s">
        <v>226</v>
      </c>
      <c r="BU2" s="212"/>
      <c r="BV2" s="212"/>
      <c r="BW2" s="212" t="s">
        <v>227</v>
      </c>
      <c r="BX2" s="212"/>
      <c r="BY2" s="212"/>
      <c r="BZ2" s="212" t="s">
        <v>228</v>
      </c>
      <c r="CA2" s="212"/>
      <c r="CB2" s="212"/>
      <c r="CC2" s="212" t="s">
        <v>229</v>
      </c>
      <c r="CD2" s="212"/>
      <c r="CE2" s="212"/>
      <c r="CF2" s="212" t="s">
        <v>230</v>
      </c>
      <c r="CG2" s="212"/>
      <c r="CH2" s="212"/>
      <c r="CI2" s="212" t="s">
        <v>231</v>
      </c>
      <c r="CJ2" s="212"/>
      <c r="CK2" s="212"/>
      <c r="CL2" s="212" t="s">
        <v>232</v>
      </c>
      <c r="CM2" s="212"/>
      <c r="CN2" s="212"/>
      <c r="CO2" s="212"/>
      <c r="CP2" s="212"/>
      <c r="CQ2" s="212"/>
      <c r="CR2" s="212"/>
      <c r="CS2" s="212"/>
      <c r="CT2" s="212"/>
      <c r="CU2" s="317"/>
      <c r="CV2" s="317"/>
      <c r="CW2" s="317"/>
      <c r="CX2" s="317"/>
      <c r="CY2" s="317"/>
      <c r="CZ2" s="317"/>
      <c r="DA2" s="761"/>
      <c r="DB2" s="761"/>
      <c r="DC2" s="761"/>
      <c r="DD2" s="761"/>
      <c r="DE2" s="761"/>
      <c r="DF2" s="761"/>
      <c r="DG2" s="761"/>
    </row>
    <row r="3" spans="1:111" ht="25.5" customHeight="1" thickBot="1">
      <c r="A3" s="769" t="s">
        <v>5</v>
      </c>
      <c r="B3" s="770"/>
      <c r="C3" s="771"/>
      <c r="D3" s="312" t="s">
        <v>70</v>
      </c>
      <c r="E3" s="312" t="s">
        <v>71</v>
      </c>
      <c r="F3" s="312" t="s">
        <v>72</v>
      </c>
      <c r="G3" s="312" t="s">
        <v>74</v>
      </c>
      <c r="H3" s="312" t="s">
        <v>77</v>
      </c>
      <c r="I3" s="312" t="s">
        <v>78</v>
      </c>
      <c r="J3" s="312" t="s">
        <v>80</v>
      </c>
      <c r="K3" s="313" t="s">
        <v>81</v>
      </c>
      <c r="L3" s="313" t="s">
        <v>82</v>
      </c>
      <c r="M3" s="313" t="s">
        <v>84</v>
      </c>
      <c r="N3" s="313" t="s">
        <v>85</v>
      </c>
      <c r="O3" s="313" t="s">
        <v>87</v>
      </c>
      <c r="P3" s="313" t="s">
        <v>88</v>
      </c>
      <c r="Q3" s="313" t="s">
        <v>99</v>
      </c>
      <c r="R3" s="313" t="s">
        <v>100</v>
      </c>
      <c r="S3" s="313" t="s">
        <v>102</v>
      </c>
      <c r="T3" s="313" t="s">
        <v>105</v>
      </c>
      <c r="U3" s="313" t="s">
        <v>106</v>
      </c>
      <c r="V3" s="313" t="s">
        <v>108</v>
      </c>
      <c r="W3" s="313" t="s">
        <v>109</v>
      </c>
      <c r="X3" s="313" t="s">
        <v>111</v>
      </c>
      <c r="Y3" s="313" t="s">
        <v>112</v>
      </c>
      <c r="Z3" s="313" t="s">
        <v>113</v>
      </c>
      <c r="AA3" s="313" t="s">
        <v>114</v>
      </c>
      <c r="AB3" s="313" t="s">
        <v>116</v>
      </c>
      <c r="AC3" s="313" t="s">
        <v>117</v>
      </c>
      <c r="AD3" s="313" t="s">
        <v>118</v>
      </c>
      <c r="AE3" s="313" t="s">
        <v>121</v>
      </c>
      <c r="AF3" s="313" t="s">
        <v>125</v>
      </c>
      <c r="AG3" s="313" t="s">
        <v>128</v>
      </c>
      <c r="AH3" s="313" t="s">
        <v>130</v>
      </c>
      <c r="AI3" s="313" t="s">
        <v>131</v>
      </c>
      <c r="AJ3" s="313" t="s">
        <v>132</v>
      </c>
      <c r="AK3" s="313" t="s">
        <v>133</v>
      </c>
      <c r="AL3" s="313" t="s">
        <v>134</v>
      </c>
      <c r="AM3" s="313" t="s">
        <v>135</v>
      </c>
      <c r="AN3" s="313" t="s">
        <v>136</v>
      </c>
      <c r="AO3" s="313" t="s">
        <v>137</v>
      </c>
      <c r="AP3" s="313" t="s">
        <v>138</v>
      </c>
      <c r="AQ3" s="313" t="s">
        <v>147</v>
      </c>
      <c r="AR3" s="313" t="s">
        <v>148</v>
      </c>
      <c r="AS3" s="313" t="s">
        <v>149</v>
      </c>
      <c r="AT3" s="313" t="s">
        <v>154</v>
      </c>
      <c r="AU3" s="313" t="s">
        <v>156</v>
      </c>
      <c r="AV3" s="313" t="s">
        <v>158</v>
      </c>
      <c r="AW3" s="313" t="s">
        <v>161</v>
      </c>
      <c r="AX3" s="313" t="s">
        <v>163</v>
      </c>
      <c r="AY3" s="313" t="s">
        <v>164</v>
      </c>
      <c r="AZ3" s="313" t="s">
        <v>167</v>
      </c>
      <c r="BA3" s="313" t="s">
        <v>170</v>
      </c>
      <c r="BB3" s="313" t="s">
        <v>172</v>
      </c>
      <c r="BC3" s="313" t="s">
        <v>175</v>
      </c>
      <c r="BD3" s="313" t="s">
        <v>177</v>
      </c>
      <c r="BE3" s="313" t="s">
        <v>178</v>
      </c>
      <c r="BF3" s="313" t="s">
        <v>183</v>
      </c>
      <c r="BG3" s="313" t="s">
        <v>184</v>
      </c>
      <c r="BH3" s="313" t="s">
        <v>185</v>
      </c>
      <c r="BI3" s="313" t="s">
        <v>186</v>
      </c>
      <c r="BJ3" s="313" t="s">
        <v>188</v>
      </c>
      <c r="BK3" s="313" t="s">
        <v>189</v>
      </c>
      <c r="BL3" s="313" t="s">
        <v>192</v>
      </c>
      <c r="BM3" s="313" t="s">
        <v>191</v>
      </c>
      <c r="BN3" s="313" t="s">
        <v>193</v>
      </c>
      <c r="BO3" s="313" t="s">
        <v>194</v>
      </c>
      <c r="BP3" s="313" t="s">
        <v>198</v>
      </c>
      <c r="BQ3" s="313" t="s">
        <v>199</v>
      </c>
      <c r="BR3" s="313" t="s">
        <v>200</v>
      </c>
      <c r="BS3" s="313" t="s">
        <v>201</v>
      </c>
      <c r="BT3" s="313" t="s">
        <v>202</v>
      </c>
      <c r="BU3" s="313" t="s">
        <v>203</v>
      </c>
      <c r="BV3" s="313" t="s">
        <v>204</v>
      </c>
      <c r="BW3" s="313" t="s">
        <v>205</v>
      </c>
      <c r="BX3" s="313" t="s">
        <v>206</v>
      </c>
      <c r="BY3" s="313" t="s">
        <v>207</v>
      </c>
      <c r="BZ3" s="313" t="s">
        <v>208</v>
      </c>
      <c r="CA3" s="313" t="s">
        <v>209</v>
      </c>
      <c r="CB3" s="313" t="s">
        <v>211</v>
      </c>
      <c r="CC3" s="313" t="s">
        <v>212</v>
      </c>
      <c r="CD3" s="313" t="s">
        <v>213</v>
      </c>
      <c r="CE3" s="313" t="s">
        <v>214</v>
      </c>
      <c r="CF3" s="313" t="s">
        <v>215</v>
      </c>
      <c r="CG3" s="313" t="s">
        <v>216</v>
      </c>
      <c r="CH3" s="313" t="s">
        <v>217</v>
      </c>
      <c r="CI3" s="313" t="s">
        <v>218</v>
      </c>
      <c r="CJ3" s="313" t="s">
        <v>219</v>
      </c>
      <c r="CK3" s="313" t="s">
        <v>220</v>
      </c>
      <c r="CL3" s="313" t="s">
        <v>221</v>
      </c>
      <c r="CM3" s="313" t="s">
        <v>222</v>
      </c>
      <c r="CN3" s="313" t="s">
        <v>233</v>
      </c>
      <c r="CO3" s="313" t="s">
        <v>234</v>
      </c>
      <c r="CP3" s="313" t="s">
        <v>235</v>
      </c>
      <c r="CQ3" s="313" t="s">
        <v>236</v>
      </c>
      <c r="CR3" s="313" t="s">
        <v>237</v>
      </c>
      <c r="CS3" s="313" t="s">
        <v>238</v>
      </c>
      <c r="CT3" s="313" t="s">
        <v>239</v>
      </c>
      <c r="CU3" s="313" t="s">
        <v>240</v>
      </c>
      <c r="CV3" s="313" t="s">
        <v>242</v>
      </c>
      <c r="CW3" s="313" t="s">
        <v>243</v>
      </c>
      <c r="CX3" s="313" t="s">
        <v>244</v>
      </c>
      <c r="CY3" s="313" t="s">
        <v>246</v>
      </c>
      <c r="CZ3" s="313" t="s">
        <v>247</v>
      </c>
      <c r="DA3" s="322" t="s">
        <v>248</v>
      </c>
      <c r="DB3" s="313" t="s">
        <v>250</v>
      </c>
      <c r="DC3" s="313" t="s">
        <v>252</v>
      </c>
      <c r="DD3" s="313" t="s">
        <v>253</v>
      </c>
      <c r="DE3" s="313" t="s">
        <v>254</v>
      </c>
      <c r="DF3" s="313" t="s">
        <v>255</v>
      </c>
      <c r="DG3" s="313" t="s">
        <v>256</v>
      </c>
    </row>
    <row r="4" spans="1:111" ht="25.5" customHeight="1" thickBot="1">
      <c r="A4" s="773" t="s">
        <v>0</v>
      </c>
      <c r="B4" s="774"/>
      <c r="C4" s="125" t="s">
        <v>1</v>
      </c>
      <c r="D4" s="126">
        <f t="shared" ref="D4:P5" si="0">+D33+D45</f>
        <v>4400.7736299999997</v>
      </c>
      <c r="E4" s="126">
        <f t="shared" si="0"/>
        <v>4432.7991400000001</v>
      </c>
      <c r="F4" s="126">
        <f t="shared" si="0"/>
        <v>4149.8533900000002</v>
      </c>
      <c r="G4" s="126">
        <f t="shared" si="0"/>
        <v>4277.2830199999999</v>
      </c>
      <c r="H4" s="126">
        <f t="shared" si="0"/>
        <v>4305.5808099999995</v>
      </c>
      <c r="I4" s="126">
        <f t="shared" si="0"/>
        <v>4659.9444600000006</v>
      </c>
      <c r="J4" s="126">
        <f t="shared" si="0"/>
        <v>4467.0407999999998</v>
      </c>
      <c r="K4" s="127">
        <f t="shared" si="0"/>
        <v>4218.8552299999992</v>
      </c>
      <c r="L4" s="127">
        <f t="shared" si="0"/>
        <v>4618.8577699999996</v>
      </c>
      <c r="M4" s="127">
        <f t="shared" si="0"/>
        <v>3363.3500100000001</v>
      </c>
      <c r="N4" s="127">
        <f t="shared" si="0"/>
        <v>4169.3564399999996</v>
      </c>
      <c r="O4" s="127">
        <f t="shared" si="0"/>
        <v>3879.83131</v>
      </c>
      <c r="P4" s="127">
        <f t="shared" si="0"/>
        <v>3958.6024699999998</v>
      </c>
      <c r="Q4" s="127">
        <f t="shared" ref="Q4:S5" si="1">+Q33+Q45</f>
        <v>3930.0144399999999</v>
      </c>
      <c r="R4" s="127">
        <f t="shared" si="1"/>
        <v>4204.8050800000001</v>
      </c>
      <c r="S4" s="127">
        <f t="shared" si="1"/>
        <v>4178.6524300000001</v>
      </c>
      <c r="T4" s="127">
        <f t="shared" ref="T4:V5" si="2">+T33+T45</f>
        <v>4419.8138300000001</v>
      </c>
      <c r="U4" s="127">
        <f t="shared" si="2"/>
        <v>4343.6756600000008</v>
      </c>
      <c r="V4" s="127">
        <f t="shared" si="2"/>
        <v>4479.1502</v>
      </c>
      <c r="W4" s="127">
        <f t="shared" ref="W4:Y5" si="3">+W33+W45</f>
        <v>4283.6894899999998</v>
      </c>
      <c r="X4" s="127">
        <f t="shared" si="3"/>
        <v>4449.7354399999995</v>
      </c>
      <c r="Y4" s="127">
        <f t="shared" si="3"/>
        <v>3306.71009</v>
      </c>
      <c r="Z4" s="127">
        <f t="shared" ref="Z4:AB5" si="4">+Z33+Z45</f>
        <v>4569.5832300000002</v>
      </c>
      <c r="AA4" s="127">
        <f t="shared" si="4"/>
        <v>5292.3473299999996</v>
      </c>
      <c r="AB4" s="127">
        <f t="shared" si="4"/>
        <v>5806.5725300000004</v>
      </c>
      <c r="AC4" s="127">
        <f t="shared" ref="AC4:AE5" si="5">+AC33+AC45</f>
        <v>5520.3247799999999</v>
      </c>
      <c r="AD4" s="127">
        <f t="shared" si="5"/>
        <v>5841.4297699999997</v>
      </c>
      <c r="AE4" s="127">
        <f t="shared" si="5"/>
        <v>5804.9181600000002</v>
      </c>
      <c r="AF4" s="127">
        <f t="shared" ref="AF4:AH5" si="6">+AF33+AF45</f>
        <v>5539.4127599999993</v>
      </c>
      <c r="AG4" s="127">
        <f t="shared" si="6"/>
        <v>5430.0184899999995</v>
      </c>
      <c r="AH4" s="127">
        <f t="shared" si="6"/>
        <v>5816.9932699999999</v>
      </c>
      <c r="AI4" s="127">
        <v>6077.7257499999996</v>
      </c>
      <c r="AJ4" s="222">
        <v>5868.90578</v>
      </c>
      <c r="AK4" s="127">
        <f t="shared" ref="AJ4:AN5" si="7">+AK33+AK45</f>
        <v>5112.5645199999999</v>
      </c>
      <c r="AL4" s="127">
        <f t="shared" si="7"/>
        <v>6334.0819599999995</v>
      </c>
      <c r="AM4" s="127">
        <f t="shared" si="7"/>
        <v>4830.9981299999999</v>
      </c>
      <c r="AN4" s="127">
        <f t="shared" si="7"/>
        <v>6202.94434</v>
      </c>
      <c r="AO4" s="127">
        <f>+AO33+AO45</f>
        <v>6505.5680300000004</v>
      </c>
      <c r="AP4" s="127">
        <v>7863.6135899999999</v>
      </c>
      <c r="AQ4" s="127">
        <v>7946.8174400000007</v>
      </c>
      <c r="AR4" s="127">
        <v>7045.9415899999995</v>
      </c>
      <c r="AS4" s="127">
        <v>7821.8539199999996</v>
      </c>
      <c r="AT4" s="127">
        <v>7091.7817100000002</v>
      </c>
      <c r="AU4" s="127">
        <v>8005.0155599999998</v>
      </c>
      <c r="AV4" s="127">
        <v>8837.22019</v>
      </c>
      <c r="AW4" s="127">
        <v>8111.4077900000002</v>
      </c>
      <c r="AX4" s="127">
        <v>8817.4198300000007</v>
      </c>
      <c r="AY4" s="127">
        <v>8844.7133099999992</v>
      </c>
      <c r="AZ4" s="127">
        <v>10980.799950000001</v>
      </c>
      <c r="BA4" s="127">
        <v>11535.52498</v>
      </c>
      <c r="BB4" s="127">
        <v>12989.82237</v>
      </c>
      <c r="BC4" s="127">
        <v>12421.526030000001</v>
      </c>
      <c r="BD4" s="127">
        <v>16778.580449999998</v>
      </c>
      <c r="BE4" s="127">
        <v>11059.89344</v>
      </c>
      <c r="BF4" s="127">
        <v>11910.90857</v>
      </c>
      <c r="BG4" s="127">
        <v>13225.165429999999</v>
      </c>
      <c r="BH4" s="127">
        <v>11016.033359999999</v>
      </c>
      <c r="BI4" s="127">
        <f>AKPK!CI19/1000</f>
        <v>9861.2602899999983</v>
      </c>
      <c r="BJ4" s="127">
        <f>AKPK!CJ19/1000</f>
        <v>14765.429180000001</v>
      </c>
      <c r="BK4" s="127">
        <f>AKPK!CK19/1000</f>
        <v>14013.362479999998</v>
      </c>
      <c r="BL4" s="127">
        <f>AKPK!CL19/1000</f>
        <v>20027.29333</v>
      </c>
      <c r="BM4" s="127">
        <f>AKPK!CM19/1000</f>
        <v>22969.634840000002</v>
      </c>
      <c r="BN4" s="127">
        <f>AKPK!CN19/1000</f>
        <v>23017.753939999999</v>
      </c>
      <c r="BO4" s="127">
        <f>AKPK!CO19/1000</f>
        <v>23077.256869999997</v>
      </c>
      <c r="BP4" s="127">
        <f>AKPK!CP19/1000</f>
        <v>21012.717080000002</v>
      </c>
      <c r="BQ4" s="127">
        <f>AKPK!CQ19/1000</f>
        <v>23000.608490000002</v>
      </c>
      <c r="BR4" s="127">
        <f>AKPK!CR19/1000</f>
        <v>23069.900559999998</v>
      </c>
      <c r="BS4" s="127">
        <f>AKPK!CS19/1000</f>
        <v>23157.805459999985</v>
      </c>
      <c r="BT4" s="127">
        <f>AKPK!CT19/1000</f>
        <v>22980.320839999997</v>
      </c>
      <c r="BU4" s="127">
        <f>AKPK!CU19/1000</f>
        <v>19438.757109999999</v>
      </c>
      <c r="BV4" s="127">
        <f>AKPK!CV19/1000</f>
        <v>23257.963199999969</v>
      </c>
      <c r="BW4" s="127">
        <f>AKPK!CW19/1000</f>
        <v>21680.71384</v>
      </c>
      <c r="BX4" s="127">
        <f>AKPK!CX19/1000</f>
        <v>19867.719509999977</v>
      </c>
      <c r="BY4" s="281">
        <f>[1]AKPK!CY19/1000</f>
        <v>48718.734960000002</v>
      </c>
      <c r="BZ4" s="127">
        <f>AKPK!CZ19/1000</f>
        <v>12453.015659999988</v>
      </c>
      <c r="CA4" s="127">
        <f>AKPK!DA19/1000</f>
        <v>22382.314169999947</v>
      </c>
      <c r="CB4" s="127">
        <f>AKPK!DB19/1000</f>
        <v>23246.275489999956</v>
      </c>
      <c r="CC4" s="127">
        <f>AKPK!DC19/1000</f>
        <v>21638.327659999963</v>
      </c>
      <c r="CD4" s="127">
        <f>AKPK!DD19/1000</f>
        <v>24483.476019999944</v>
      </c>
      <c r="CE4" s="127">
        <f>AKPK!DE19/1000</f>
        <v>25821.548659999935</v>
      </c>
      <c r="CF4" s="127">
        <f>AKPK!DF19/1000</f>
        <v>25119.993649999942</v>
      </c>
      <c r="CG4" s="127">
        <f>AKPK!DG19/1000</f>
        <v>23902.422519999971</v>
      </c>
      <c r="CH4" s="127">
        <f>AKPK!DH19/1000</f>
        <v>24836.580339999957</v>
      </c>
      <c r="CI4" s="127">
        <f>AKPK!DI19/1000</f>
        <v>26274.658729999952</v>
      </c>
      <c r="CJ4" s="127">
        <f>AKPK!DJ19/1000</f>
        <v>24078.980409999953</v>
      </c>
      <c r="CK4" s="127">
        <f>AKPK!DK19/1000</f>
        <v>25370.397769999952</v>
      </c>
      <c r="CL4" s="127">
        <f>AKPK!DL19/1000</f>
        <v>25097.686119999951</v>
      </c>
      <c r="CM4" s="127">
        <f>AKPK!DM19/1000</f>
        <v>23600.648919999967</v>
      </c>
      <c r="CN4" s="127">
        <f>AKPK!DN19/1000</f>
        <v>24050.36249999997</v>
      </c>
      <c r="CO4" s="127">
        <f>AKPK!DO19/1000</f>
        <v>24858.792529999966</v>
      </c>
      <c r="CP4" s="127">
        <f>AKPK!DP19/1000</f>
        <v>26077.159559999975</v>
      </c>
      <c r="CQ4" s="127">
        <f>AKPK!DQ19/1000</f>
        <v>25944.301679999942</v>
      </c>
      <c r="CR4" s="127">
        <f>AKPK!DR19/1000</f>
        <v>26408.784009999988</v>
      </c>
      <c r="CS4" s="127">
        <f>AKPK!DS19/1000</f>
        <v>27663.084639999968</v>
      </c>
      <c r="CT4" s="127">
        <f>AKPK!DT19/1000</f>
        <v>29847.558939999966</v>
      </c>
      <c r="CU4" s="127">
        <f>AKPK!DU19/1000</f>
        <v>28681.179859999997</v>
      </c>
      <c r="CV4" s="127">
        <f>AKPK!DV19/1000</f>
        <v>28799.945229999928</v>
      </c>
      <c r="CW4" s="127">
        <f>AKPK!DW19/1000</f>
        <v>29787.96761999997</v>
      </c>
      <c r="CX4" s="127">
        <f>AKPK!DX19/1000</f>
        <v>29539.279639999982</v>
      </c>
      <c r="CY4" s="127">
        <f>AKPK!DY19/1000</f>
        <v>29066.353190000031</v>
      </c>
      <c r="CZ4" s="127">
        <f>AKPK!DZ19/1000</f>
        <v>27311.60413</v>
      </c>
      <c r="DA4" s="127">
        <f>AKPK!EA19/1000</f>
        <v>28546.751129999993</v>
      </c>
      <c r="DB4" s="127">
        <f>AKPK!EB19/1000</f>
        <v>27005.748139999992</v>
      </c>
      <c r="DC4" s="127">
        <f>AKPK!EC19/1000</f>
        <v>26192.763660000004</v>
      </c>
      <c r="DD4" s="127">
        <f>AKPK!ED19/1000</f>
        <v>27797.020150000004</v>
      </c>
      <c r="DE4" s="127">
        <f>AKPK!EE19/1000</f>
        <v>29428.581549999995</v>
      </c>
      <c r="DF4" s="127">
        <f>AKPK!EF19/1000</f>
        <v>29961.997990000011</v>
      </c>
      <c r="DG4" s="127">
        <f>AKPK!EG19/1000</f>
        <v>27818.498449999999</v>
      </c>
    </row>
    <row r="5" spans="1:111" ht="25.5" customHeight="1">
      <c r="A5" s="773"/>
      <c r="B5" s="774"/>
      <c r="C5" s="252" t="s">
        <v>6</v>
      </c>
      <c r="D5" s="253">
        <f>+D34+D46</f>
        <v>5023.0238599999993</v>
      </c>
      <c r="E5" s="254">
        <f>+E34+E46</f>
        <v>5130.7002000000002</v>
      </c>
      <c r="F5" s="254">
        <f t="shared" si="0"/>
        <v>3429.5444499999999</v>
      </c>
      <c r="G5" s="254">
        <f t="shared" si="0"/>
        <v>3806.4097600000005</v>
      </c>
      <c r="H5" s="254">
        <f t="shared" si="0"/>
        <v>4803.3285400000022</v>
      </c>
      <c r="I5" s="254">
        <f t="shared" si="0"/>
        <v>4293.6988899999951</v>
      </c>
      <c r="J5" s="254">
        <f t="shared" si="0"/>
        <v>4263.7663600000069</v>
      </c>
      <c r="K5" s="254">
        <f t="shared" si="0"/>
        <v>4845.391469999995</v>
      </c>
      <c r="L5" s="254">
        <f t="shared" si="0"/>
        <v>4004.8422499999861</v>
      </c>
      <c r="M5" s="254">
        <f t="shared" si="0"/>
        <v>4451.4536800000142</v>
      </c>
      <c r="N5" s="254">
        <f t="shared" si="0"/>
        <v>3917.1505200000252</v>
      </c>
      <c r="O5" s="254">
        <f t="shared" si="0"/>
        <v>3709.5879499999978</v>
      </c>
      <c r="P5" s="254">
        <f t="shared" si="0"/>
        <v>4712.8045300000022</v>
      </c>
      <c r="Q5" s="254">
        <f t="shared" si="1"/>
        <v>5862.5594899999996</v>
      </c>
      <c r="R5" s="254">
        <f t="shared" si="1"/>
        <v>4556.7771300000013</v>
      </c>
      <c r="S5" s="254">
        <f t="shared" si="1"/>
        <v>4354.1598200000008</v>
      </c>
      <c r="T5" s="254">
        <f t="shared" si="2"/>
        <v>4516.8000099999963</v>
      </c>
      <c r="U5" s="254">
        <f t="shared" si="2"/>
        <v>4908.4258000000027</v>
      </c>
      <c r="V5" s="254">
        <f t="shared" si="2"/>
        <v>4575.2156800000075</v>
      </c>
      <c r="W5" s="254">
        <f t="shared" si="3"/>
        <v>4384.9868199999892</v>
      </c>
      <c r="X5" s="254">
        <f t="shared" si="3"/>
        <v>4746.6876400000019</v>
      </c>
      <c r="Y5" s="254">
        <f t="shared" si="3"/>
        <v>6195.6114299999999</v>
      </c>
      <c r="Z5" s="254">
        <f t="shared" si="4"/>
        <v>5550.0977400000002</v>
      </c>
      <c r="AA5" s="254">
        <f t="shared" si="4"/>
        <v>7017.3852600000009</v>
      </c>
      <c r="AB5" s="254">
        <f t="shared" si="4"/>
        <v>5257.9110600000004</v>
      </c>
      <c r="AC5" s="254">
        <f t="shared" si="5"/>
        <v>6069.5528699999986</v>
      </c>
      <c r="AD5" s="254">
        <f t="shared" si="5"/>
        <v>5738.1155500000004</v>
      </c>
      <c r="AE5" s="254">
        <f t="shared" si="5"/>
        <v>5830.6876100000009</v>
      </c>
      <c r="AF5" s="254">
        <f t="shared" si="6"/>
        <v>5942.0639099999999</v>
      </c>
      <c r="AG5" s="254">
        <f t="shared" si="6"/>
        <v>5920.3359200000004</v>
      </c>
      <c r="AH5" s="254">
        <f t="shared" si="6"/>
        <v>5049.9954200000011</v>
      </c>
      <c r="AI5" s="254">
        <f>+AI34+AI46</f>
        <v>6903.1898200000051</v>
      </c>
      <c r="AJ5" s="254">
        <f t="shared" si="7"/>
        <v>6480.2259199999862</v>
      </c>
      <c r="AK5" s="254">
        <f t="shared" si="7"/>
        <v>8443.7706300000082</v>
      </c>
      <c r="AL5" s="254">
        <f t="shared" si="7"/>
        <v>7344.8279700000076</v>
      </c>
      <c r="AM5" s="254">
        <f t="shared" si="7"/>
        <v>10047.917849999894</v>
      </c>
      <c r="AN5" s="254">
        <f>+AN34+AN46</f>
        <v>8019.8261800000928</v>
      </c>
      <c r="AO5" s="254">
        <f>+AO34+AO46</f>
        <v>7878.5969000000077</v>
      </c>
      <c r="AP5" s="254">
        <f t="shared" ref="AP5:AU5" si="8">+AP34+AP46</f>
        <v>7585.8570300000001</v>
      </c>
      <c r="AQ5" s="254">
        <f t="shared" si="8"/>
        <v>7685.188259999999</v>
      </c>
      <c r="AR5" s="254">
        <f t="shared" si="8"/>
        <v>7515.8336300000119</v>
      </c>
      <c r="AS5" s="254">
        <f t="shared" si="8"/>
        <v>8524.1698799999904</v>
      </c>
      <c r="AT5" s="254">
        <f t="shared" si="8"/>
        <v>10113.91374</v>
      </c>
      <c r="AU5" s="254">
        <f t="shared" si="8"/>
        <v>10553.422709999979</v>
      </c>
      <c r="AV5" s="254">
        <f t="shared" ref="AV5:BA5" si="9">+AV34+AV46</f>
        <v>11334.22306000002</v>
      </c>
      <c r="AW5" s="254">
        <f t="shared" si="9"/>
        <v>12948.92665999999</v>
      </c>
      <c r="AX5" s="254">
        <f t="shared" si="9"/>
        <v>14724.73419999999</v>
      </c>
      <c r="AY5" s="254">
        <f t="shared" si="9"/>
        <v>15700.26382000004</v>
      </c>
      <c r="AZ5" s="254">
        <f t="shared" si="9"/>
        <v>16306.308169999969</v>
      </c>
      <c r="BA5" s="254">
        <f t="shared" si="9"/>
        <v>16025.35429000005</v>
      </c>
      <c r="BB5" s="254">
        <f t="shared" ref="BB5:BG5" si="10">+BB34+BB46</f>
        <v>12839.242939999989</v>
      </c>
      <c r="BC5" s="254">
        <f t="shared" si="10"/>
        <v>13529.747459999997</v>
      </c>
      <c r="BD5" s="254">
        <f t="shared" si="10"/>
        <v>16441.966759999999</v>
      </c>
      <c r="BE5" s="254">
        <f t="shared" si="10"/>
        <v>17851.72306</v>
      </c>
      <c r="BF5" s="254">
        <f t="shared" si="10"/>
        <v>21606.697479999992</v>
      </c>
      <c r="BG5" s="254">
        <f t="shared" si="10"/>
        <v>20392.869910000001</v>
      </c>
      <c r="BH5" s="254">
        <f t="shared" ref="BH5:BM5" si="11">+BH34+BH46</f>
        <v>21373.960329999998</v>
      </c>
      <c r="BI5" s="254">
        <f t="shared" si="11"/>
        <v>21026.856369999998</v>
      </c>
      <c r="BJ5" s="254">
        <f t="shared" si="11"/>
        <v>20574.287739999927</v>
      </c>
      <c r="BK5" s="254">
        <f t="shared" si="11"/>
        <v>22740.5347800001</v>
      </c>
      <c r="BL5" s="254">
        <f t="shared" si="11"/>
        <v>19259.986699999979</v>
      </c>
      <c r="BM5" s="254">
        <f t="shared" si="11"/>
        <v>19510.41256999999</v>
      </c>
      <c r="BN5" s="254">
        <f t="shared" ref="BN5:BS5" si="12">+BN34+BN46</f>
        <v>17560.351659999975</v>
      </c>
      <c r="BO5" s="254">
        <f t="shared" si="12"/>
        <v>19893.585540000033</v>
      </c>
      <c r="BP5" s="254">
        <f t="shared" si="12"/>
        <v>25917.67052</v>
      </c>
      <c r="BQ5" s="254">
        <f t="shared" si="12"/>
        <v>24577.155940000037</v>
      </c>
      <c r="BR5" s="254">
        <f t="shared" si="12"/>
        <v>21926.210209999968</v>
      </c>
      <c r="BS5" s="254">
        <f t="shared" si="12"/>
        <v>23057.680239999994</v>
      </c>
      <c r="BT5" s="254">
        <f t="shared" ref="BT5:BY5" si="13">+BT34+BT46</f>
        <v>23057.98581000002</v>
      </c>
      <c r="BU5" s="254">
        <f t="shared" si="13"/>
        <v>26700.398450000001</v>
      </c>
      <c r="BV5" s="254">
        <f t="shared" si="13"/>
        <v>24166.071399999932</v>
      </c>
      <c r="BW5" s="254">
        <f t="shared" si="13"/>
        <v>25271.147699999998</v>
      </c>
      <c r="BX5" s="254">
        <f t="shared" si="13"/>
        <v>27521.30789</v>
      </c>
      <c r="BY5" s="254">
        <f t="shared" si="13"/>
        <v>21345.156200000009</v>
      </c>
      <c r="BZ5" s="254">
        <f t="shared" ref="BZ5:CE5" si="14">+BZ34+BZ46</f>
        <v>1311.3674200000094</v>
      </c>
      <c r="CA5" s="254">
        <f t="shared" si="14"/>
        <v>20718.733839999935</v>
      </c>
      <c r="CB5" s="254">
        <f t="shared" si="14"/>
        <v>27676.188949999982</v>
      </c>
      <c r="CC5" s="254">
        <f t="shared" si="14"/>
        <v>22788.045899999976</v>
      </c>
      <c r="CD5" s="254">
        <f t="shared" si="14"/>
        <v>27422.602949999909</v>
      </c>
      <c r="CE5" s="254">
        <f t="shared" si="14"/>
        <v>31965.81059999991</v>
      </c>
      <c r="CF5" s="254">
        <f t="shared" ref="CF5:CG5" si="15">+CF34+CF46</f>
        <v>22954.030310000009</v>
      </c>
      <c r="CG5" s="254">
        <f t="shared" si="15"/>
        <v>29614.295139999973</v>
      </c>
      <c r="CH5" s="254">
        <f t="shared" ref="CH5:CI5" si="16">+CH34+CH46</f>
        <v>17103.62022999992</v>
      </c>
      <c r="CI5" s="254">
        <f t="shared" si="16"/>
        <v>28945.305919999966</v>
      </c>
      <c r="CJ5" s="254">
        <f t="shared" ref="CJ5:CK5" si="17">+CJ34+CJ46</f>
        <v>25953.429129999888</v>
      </c>
      <c r="CK5" s="254">
        <f t="shared" si="17"/>
        <v>22242.190289999926</v>
      </c>
      <c r="CL5" s="254">
        <f t="shared" ref="CL5:CM5" si="18">+CL34+CL46</f>
        <v>28567.625130000004</v>
      </c>
      <c r="CM5" s="254">
        <f t="shared" si="18"/>
        <v>26069.735280000048</v>
      </c>
      <c r="CN5" s="254">
        <f t="shared" ref="CN5:CO5" si="19">+CN34+CN46</f>
        <v>27065.156679999898</v>
      </c>
      <c r="CO5" s="254">
        <f t="shared" si="19"/>
        <v>34929.455330000063</v>
      </c>
      <c r="CP5" s="254">
        <f t="shared" ref="CP5:CQ5" si="20">+CP34+CP46</f>
        <v>25798.579569999987</v>
      </c>
      <c r="CQ5" s="254">
        <f t="shared" si="20"/>
        <v>35237.702859999852</v>
      </c>
      <c r="CR5" s="254">
        <f t="shared" ref="CR5:CS5" si="21">+CR34+CR46</f>
        <v>26213.207959999952</v>
      </c>
      <c r="CS5" s="254">
        <f t="shared" si="21"/>
        <v>30556.462710000029</v>
      </c>
      <c r="CT5" s="254">
        <f t="shared" ref="CT5:CU5" si="22">+CT34+CT46</f>
        <v>27588.01628999988</v>
      </c>
      <c r="CU5" s="254">
        <f t="shared" si="22"/>
        <v>31917.061970000028</v>
      </c>
      <c r="CV5" s="254">
        <f t="shared" ref="CV5:CZ5" si="23">+CV34+CV46</f>
        <v>29736.150409999846</v>
      </c>
      <c r="CW5" s="254">
        <f t="shared" si="23"/>
        <v>29730.763240000055</v>
      </c>
      <c r="CX5" s="254">
        <f t="shared" si="23"/>
        <v>20090.741490000077</v>
      </c>
      <c r="CY5" s="254">
        <f t="shared" si="23"/>
        <v>20904.543169999986</v>
      </c>
      <c r="CZ5" s="254">
        <f t="shared" si="23"/>
        <v>28658.557569999997</v>
      </c>
      <c r="DA5" s="254">
        <f>+DA34+DA46</f>
        <v>35030.450209999952</v>
      </c>
      <c r="DB5" s="254">
        <f t="shared" ref="DB5:DF5" si="24">+DB34+DB46</f>
        <v>29537.436000000082</v>
      </c>
      <c r="DC5" s="254">
        <f t="shared" si="24"/>
        <v>22523.133369999912</v>
      </c>
      <c r="DD5" s="254">
        <f t="shared" si="24"/>
        <v>21665.474859999948</v>
      </c>
      <c r="DE5" s="254">
        <f t="shared" si="24"/>
        <v>32744.65440000009</v>
      </c>
      <c r="DF5" s="254">
        <f t="shared" si="24"/>
        <v>24842.134960000079</v>
      </c>
      <c r="DG5" s="254">
        <f t="shared" ref="DG5" si="25">+DG34+DG46</f>
        <v>37364.564169999743</v>
      </c>
    </row>
    <row r="6" spans="1:111" ht="25.5" customHeight="1">
      <c r="A6" s="773"/>
      <c r="B6" s="774"/>
      <c r="C6" s="231" t="s">
        <v>89</v>
      </c>
      <c r="D6" s="232">
        <v>0</v>
      </c>
      <c r="E6" s="232">
        <v>0</v>
      </c>
      <c r="F6" s="232">
        <v>0</v>
      </c>
      <c r="G6" s="233">
        <v>-13.700939271950801</v>
      </c>
      <c r="H6" s="233">
        <v>-245.66720410085372</v>
      </c>
      <c r="I6" s="233">
        <v>-422.14000647640182</v>
      </c>
      <c r="J6" s="233">
        <v>36.438881583196121</v>
      </c>
      <c r="K6" s="234">
        <v>-224.87308472922496</v>
      </c>
      <c r="L6" s="234">
        <v>-320.10141527737608</v>
      </c>
      <c r="M6" s="234">
        <v>151.87493029586062</v>
      </c>
      <c r="N6" s="234">
        <v>-250.16185313431492</v>
      </c>
      <c r="O6" s="234">
        <v>557.8726477613103</v>
      </c>
      <c r="P6" s="234">
        <v>279.10318332169334</v>
      </c>
      <c r="Q6" s="234">
        <v>554.33886669283334</v>
      </c>
      <c r="R6" s="234">
        <v>459.42404177630863</v>
      </c>
      <c r="S6" s="234">
        <v>-189.06030197824418</v>
      </c>
      <c r="T6" s="234">
        <v>-364.27676043020097</v>
      </c>
      <c r="U6" s="234">
        <v>123.99453991069311</v>
      </c>
      <c r="V6" s="234">
        <v>-46.281483922867778</v>
      </c>
      <c r="W6" s="234">
        <v>270.51758270146911</v>
      </c>
      <c r="X6" s="234">
        <v>-106.84029024008987</v>
      </c>
      <c r="Y6" s="234">
        <v>2124.0827563268899</v>
      </c>
      <c r="Z6" s="234">
        <v>69.952214902171136</v>
      </c>
      <c r="AA6" s="234">
        <v>911.21048112450967</v>
      </c>
      <c r="AB6" s="234">
        <v>-420.7665396196719</v>
      </c>
      <c r="AC6" s="234">
        <v>-207.60125993549696</v>
      </c>
      <c r="AD6" s="234">
        <v>1002.8506084131</v>
      </c>
      <c r="AE6" s="234">
        <v>-387.1967360359572</v>
      </c>
      <c r="AF6" s="234">
        <v>-340.10813018581939</v>
      </c>
      <c r="AG6" s="234">
        <v>-57.590301521582887</v>
      </c>
      <c r="AH6" s="235">
        <v>-469.29481466981338</v>
      </c>
      <c r="AI6" s="235">
        <v>-480.80764550009758</v>
      </c>
      <c r="AJ6" s="234">
        <v>-985</v>
      </c>
      <c r="AK6" s="234">
        <v>1495.7975430704901</v>
      </c>
      <c r="AL6" s="234">
        <v>-197.214526073028</v>
      </c>
      <c r="AM6" s="234">
        <v>464.44813819149198</v>
      </c>
      <c r="AN6" s="234">
        <v>-405.57741657660199</v>
      </c>
      <c r="AO6" s="234">
        <v>245.95363896497</v>
      </c>
      <c r="AP6" s="234">
        <v>-416.34109039488197</v>
      </c>
      <c r="AQ6" s="234">
        <v>-165.06533181129532</v>
      </c>
      <c r="AR6" s="234">
        <v>-263.06501677021424</v>
      </c>
      <c r="AS6" s="234">
        <v>361.26055930401992</v>
      </c>
      <c r="AT6" s="234">
        <v>242.29195199351113</v>
      </c>
      <c r="AU6" s="234">
        <v>-78.908311719164317</v>
      </c>
      <c r="AV6" s="234">
        <v>137.79130818261058</v>
      </c>
      <c r="AW6" s="234">
        <v>-39.820200632968181</v>
      </c>
      <c r="AX6" s="234">
        <v>331.19034948840135</v>
      </c>
      <c r="AY6" s="234">
        <v>720.45738862622761</v>
      </c>
      <c r="AZ6" s="234">
        <v>271.58363966538059</v>
      </c>
      <c r="BA6" s="234">
        <v>492.37133389145254</v>
      </c>
      <c r="BB6" s="234">
        <v>-138.64239168819574</v>
      </c>
      <c r="BC6" s="234">
        <v>-987.99207044167599</v>
      </c>
      <c r="BD6" s="234">
        <v>-231.38570412671413</v>
      </c>
      <c r="BE6" s="234">
        <v>113.54291995464644</v>
      </c>
      <c r="BF6" s="234">
        <v>384.02938166750641</v>
      </c>
      <c r="BG6" s="234">
        <v>-386.8497353903507</v>
      </c>
      <c r="BH6" s="234">
        <v>254.31595609354974</v>
      </c>
      <c r="BI6" s="234">
        <v>743.37454725149121</v>
      </c>
      <c r="BJ6" s="234">
        <v>-891.24799382039714</v>
      </c>
      <c r="BK6" s="234">
        <v>744.76158595402205</v>
      </c>
      <c r="BL6" s="234">
        <v>-926.17421262251594</v>
      </c>
      <c r="BM6" s="234">
        <v>-322.01053102329456</v>
      </c>
      <c r="BN6" s="234">
        <v>-45.512574825562979</v>
      </c>
      <c r="BO6" s="234">
        <v>1134.4996752406971</v>
      </c>
      <c r="BP6" s="234">
        <v>75.389322602953598</v>
      </c>
      <c r="BQ6" s="234">
        <v>458.39983434009935</v>
      </c>
      <c r="BR6" s="234">
        <v>71.690275850449325</v>
      </c>
      <c r="BS6" s="234">
        <v>-399.89778424690849</v>
      </c>
      <c r="BT6" s="234">
        <v>527</v>
      </c>
      <c r="BU6" s="234">
        <v>-436.18327316246001</v>
      </c>
      <c r="BV6" s="234">
        <v>236.40801281776828</v>
      </c>
      <c r="BW6" s="234">
        <v>-32.159469567241331</v>
      </c>
      <c r="BX6" s="234">
        <v>-48.508865741555724</v>
      </c>
      <c r="BY6" s="234">
        <v>-4497.5696902555937</v>
      </c>
      <c r="BZ6" s="234">
        <v>250.0691126586737</v>
      </c>
      <c r="CA6" s="234">
        <v>-231.002321088298</v>
      </c>
      <c r="CB6" s="234">
        <v>23.461769808929375</v>
      </c>
      <c r="CC6" s="234">
        <v>-165.78630992693741</v>
      </c>
      <c r="CD6" s="234">
        <v>-151.98819776744654</v>
      </c>
      <c r="CE6" s="234">
        <v>822.20102301970121</v>
      </c>
      <c r="CF6" s="234">
        <v>-148.85487139198671</v>
      </c>
      <c r="CG6" s="234">
        <v>282.92577319075116</v>
      </c>
      <c r="CH6" s="234">
        <v>430.79447704943397</v>
      </c>
      <c r="CI6" s="234">
        <v>-252.30655420192056</v>
      </c>
      <c r="CJ6" s="234">
        <v>390.66748133001164</v>
      </c>
      <c r="CK6" s="234">
        <v>234.49204055962429</v>
      </c>
      <c r="CL6" s="234">
        <v>42.047802059155856</v>
      </c>
      <c r="CM6" s="234">
        <v>-48.644329779393217</v>
      </c>
      <c r="CN6" s="234">
        <v>-54.02563753376927</v>
      </c>
      <c r="CO6" s="234">
        <v>-256.50074345977129</v>
      </c>
      <c r="CP6" s="234">
        <v>-259.11995264801686</v>
      </c>
      <c r="CQ6" s="234">
        <v>104.20415614579184</v>
      </c>
      <c r="CR6" s="234">
        <v>69.173726090227206</v>
      </c>
      <c r="CS6" s="234">
        <v>249.53451669063287</v>
      </c>
      <c r="CT6" s="234">
        <v>-14.755887463068007</v>
      </c>
      <c r="CU6" s="234">
        <v>-529.92668278384667</v>
      </c>
      <c r="CV6" s="234">
        <v>-212.13533414852901</v>
      </c>
      <c r="CW6" s="234">
        <v>-306.03521893679721</v>
      </c>
      <c r="CX6" s="234">
        <v>-302.83415021982245</v>
      </c>
      <c r="CY6" s="234">
        <v>-163.3344092255374</v>
      </c>
      <c r="CZ6" s="234">
        <v>-322.010045558885</v>
      </c>
      <c r="DA6" s="234">
        <v>773</v>
      </c>
      <c r="DB6" s="234">
        <v>-1469</v>
      </c>
      <c r="DC6" s="234">
        <v>946</v>
      </c>
      <c r="DD6" s="234">
        <v>290</v>
      </c>
      <c r="DE6" s="234">
        <v>6533</v>
      </c>
      <c r="DF6" s="234">
        <v>-13</v>
      </c>
      <c r="DG6" s="234">
        <v>2128.168696240632</v>
      </c>
    </row>
    <row r="7" spans="1:111" s="69" customFormat="1" ht="25.5" customHeight="1">
      <c r="A7" s="773"/>
      <c r="B7" s="774"/>
      <c r="C7" s="236" t="s">
        <v>90</v>
      </c>
      <c r="D7" s="237">
        <v>-251.80250277394501</v>
      </c>
      <c r="E7" s="237">
        <v>-725.24797781334598</v>
      </c>
      <c r="F7" s="237">
        <v>1226.34455695776</v>
      </c>
      <c r="G7" s="237">
        <f t="shared" ref="G7:AC7" si="26">+G8+G9+G11+G12+G14+G15+G16</f>
        <v>-559.80770109233436</v>
      </c>
      <c r="H7" s="237">
        <f t="shared" si="26"/>
        <v>176.69931260273233</v>
      </c>
      <c r="I7" s="237">
        <f t="shared" si="26"/>
        <v>-24.293884103556138</v>
      </c>
      <c r="J7" s="237">
        <f t="shared" si="26"/>
        <v>49.870070516122581</v>
      </c>
      <c r="K7" s="238">
        <f t="shared" si="26"/>
        <v>-102.95793451250228</v>
      </c>
      <c r="L7" s="238">
        <f t="shared" si="26"/>
        <v>-530.80825210388468</v>
      </c>
      <c r="M7" s="238">
        <f t="shared" si="26"/>
        <v>1399.2239297304798</v>
      </c>
      <c r="N7" s="238">
        <f t="shared" si="26"/>
        <v>52.071280571064307</v>
      </c>
      <c r="O7" s="238">
        <f t="shared" si="26"/>
        <v>244.60609413932386</v>
      </c>
      <c r="P7" s="238">
        <f t="shared" si="26"/>
        <v>238.5045654538464</v>
      </c>
      <c r="Q7" s="238">
        <f t="shared" si="26"/>
        <v>844.74373338238502</v>
      </c>
      <c r="R7" s="238">
        <f t="shared" si="26"/>
        <v>201.69768785023965</v>
      </c>
      <c r="S7" s="238">
        <f t="shared" si="26"/>
        <v>190.16192342842618</v>
      </c>
      <c r="T7" s="238">
        <f t="shared" si="26"/>
        <v>190.39227447647909</v>
      </c>
      <c r="U7" s="238">
        <f t="shared" si="26"/>
        <v>686.75775547264209</v>
      </c>
      <c r="V7" s="238">
        <f t="shared" si="26"/>
        <v>257.13168329888538</v>
      </c>
      <c r="W7" s="238">
        <f t="shared" si="26"/>
        <v>371.15063897941178</v>
      </c>
      <c r="X7" s="238">
        <f t="shared" si="26"/>
        <v>322.7468261125104</v>
      </c>
      <c r="Y7" s="238">
        <f t="shared" si="26"/>
        <v>1811.1001934750545</v>
      </c>
      <c r="Z7" s="238">
        <f t="shared" si="26"/>
        <v>186.0317418181246</v>
      </c>
      <c r="AA7" s="238">
        <f t="shared" si="26"/>
        <v>709.33303708394715</v>
      </c>
      <c r="AB7" s="238">
        <f t="shared" si="26"/>
        <v>-522.13199761609781</v>
      </c>
      <c r="AC7" s="238">
        <f t="shared" si="26"/>
        <v>97.049806928244124</v>
      </c>
      <c r="AD7" s="238">
        <f>+AD8+AD9+AD10+AD11+AD12+AD13+AD14+AD15+AD16</f>
        <v>314.63230776080616</v>
      </c>
      <c r="AE7" s="238">
        <f t="shared" ref="AE7:AP7" si="27">+AE8+AE9+AE10+AE11+AE12+AE13+AE14+AE15+AE16</f>
        <v>552.22849609824868</v>
      </c>
      <c r="AF7" s="238">
        <f t="shared" si="27"/>
        <v>733.25718444239067</v>
      </c>
      <c r="AG7" s="238">
        <f t="shared" si="27"/>
        <v>21.018808435944138</v>
      </c>
      <c r="AH7" s="238">
        <f t="shared" si="27"/>
        <v>330.53073992768105</v>
      </c>
      <c r="AI7" s="238">
        <f t="shared" si="27"/>
        <v>1460.5122101732686</v>
      </c>
      <c r="AJ7" s="238">
        <f t="shared" si="27"/>
        <v>1034.7890256894782</v>
      </c>
      <c r="AK7" s="238">
        <f t="shared" si="27"/>
        <v>4950.4814377967741</v>
      </c>
      <c r="AL7" s="238">
        <f t="shared" si="27"/>
        <v>549.91384165040313</v>
      </c>
      <c r="AM7" s="238">
        <f t="shared" si="27"/>
        <v>3410.0935718176288</v>
      </c>
      <c r="AN7" s="238">
        <f t="shared" si="27"/>
        <v>1076.0712517093145</v>
      </c>
      <c r="AO7" s="238">
        <f t="shared" si="27"/>
        <v>3511.2306138783633</v>
      </c>
      <c r="AP7" s="238">
        <f t="shared" si="27"/>
        <v>-274.68587992804197</v>
      </c>
      <c r="AQ7" s="238">
        <f t="shared" ref="AQ7:AV7" si="28">+AQ8+AQ9+AQ10+AQ11+AQ12+AQ13+AQ14+AQ15+AQ16+AQ17</f>
        <v>-392.01363996278826</v>
      </c>
      <c r="AR7" s="238">
        <f t="shared" si="28"/>
        <v>1214.8022619868727</v>
      </c>
      <c r="AS7" s="238">
        <f t="shared" si="28"/>
        <v>1523.4223763455741</v>
      </c>
      <c r="AT7" s="238">
        <f t="shared" si="28"/>
        <v>4582.5533255069549</v>
      </c>
      <c r="AU7" s="238">
        <f t="shared" si="28"/>
        <v>3527.8635899970727</v>
      </c>
      <c r="AV7" s="238">
        <f t="shared" si="28"/>
        <v>3585.3353254293843</v>
      </c>
      <c r="AW7" s="238">
        <f t="shared" ref="AW7:BC7" si="29">+AW8+AW9+AW10+AW11+AW12+AW13+AW14+AW15+AW16+AW17</f>
        <v>5636.3940256136275</v>
      </c>
      <c r="AX7" s="238">
        <f t="shared" si="29"/>
        <v>6470.8567665186201</v>
      </c>
      <c r="AY7" s="238">
        <f t="shared" si="29"/>
        <v>6813.1163480854084</v>
      </c>
      <c r="AZ7" s="238">
        <f t="shared" si="29"/>
        <v>2798.4281249088795</v>
      </c>
      <c r="BA7" s="238">
        <f t="shared" si="29"/>
        <v>3799.6064149763547</v>
      </c>
      <c r="BB7" s="238">
        <f t="shared" si="29"/>
        <v>164.68302152551323</v>
      </c>
      <c r="BC7" s="238">
        <f t="shared" si="29"/>
        <v>-205.61620948098818</v>
      </c>
      <c r="BD7" s="238">
        <f t="shared" ref="BD7:BI7" si="30">+BD8+BD9+BD10+BD11+BD12+BD13+BD14+BD15+BD16+BD17</f>
        <v>773.21661494334955</v>
      </c>
      <c r="BE7" s="238">
        <f t="shared" si="30"/>
        <v>6257.1159127821002</v>
      </c>
      <c r="BF7" s="238">
        <f t="shared" si="30"/>
        <v>8532.2915100676219</v>
      </c>
      <c r="BG7" s="238">
        <f t="shared" si="30"/>
        <v>4396.3235811464074</v>
      </c>
      <c r="BH7" s="238">
        <f t="shared" si="30"/>
        <v>9506.0450187090737</v>
      </c>
      <c r="BI7" s="238">
        <f t="shared" si="30"/>
        <v>10011.223597420681</v>
      </c>
      <c r="BJ7" s="238">
        <f t="shared" ref="BJ7:BO7" si="31">+BJ8+BJ9+BJ10+BJ11+BJ12+BJ13+BJ14+BJ15+BJ16+BJ17</f>
        <v>4253.0702291050711</v>
      </c>
      <c r="BK7" s="238">
        <f t="shared" si="31"/>
        <v>7659.3136269180195</v>
      </c>
      <c r="BL7" s="238">
        <f t="shared" si="31"/>
        <v>1011.8338557909901</v>
      </c>
      <c r="BM7" s="238">
        <f t="shared" si="31"/>
        <v>-3991.4830507989377</v>
      </c>
      <c r="BN7" s="238">
        <f t="shared" si="31"/>
        <v>-824.23608889454817</v>
      </c>
      <c r="BO7" s="238">
        <f t="shared" si="31"/>
        <v>-1336.8513576276434</v>
      </c>
      <c r="BP7" s="238">
        <f t="shared" ref="BP7:BV7" si="32">+BP8+BP9+BP10+BP11+BP12+BP13+BP14+BP15+BP16+BP17</f>
        <v>6068.2396029911652</v>
      </c>
      <c r="BQ7" s="238">
        <f t="shared" si="32"/>
        <v>709.65519311623621</v>
      </c>
      <c r="BR7" s="238">
        <f t="shared" si="32"/>
        <v>-869.95594130961808</v>
      </c>
      <c r="BS7" s="238">
        <f t="shared" si="32"/>
        <v>513.82948503729699</v>
      </c>
      <c r="BT7" s="238">
        <f t="shared" si="32"/>
        <v>2127.4225355047383</v>
      </c>
      <c r="BU7" s="238">
        <f t="shared" si="32"/>
        <v>7572.6739057305012</v>
      </c>
      <c r="BV7" s="238">
        <f t="shared" si="32"/>
        <v>-2283.5810506259231</v>
      </c>
      <c r="BW7" s="238">
        <f t="shared" ref="BW7:CB7" si="33">+BW8+BW9+BW10+BW11+BW12+BW13+BW14+BW15+BW16+BW17</f>
        <v>7389.2449316129832</v>
      </c>
      <c r="BX7" s="238">
        <f t="shared" si="33"/>
        <v>4439.4129484825798</v>
      </c>
      <c r="BY7" s="238">
        <f t="shared" si="33"/>
        <v>-32580.403779715263</v>
      </c>
      <c r="BZ7" s="238">
        <f t="shared" si="33"/>
        <v>14330.923682481</v>
      </c>
      <c r="CA7" s="238">
        <f t="shared" si="33"/>
        <v>-1549.0597654610424</v>
      </c>
      <c r="CB7" s="238">
        <f t="shared" si="33"/>
        <v>4086.3795568690471</v>
      </c>
      <c r="CC7" s="238">
        <f t="shared" ref="CC7:CH7" si="34">+CC8+CC9+CC10+CC11+CC12+CC13+CC14+CC15+CC16+CC17</f>
        <v>919.80252116790541</v>
      </c>
      <c r="CD7" s="238">
        <f t="shared" si="34"/>
        <v>3008.4390333612246</v>
      </c>
      <c r="CE7" s="238">
        <f t="shared" si="34"/>
        <v>5131.4477110310563</v>
      </c>
      <c r="CF7" s="238">
        <f t="shared" si="34"/>
        <v>-2165.6381201905374</v>
      </c>
      <c r="CG7" s="238">
        <f t="shared" si="34"/>
        <v>3986.2971046190414</v>
      </c>
      <c r="CH7" s="238">
        <f t="shared" si="34"/>
        <v>-8269.738568723682</v>
      </c>
      <c r="CI7" s="238">
        <f t="shared" ref="CI7:CJ7" si="35">+CI8+CI9+CI10+CI11+CI12+CI13+CI14+CI15+CI16+CI17</f>
        <v>3968.6354428600662</v>
      </c>
      <c r="CJ7" s="238">
        <f t="shared" si="35"/>
        <v>877.46013030289271</v>
      </c>
      <c r="CK7" s="238">
        <f t="shared" ref="CK7:CL7" si="36">+CK8+CK9+CK10+CK11+CK12+CK13+CK14+CK15+CK16+CK17</f>
        <v>-4167.399674858143</v>
      </c>
      <c r="CL7" s="238">
        <f t="shared" si="36"/>
        <v>3985.8258230293227</v>
      </c>
      <c r="CM7" s="238">
        <f t="shared" ref="CM7:CN7" si="37">+CM8+CM9+CM10+CM11+CM12+CM13+CM14+CM15+CM16+CM17</f>
        <v>-440.555946198642</v>
      </c>
      <c r="CN7" s="238">
        <f t="shared" si="37"/>
        <v>2048.8439932328738</v>
      </c>
      <c r="CO7" s="238">
        <f t="shared" ref="CO7:CP7" si="38">+CO8+CO9+CO10+CO11+CO12+CO13+CO14+CO15+CO16+CO17</f>
        <v>8742.4042750152457</v>
      </c>
      <c r="CP7" s="238">
        <f t="shared" si="38"/>
        <v>-1856.9897190119329</v>
      </c>
      <c r="CQ7" s="238">
        <f t="shared" ref="CQ7:CR7" si="39">+CQ8+CQ9+CQ10+CQ11+CQ12+CQ13+CQ14+CQ15+CQ16+CQ17</f>
        <v>8354.0827842765211</v>
      </c>
      <c r="CR7" s="238">
        <f t="shared" si="39"/>
        <v>92.29840566268048</v>
      </c>
      <c r="CS7" s="238">
        <f t="shared" ref="CS7:CT7" si="40">+CS8+CS9+CS10+CS11+CS12+CS13+CS14+CS15+CS16+CS17</f>
        <v>900.74417137584737</v>
      </c>
      <c r="CT7" s="238">
        <f t="shared" si="40"/>
        <v>-1838.4300932985666</v>
      </c>
      <c r="CU7" s="238">
        <f t="shared" ref="CU7:CV7" si="41">+CU8+CU9+CU10+CU11+CU12+CU13+CU14+CU15+CU16+CU17</f>
        <v>2085.3587039458143</v>
      </c>
      <c r="CV7" s="238">
        <f t="shared" si="41"/>
        <v>1445.9519339900226</v>
      </c>
      <c r="CW7" s="238">
        <f t="shared" ref="CW7:CX7" si="42">+CW8+CW9+CW10+CW11+CW12+CW13+CW14+CW15+CW16+CW17</f>
        <v>597.02609100538893</v>
      </c>
      <c r="CX7" s="238">
        <f t="shared" si="42"/>
        <v>-7443.1983008674306</v>
      </c>
      <c r="CY7" s="238">
        <f t="shared" ref="CY7:DD7" si="43">+CY8+CY9+CY10+CY11+CY12+CY13+CY14+CY15+CY16+CY17</f>
        <v>-9100.3187928378793</v>
      </c>
      <c r="CZ7" s="238">
        <f>+CZ8+CZ9+CZ10+CZ11+CZ12+CZ13+CZ14+CZ15+CZ16+CZ17</f>
        <v>1828.5674668852912</v>
      </c>
      <c r="DA7" s="238">
        <f t="shared" si="43"/>
        <v>6668</v>
      </c>
      <c r="DB7" s="238">
        <f t="shared" si="43"/>
        <v>3580</v>
      </c>
      <c r="DC7" s="238">
        <f t="shared" si="43"/>
        <v>10069</v>
      </c>
      <c r="DD7" s="238">
        <f t="shared" si="43"/>
        <v>-289</v>
      </c>
      <c r="DE7" s="238">
        <f t="shared" ref="DE7" si="44">+DE8+DE9+DE10+DE11+DE12+DE13+DE14+DE15+DE16+DE17</f>
        <v>-50273</v>
      </c>
      <c r="DF7" s="238">
        <f>+DF8+DF9+DF10+DF11+DF12+DF13+DF14+DF15+DF16+DF17</f>
        <v>14150</v>
      </c>
      <c r="DG7" s="238">
        <f>+DG8+DG9+DG10+DG11+DG12+DG13+DG14+DG15+DG16+DG17</f>
        <v>1692.8812226191915</v>
      </c>
    </row>
    <row r="8" spans="1:111" ht="25.5" customHeight="1">
      <c r="A8" s="773"/>
      <c r="B8" s="774"/>
      <c r="C8" s="231" t="s">
        <v>11</v>
      </c>
      <c r="D8" s="232">
        <v>0</v>
      </c>
      <c r="E8" s="232">
        <v>0</v>
      </c>
      <c r="F8" s="232">
        <v>0</v>
      </c>
      <c r="G8" s="233">
        <v>-54.22149636205296</v>
      </c>
      <c r="H8" s="233">
        <v>-172.87859142940374</v>
      </c>
      <c r="I8" s="233">
        <v>355.78500977087822</v>
      </c>
      <c r="J8" s="233">
        <v>-71.045697667277153</v>
      </c>
      <c r="K8" s="234">
        <v>-62.441267322449306</v>
      </c>
      <c r="L8" s="234">
        <v>200.04785889327596</v>
      </c>
      <c r="M8" s="234">
        <v>507.48042998159622</v>
      </c>
      <c r="N8" s="234">
        <v>-188.05090052956021</v>
      </c>
      <c r="O8" s="234">
        <v>-230.14575800843562</v>
      </c>
      <c r="P8" s="234">
        <f>28.9047494448476-P14</f>
        <v>37.7537494448476</v>
      </c>
      <c r="Q8" s="234">
        <f>496.907806203235-Q14</f>
        <v>488.10680620323501</v>
      </c>
      <c r="R8" s="234">
        <f>346.548517172931-R14</f>
        <v>347.223517172931</v>
      </c>
      <c r="S8" s="234">
        <f>+-127.732091974584-S14</f>
        <v>-135.840091974584</v>
      </c>
      <c r="T8" s="234">
        <f>+-47.9154558707614-T14</f>
        <v>-46.544455870761396</v>
      </c>
      <c r="U8" s="234">
        <f>108.883198520774-U14</f>
        <v>109.490198520774</v>
      </c>
      <c r="V8" s="234">
        <f>48.0330372190559-V14</f>
        <v>42.327537219055898</v>
      </c>
      <c r="W8" s="234">
        <f>257.117022310046-W14</f>
        <v>252.80402231004604</v>
      </c>
      <c r="X8" s="234">
        <f>+-11.614093654502-X14</f>
        <v>-11.378593654502001</v>
      </c>
      <c r="Y8" s="234">
        <f>704.32632640335-Y14</f>
        <v>704.32632640334998</v>
      </c>
      <c r="Z8" s="234">
        <f>2.46207192360064-Z14</f>
        <v>4.6985719236006389</v>
      </c>
      <c r="AA8" s="234">
        <f>456.936565652719-AA14</f>
        <v>452.66056565271901</v>
      </c>
      <c r="AB8" s="234">
        <f>-129.617634545696-AB14</f>
        <v>-128.726134545696</v>
      </c>
      <c r="AC8" s="234">
        <f>-50.3580917325414-AC14</f>
        <v>-49.357591732541401</v>
      </c>
      <c r="AD8" s="234">
        <f>8.20151330004947-AD14</f>
        <v>10.284513300049468</v>
      </c>
      <c r="AE8" s="234">
        <f>54.6024002264255-AE14</f>
        <v>51.182900226425502</v>
      </c>
      <c r="AF8" s="234">
        <f>121.922232483743-AF14</f>
        <v>122.871232483743</v>
      </c>
      <c r="AG8" s="234">
        <f>0.326715671624886-AG14</f>
        <v>-2.4047843283751145</v>
      </c>
      <c r="AH8" s="235">
        <f>347.908204796212-AH14</f>
        <v>347.39220479621196</v>
      </c>
      <c r="AI8" s="234">
        <f>384.272693011924-AI14</f>
        <v>384.27269301192399</v>
      </c>
      <c r="AJ8" s="235">
        <f>-38.2780607501671-AJ14</f>
        <v>-38.5920607501671</v>
      </c>
      <c r="AK8" s="234">
        <f>1118.28310731067-AK14</f>
        <v>1117.5876073106699</v>
      </c>
      <c r="AL8" s="234">
        <f>151.779074510146-AL14</f>
        <v>151.56007451014599</v>
      </c>
      <c r="AM8" s="234">
        <f>605.630163085222-AM14</f>
        <v>605.66666308522201</v>
      </c>
      <c r="AN8" s="234">
        <f>-110.034154683137-AN14</f>
        <v>-111.02665468313701</v>
      </c>
      <c r="AO8" s="234">
        <f>487.11374103164-AO14</f>
        <v>487.54024103163999</v>
      </c>
      <c r="AP8" s="234">
        <f>-151.25-AP14</f>
        <v>-152.0805</v>
      </c>
      <c r="AQ8" s="234">
        <v>-301.77362264852752</v>
      </c>
      <c r="AR8" s="234">
        <v>-160.44784069170743</v>
      </c>
      <c r="AS8" s="234">
        <v>-244.44110001878329</v>
      </c>
      <c r="AT8" s="234">
        <v>203.1448930404635</v>
      </c>
      <c r="AU8" s="234">
        <v>248.37019509832578</v>
      </c>
      <c r="AV8" s="234">
        <v>91.238128586260927</v>
      </c>
      <c r="AW8" s="234">
        <v>727.87927357769877</v>
      </c>
      <c r="AX8" s="234">
        <v>517.03161500841099</v>
      </c>
      <c r="AY8" s="234">
        <v>1159.0086789828042</v>
      </c>
      <c r="AZ8" s="234">
        <v>302.17389697139402</v>
      </c>
      <c r="BA8" s="234">
        <v>294.43384624761654</v>
      </c>
      <c r="BB8" s="234">
        <v>-315.02108432313094</v>
      </c>
      <c r="BC8" s="234">
        <v>43.598573485834095</v>
      </c>
      <c r="BD8" s="234">
        <v>633.12485717796085</v>
      </c>
      <c r="BE8" s="234">
        <v>793.72708421867947</v>
      </c>
      <c r="BF8" s="234">
        <v>1346.4968720726943</v>
      </c>
      <c r="BG8" s="234">
        <v>951.73304786360677</v>
      </c>
      <c r="BH8" s="234">
        <v>2030.7581632868678</v>
      </c>
      <c r="BI8" s="234">
        <v>1993.2428681264589</v>
      </c>
      <c r="BJ8" s="234">
        <v>1360.2096942345513</v>
      </c>
      <c r="BK8" s="234">
        <v>2519.3391208442777</v>
      </c>
      <c r="BL8" s="234">
        <v>241.39230850655599</v>
      </c>
      <c r="BM8" s="234">
        <v>-152.13537227971506</v>
      </c>
      <c r="BN8" s="234">
        <v>-262.4735797159716</v>
      </c>
      <c r="BO8" s="234">
        <v>459.61893294438221</v>
      </c>
      <c r="BP8" s="234">
        <v>634.98363110396667</v>
      </c>
      <c r="BQ8" s="234">
        <v>-1455.6920386756929</v>
      </c>
      <c r="BR8" s="234">
        <v>-1420.6856653994846</v>
      </c>
      <c r="BS8" s="234">
        <v>-1142.5064203090851</v>
      </c>
      <c r="BT8" s="234">
        <v>-638.37792941178373</v>
      </c>
      <c r="BU8" s="234">
        <v>-272.41593931396397</v>
      </c>
      <c r="BV8" s="234">
        <v>-1155.5799412494671</v>
      </c>
      <c r="BW8" s="234">
        <v>-442.82052889416946</v>
      </c>
      <c r="BX8" s="234">
        <v>-751.37886152901228</v>
      </c>
      <c r="BY8" s="234">
        <v>-5142.0302604035141</v>
      </c>
      <c r="BZ8" s="234">
        <v>502.66910938770263</v>
      </c>
      <c r="CA8" s="234">
        <v>-711.73797175911034</v>
      </c>
      <c r="CB8" s="234">
        <v>-413.72358289954013</v>
      </c>
      <c r="CC8" s="234">
        <v>-429.95365591731741</v>
      </c>
      <c r="CD8" s="234">
        <v>-298.22549481270823</v>
      </c>
      <c r="CE8" s="234">
        <v>87.591389031066569</v>
      </c>
      <c r="CF8" s="234">
        <v>-485.97909575640938</v>
      </c>
      <c r="CG8" s="234">
        <v>-54.532001705141511</v>
      </c>
      <c r="CH8" s="234">
        <v>-748.65396694210472</v>
      </c>
      <c r="CI8" s="234">
        <v>85.686651956802848</v>
      </c>
      <c r="CJ8" s="234">
        <v>-267.32152048889657</v>
      </c>
      <c r="CK8" s="234">
        <v>-457.56009986566687</v>
      </c>
      <c r="CL8" s="234">
        <v>-8.7256081145820872</v>
      </c>
      <c r="CM8" s="234">
        <v>-170.13956192574415</v>
      </c>
      <c r="CN8" s="234">
        <v>-68.629247829547126</v>
      </c>
      <c r="CO8" s="234">
        <v>451.57858157844589</v>
      </c>
      <c r="CP8" s="234">
        <v>-108.18728177096023</v>
      </c>
      <c r="CQ8" s="234">
        <v>396.54926299862166</v>
      </c>
      <c r="CR8" s="234">
        <v>-191.46824746818129</v>
      </c>
      <c r="CS8" s="234">
        <v>-31.168122269290848</v>
      </c>
      <c r="CT8" s="234">
        <v>-24.390232052318765</v>
      </c>
      <c r="CU8" s="234">
        <v>52.146375731339617</v>
      </c>
      <c r="CV8" s="234">
        <v>6.5594741897413087</v>
      </c>
      <c r="CW8" s="234">
        <v>-156.91156803781752</v>
      </c>
      <c r="CX8" s="234">
        <v>-518.51777581601164</v>
      </c>
      <c r="CY8" s="234">
        <v>-750.34293520740971</v>
      </c>
      <c r="CZ8" s="234">
        <v>-197.71420234167869</v>
      </c>
      <c r="DA8" s="234">
        <v>181</v>
      </c>
      <c r="DB8" s="234">
        <v>737</v>
      </c>
      <c r="DC8" s="234">
        <v>27</v>
      </c>
      <c r="DD8" s="234">
        <v>86</v>
      </c>
      <c r="DE8" s="234">
        <v>-1187</v>
      </c>
      <c r="DF8" s="234">
        <v>186</v>
      </c>
      <c r="DG8" s="234">
        <v>-201.49614102407077</v>
      </c>
    </row>
    <row r="9" spans="1:111" ht="25.5" customHeight="1">
      <c r="A9" s="773"/>
      <c r="B9" s="774"/>
      <c r="C9" s="231" t="s">
        <v>12</v>
      </c>
      <c r="D9" s="232">
        <v>0</v>
      </c>
      <c r="E9" s="232">
        <v>0</v>
      </c>
      <c r="F9" s="232">
        <v>0</v>
      </c>
      <c r="G9" s="233">
        <v>-427.04924444382044</v>
      </c>
      <c r="H9" s="233">
        <v>-415.82601992782605</v>
      </c>
      <c r="I9" s="233">
        <v>425.48528657447002</v>
      </c>
      <c r="J9" s="233">
        <v>341.13157224587815</v>
      </c>
      <c r="K9" s="234">
        <v>-208.98775661450873</v>
      </c>
      <c r="L9" s="234">
        <v>-268.21054739422584</v>
      </c>
      <c r="M9" s="234">
        <v>747.17339797437967</v>
      </c>
      <c r="N9" s="234">
        <v>206.25159141808479</v>
      </c>
      <c r="O9" s="234">
        <v>365.16202719811889</v>
      </c>
      <c r="P9" s="234">
        <f>46.6758369964101-P15-P16</f>
        <v>-67.241515860761254</v>
      </c>
      <c r="Q9" s="234">
        <f>161.856122473395-Q15-Q16</f>
        <v>93.626322884312231</v>
      </c>
      <c r="R9" s="234">
        <f>-14.0320701863069-R15-R16</f>
        <v>47.692349000272571</v>
      </c>
      <c r="S9" s="234">
        <f>202.304816024394-S15-S16</f>
        <v>113.68916264348091</v>
      </c>
      <c r="T9" s="234">
        <f>146.130357051861-T15-T16</f>
        <v>206.73361267482056</v>
      </c>
      <c r="U9" s="234">
        <f>613.698952576837-U15-U16</f>
        <v>505.27938593427575</v>
      </c>
      <c r="V9" s="234">
        <f>182.593030360651-V15-V16</f>
        <v>245.95761013170448</v>
      </c>
      <c r="W9" s="234">
        <f>44.2620445364172-W15-W16</f>
        <v>213.54854719860504</v>
      </c>
      <c r="X9" s="234">
        <f>230.911665476379-X15-X16</f>
        <v>109.64538993825978</v>
      </c>
      <c r="Y9" s="234">
        <f>705.018820998534-Y15-Y16</f>
        <v>1152.2160586453481</v>
      </c>
      <c r="Z9" s="234">
        <f>281.953770761245-Z15-Z16</f>
        <v>-102.21615810266871</v>
      </c>
      <c r="AA9" s="234">
        <f>96.0482334489098-AA15-AA16</f>
        <v>382.45808364203498</v>
      </c>
      <c r="AB9" s="234">
        <f>-369.520333750272-AB15-AB16</f>
        <v>-332.51088200433287</v>
      </c>
      <c r="AC9" s="234">
        <f>211.618857643936-AC15-AC16</f>
        <v>275.32870480148114</v>
      </c>
      <c r="AD9" s="234">
        <f>89.344253308354-AD15</f>
        <v>182.29839951671164</v>
      </c>
      <c r="AE9" s="234">
        <f>262.949157468339-AE15</f>
        <v>418.1543494418184</v>
      </c>
      <c r="AF9" s="234">
        <f>194.923568153851-AF15</f>
        <v>269.11867216882956</v>
      </c>
      <c r="AG9" s="234">
        <f>+-85.8400194100294-AG15</f>
        <v>-38.555979433481625</v>
      </c>
      <c r="AH9" s="235">
        <f>+-337.229979280384-AH15</f>
        <v>-265.11357190476156</v>
      </c>
      <c r="AI9" s="234">
        <v>492.32158572650565</v>
      </c>
      <c r="AJ9" s="235">
        <f>353.596103635634-AJ15</f>
        <v>372.71207143437772</v>
      </c>
      <c r="AK9" s="234">
        <f>1718.42791084396-AK15</f>
        <v>1680.9407356425234</v>
      </c>
      <c r="AL9" s="234">
        <f>+-371.11-AL15</f>
        <v>-156.55802642409603</v>
      </c>
      <c r="AM9" s="234">
        <f>1416.18905716197-AM15</f>
        <v>1159.9310063345338</v>
      </c>
      <c r="AN9" s="234">
        <f>223.912483392635-AN15</f>
        <v>195.08393889891332</v>
      </c>
      <c r="AO9" s="234">
        <f>938.618153794327-AO15</f>
        <v>832.62694558262297</v>
      </c>
      <c r="AP9" s="234">
        <f>-396.39-AP15</f>
        <v>-307.68105321783503</v>
      </c>
      <c r="AQ9" s="234">
        <v>-342.74079569420337</v>
      </c>
      <c r="AR9" s="234">
        <v>495.54426911722442</v>
      </c>
      <c r="AS9" s="234">
        <v>232.54542325342595</v>
      </c>
      <c r="AT9" s="234">
        <v>970.90503643355737</v>
      </c>
      <c r="AU9" s="234">
        <v>1471.3726203334124</v>
      </c>
      <c r="AV9" s="234">
        <v>1407.1914718626979</v>
      </c>
      <c r="AW9" s="234">
        <v>1649.0007493885078</v>
      </c>
      <c r="AX9" s="234">
        <v>2763.5688763242333</v>
      </c>
      <c r="AY9" s="234">
        <v>2332.8678871245061</v>
      </c>
      <c r="AZ9" s="234">
        <v>1501.1885091244039</v>
      </c>
      <c r="BA9" s="234">
        <v>2323.8207486818519</v>
      </c>
      <c r="BB9" s="234">
        <v>-108.02554738117647</v>
      </c>
      <c r="BC9" s="234">
        <v>-492.93319377707985</v>
      </c>
      <c r="BD9" s="234">
        <v>1444.8948861164833</v>
      </c>
      <c r="BE9" s="234">
        <v>2398.4658869814225</v>
      </c>
      <c r="BF9" s="234">
        <v>2252.4752289520256</v>
      </c>
      <c r="BG9" s="234">
        <v>3382.7331337411042</v>
      </c>
      <c r="BH9" s="234">
        <v>3983.1411572268166</v>
      </c>
      <c r="BI9" s="234">
        <v>2979.7086202463647</v>
      </c>
      <c r="BJ9" s="234">
        <v>1310.4119309446276</v>
      </c>
      <c r="BK9" s="234">
        <v>1988.5383717470293</v>
      </c>
      <c r="BL9" s="234">
        <v>-398.76026432007347</v>
      </c>
      <c r="BM9" s="234">
        <v>-2585.5918624475971</v>
      </c>
      <c r="BN9" s="234">
        <v>-374.79037583678257</v>
      </c>
      <c r="BO9" s="234">
        <v>-665.98140995966787</v>
      </c>
      <c r="BP9" s="234">
        <v>1207.6552125719741</v>
      </c>
      <c r="BQ9" s="234">
        <v>752.548512921069</v>
      </c>
      <c r="BR9" s="234">
        <v>-142.1850086032714</v>
      </c>
      <c r="BS9" s="234">
        <v>358.51661542271779</v>
      </c>
      <c r="BT9" s="234">
        <v>366.73676332477595</v>
      </c>
      <c r="BU9" s="234">
        <v>640.50561215077198</v>
      </c>
      <c r="BV9" s="234">
        <v>-2092.3455266148444</v>
      </c>
      <c r="BW9" s="234">
        <v>1490.7091589001741</v>
      </c>
      <c r="BX9" s="234">
        <v>1054.9451858386128</v>
      </c>
      <c r="BY9" s="234">
        <v>-11591.767301307933</v>
      </c>
      <c r="BZ9" s="234">
        <v>3737.9635958770727</v>
      </c>
      <c r="CA9" s="234">
        <v>-1579.0380933974373</v>
      </c>
      <c r="CB9" s="234">
        <v>274.70308920033744</v>
      </c>
      <c r="CC9" s="234">
        <v>-883.48321501849182</v>
      </c>
      <c r="CD9" s="234">
        <v>1152.1525426202174</v>
      </c>
      <c r="CE9" s="234">
        <v>1031.9608362427896</v>
      </c>
      <c r="CF9" s="234">
        <v>-663.16910880821001</v>
      </c>
      <c r="CG9" s="234">
        <v>683.73654427920997</v>
      </c>
      <c r="CH9" s="234">
        <v>-2159.7237705086131</v>
      </c>
      <c r="CI9" s="234">
        <v>786.32194888106619</v>
      </c>
      <c r="CJ9" s="234">
        <v>-169.69094179174994</v>
      </c>
      <c r="CK9" s="234">
        <v>-1592.0272041486533</v>
      </c>
      <c r="CL9" s="234">
        <v>-60.90774120101878</v>
      </c>
      <c r="CM9" s="234">
        <v>-498.25876010809566</v>
      </c>
      <c r="CN9" s="234">
        <v>549.17960553276566</v>
      </c>
      <c r="CO9" s="234">
        <v>2384.0970216198166</v>
      </c>
      <c r="CP9" s="234">
        <v>-300.38963226796261</v>
      </c>
      <c r="CQ9" s="234">
        <v>2365.1904981778653</v>
      </c>
      <c r="CR9" s="234">
        <v>-509.98412733131511</v>
      </c>
      <c r="CS9" s="234">
        <v>133.83706337141086</v>
      </c>
      <c r="CT9" s="234">
        <v>-794.05026795718004</v>
      </c>
      <c r="CU9" s="234">
        <v>174.54570667681304</v>
      </c>
      <c r="CV9" s="234">
        <v>812.08495246908956</v>
      </c>
      <c r="CW9" s="234">
        <v>-20.539561437582723</v>
      </c>
      <c r="CX9" s="234">
        <v>-1472.4777102646538</v>
      </c>
      <c r="CY9" s="234">
        <v>-2484.1803770267657</v>
      </c>
      <c r="CZ9" s="234">
        <v>268.23722704558924</v>
      </c>
      <c r="DA9" s="234">
        <v>2539</v>
      </c>
      <c r="DB9" s="234">
        <v>2357</v>
      </c>
      <c r="DC9" s="234">
        <v>3982</v>
      </c>
      <c r="DD9" s="234">
        <v>927</v>
      </c>
      <c r="DE9" s="234">
        <v>-12307</v>
      </c>
      <c r="DF9" s="234">
        <v>6947</v>
      </c>
      <c r="DG9" s="234">
        <v>1011.4597079037566</v>
      </c>
    </row>
    <row r="10" spans="1:111" ht="25.5" customHeight="1">
      <c r="A10" s="773"/>
      <c r="B10" s="774"/>
      <c r="C10" s="231" t="s">
        <v>120</v>
      </c>
      <c r="D10" s="239"/>
      <c r="E10" s="239"/>
      <c r="F10" s="239"/>
      <c r="G10" s="240"/>
      <c r="H10" s="240"/>
      <c r="I10" s="240"/>
      <c r="J10" s="240"/>
      <c r="K10" s="241"/>
      <c r="L10" s="241"/>
      <c r="M10" s="241"/>
      <c r="N10" s="241"/>
      <c r="O10" s="241"/>
      <c r="P10" s="241"/>
      <c r="Q10" s="241"/>
      <c r="R10" s="241">
        <v>0</v>
      </c>
      <c r="S10" s="241">
        <v>0</v>
      </c>
      <c r="T10" s="241">
        <v>0</v>
      </c>
      <c r="U10" s="241">
        <v>0</v>
      </c>
      <c r="V10" s="241">
        <v>0</v>
      </c>
      <c r="W10" s="241">
        <v>0</v>
      </c>
      <c r="X10" s="241">
        <v>0</v>
      </c>
      <c r="Y10" s="241">
        <v>0</v>
      </c>
      <c r="Z10" s="241"/>
      <c r="AA10" s="241"/>
      <c r="AB10" s="241"/>
      <c r="AC10" s="241"/>
      <c r="AD10" s="234">
        <f>+-58.074433613239-AD16</f>
        <v>-50.074433613239002</v>
      </c>
      <c r="AE10" s="234">
        <f>17.7413356556453-AE16</f>
        <v>9.741335655645301</v>
      </c>
      <c r="AF10" s="234">
        <f>95.7225449068175-AF16</f>
        <v>103.7225449068175</v>
      </c>
      <c r="AG10" s="234">
        <f>60.080009694006-AG16</f>
        <v>60.080009694006002</v>
      </c>
      <c r="AH10" s="235">
        <f>89.1533704213429-AH16</f>
        <v>126.1533704213429</v>
      </c>
      <c r="AI10" s="234">
        <v>228.80368208725409</v>
      </c>
      <c r="AJ10" s="235">
        <f>121.392928315161-AJ16</f>
        <v>85.217584894430104</v>
      </c>
      <c r="AK10" s="234">
        <f>220.891577949271-AK16</f>
        <v>257.8388104244745</v>
      </c>
      <c r="AL10" s="234">
        <f>243.035827537777-AL16</f>
        <v>281.11976828725869</v>
      </c>
      <c r="AM10" s="234">
        <f>209.430864113417-AM16</f>
        <v>288.41278850267048</v>
      </c>
      <c r="AN10" s="234">
        <f>213.345686349109-AN16</f>
        <v>203.10566341433341</v>
      </c>
      <c r="AO10" s="234">
        <f>348.634581704395-AO16</f>
        <v>340.00798013868774</v>
      </c>
      <c r="AP10" s="234">
        <f>174.01-AP16</f>
        <v>172.11452872410166</v>
      </c>
      <c r="AQ10" s="234">
        <v>215.92246256460885</v>
      </c>
      <c r="AR10" s="234">
        <v>44.105871270894227</v>
      </c>
      <c r="AS10" s="234">
        <v>367.36596984723758</v>
      </c>
      <c r="AT10" s="234">
        <v>891.91794491717974</v>
      </c>
      <c r="AU10" s="234">
        <v>551.97128769528285</v>
      </c>
      <c r="AV10" s="234">
        <v>654.64139009344035</v>
      </c>
      <c r="AW10" s="234">
        <v>987.12538540249182</v>
      </c>
      <c r="AX10" s="234">
        <v>517.22814702445555</v>
      </c>
      <c r="AY10" s="234">
        <v>1008.0896115898622</v>
      </c>
      <c r="AZ10" s="234">
        <v>150.57676654493989</v>
      </c>
      <c r="BA10" s="234">
        <v>400.22103226311151</v>
      </c>
      <c r="BB10" s="234">
        <v>610.21680141585364</v>
      </c>
      <c r="BC10" s="234">
        <v>145.61815494874685</v>
      </c>
      <c r="BD10" s="234">
        <v>-285.39420608326327</v>
      </c>
      <c r="BE10" s="234">
        <v>884.89736084389961</v>
      </c>
      <c r="BF10" s="234">
        <v>1099.8232060931841</v>
      </c>
      <c r="BG10" s="234">
        <v>886.82265148437216</v>
      </c>
      <c r="BH10" s="234">
        <v>2414.608754907299</v>
      </c>
      <c r="BI10" s="234">
        <v>2240.7920685813169</v>
      </c>
      <c r="BJ10" s="234">
        <v>1044.2213289695733</v>
      </c>
      <c r="BK10" s="234">
        <v>899.06150783125338</v>
      </c>
      <c r="BL10" s="234">
        <v>816.66677597616535</v>
      </c>
      <c r="BM10" s="234">
        <v>347.84906339689718</v>
      </c>
      <c r="BN10" s="234">
        <v>114.91301103526166</v>
      </c>
      <c r="BO10" s="234">
        <v>-318.36247881030266</v>
      </c>
      <c r="BP10" s="234">
        <v>1845.516751773202</v>
      </c>
      <c r="BQ10" s="234">
        <v>1442.444126357726</v>
      </c>
      <c r="BR10" s="234">
        <v>1600.8408082193557</v>
      </c>
      <c r="BS10" s="234">
        <v>968.86340001001088</v>
      </c>
      <c r="BT10" s="234">
        <v>1053.2321876688466</v>
      </c>
      <c r="BU10" s="234">
        <v>2592.3312855980516</v>
      </c>
      <c r="BV10" s="234">
        <v>-630.86903361602833</v>
      </c>
      <c r="BW10" s="234">
        <v>2428.9308665927015</v>
      </c>
      <c r="BX10" s="234">
        <v>958.7480415845647</v>
      </c>
      <c r="BY10" s="234">
        <v>-5459.6697115873822</v>
      </c>
      <c r="BZ10" s="234">
        <v>3793.2728537396579</v>
      </c>
      <c r="CA10" s="234">
        <v>198.22698314512576</v>
      </c>
      <c r="CB10" s="234">
        <v>2821.5827219628527</v>
      </c>
      <c r="CC10" s="234">
        <v>854.89745373513244</v>
      </c>
      <c r="CD10" s="234">
        <v>1459.1439155502637</v>
      </c>
      <c r="CE10" s="234">
        <v>3092.5004725137987</v>
      </c>
      <c r="CF10" s="234">
        <v>320.31635323710066</v>
      </c>
      <c r="CG10" s="234">
        <v>2013.3184630815965</v>
      </c>
      <c r="CH10" s="234">
        <v>-2857.9821858540981</v>
      </c>
      <c r="CI10" s="234">
        <v>1259.8756861106167</v>
      </c>
      <c r="CJ10" s="234">
        <v>168.44069776032111</v>
      </c>
      <c r="CK10" s="234">
        <v>-1411.3229300763785</v>
      </c>
      <c r="CL10" s="234">
        <v>990.77647669965654</v>
      </c>
      <c r="CM10" s="234">
        <v>216.57831181871711</v>
      </c>
      <c r="CN10" s="234">
        <v>768.6959758338387</v>
      </c>
      <c r="CO10" s="234">
        <v>3068.873259793429</v>
      </c>
      <c r="CP10" s="234">
        <v>-1175.72590268415</v>
      </c>
      <c r="CQ10" s="234">
        <v>3106.0570842986249</v>
      </c>
      <c r="CR10" s="234">
        <v>99.131728764326681</v>
      </c>
      <c r="CS10" s="234">
        <v>-147.97056305868654</v>
      </c>
      <c r="CT10" s="234">
        <v>-888.5034736998623</v>
      </c>
      <c r="CU10" s="234">
        <v>775.42196152020801</v>
      </c>
      <c r="CV10" s="234">
        <v>-291.39372310682074</v>
      </c>
      <c r="CW10" s="234">
        <v>66.385497118786859</v>
      </c>
      <c r="CX10" s="234">
        <v>-1828.055824106066</v>
      </c>
      <c r="CY10" s="234">
        <v>-3886.2917182815572</v>
      </c>
      <c r="CZ10" s="234">
        <v>1000.8032011767269</v>
      </c>
      <c r="DA10" s="234">
        <v>2030</v>
      </c>
      <c r="DB10" s="234">
        <v>1343</v>
      </c>
      <c r="DC10" s="234">
        <v>2994</v>
      </c>
      <c r="DD10" s="234">
        <v>-1677</v>
      </c>
      <c r="DE10" s="234">
        <v>-22172</v>
      </c>
      <c r="DF10" s="234">
        <v>3372</v>
      </c>
      <c r="DG10" s="234">
        <v>-513.31278148252784</v>
      </c>
    </row>
    <row r="11" spans="1:111" ht="25.5" customHeight="1">
      <c r="A11" s="773"/>
      <c r="B11" s="774"/>
      <c r="C11" s="231" t="s">
        <v>13</v>
      </c>
      <c r="D11" s="232">
        <v>0</v>
      </c>
      <c r="E11" s="232">
        <v>0</v>
      </c>
      <c r="F11" s="232">
        <v>0</v>
      </c>
      <c r="G11" s="233">
        <v>-81.742953796648081</v>
      </c>
      <c r="H11" s="233">
        <v>145.86823743231838</v>
      </c>
      <c r="I11" s="233">
        <v>21.920404076591524</v>
      </c>
      <c r="J11" s="233">
        <v>-60.561329779429698</v>
      </c>
      <c r="K11" s="234">
        <v>-200.9661625695957</v>
      </c>
      <c r="L11" s="234">
        <v>38.170063063695636</v>
      </c>
      <c r="M11" s="234">
        <v>13.32520083276475</v>
      </c>
      <c r="N11" s="234">
        <v>-85.632861970484967</v>
      </c>
      <c r="O11" s="234">
        <v>29.694356270302563</v>
      </c>
      <c r="P11" s="234">
        <v>0.55424519769564995</v>
      </c>
      <c r="Q11" s="234">
        <v>102.93936572273338</v>
      </c>
      <c r="R11" s="234">
        <v>136.32948757850073</v>
      </c>
      <c r="S11" s="234">
        <v>77.435473397625771</v>
      </c>
      <c r="T11" s="234">
        <v>53.113474872278971</v>
      </c>
      <c r="U11" s="234">
        <v>37.902060671181715</v>
      </c>
      <c r="V11" s="234">
        <v>41.868385364663794</v>
      </c>
      <c r="W11" s="234">
        <v>81.740253889335975</v>
      </c>
      <c r="X11" s="234">
        <v>97.68800325066303</v>
      </c>
      <c r="Y11" s="234">
        <v>206.35784098049862</v>
      </c>
      <c r="Z11" s="234">
        <v>44.670754306521815</v>
      </c>
      <c r="AA11" s="234">
        <v>237.26385898038086</v>
      </c>
      <c r="AB11" s="234">
        <v>76.517157059260228</v>
      </c>
      <c r="AC11" s="234">
        <v>25.287649604888372</v>
      </c>
      <c r="AD11" s="234">
        <v>246.28061789331446</v>
      </c>
      <c r="AE11" s="234">
        <v>144.9982485915458</v>
      </c>
      <c r="AF11" s="234">
        <v>333.64813614254189</v>
      </c>
      <c r="AG11" s="234">
        <v>28.256944917379371</v>
      </c>
      <c r="AH11" s="235">
        <v>470.1168165836516</v>
      </c>
      <c r="AI11" s="235">
        <v>371.10860769978598</v>
      </c>
      <c r="AJ11" s="235">
        <v>674.50054610598704</v>
      </c>
      <c r="AK11" s="234">
        <v>1557.7183291067754</v>
      </c>
      <c r="AL11" s="234">
        <v>554.53716450521495</v>
      </c>
      <c r="AM11" s="234">
        <v>1140.35426807197</v>
      </c>
      <c r="AN11" s="234">
        <v>740.83676164323094</v>
      </c>
      <c r="AO11" s="234">
        <v>1363.9254003406299</v>
      </c>
      <c r="AP11" s="234">
        <v>145.68004295259482</v>
      </c>
      <c r="AQ11" s="234">
        <v>-308.36801245951324</v>
      </c>
      <c r="AR11" s="234">
        <v>728.96518818137679</v>
      </c>
      <c r="AS11" s="234">
        <v>757.47331536437468</v>
      </c>
      <c r="AT11" s="234">
        <v>1297.9006753356186</v>
      </c>
      <c r="AU11" s="234">
        <v>1322.8054180299955</v>
      </c>
      <c r="AV11" s="234">
        <v>1006.1751414952998</v>
      </c>
      <c r="AW11" s="234">
        <v>1754.8142687548714</v>
      </c>
      <c r="AX11" s="234">
        <v>1671.910951316356</v>
      </c>
      <c r="AY11" s="234">
        <v>1810.4133619664649</v>
      </c>
      <c r="AZ11" s="234">
        <v>1103.709328263767</v>
      </c>
      <c r="BA11" s="234">
        <v>-22.720604946729054</v>
      </c>
      <c r="BB11" s="234">
        <v>-653.82654708128848</v>
      </c>
      <c r="BC11" s="234">
        <v>253.14894204316715</v>
      </c>
      <c r="BD11" s="234">
        <v>-1114.7488059998893</v>
      </c>
      <c r="BE11" s="234">
        <v>1494.9045715065358</v>
      </c>
      <c r="BF11" s="234">
        <v>1785.7913007720094</v>
      </c>
      <c r="BG11" s="234">
        <v>172.91986498719484</v>
      </c>
      <c r="BH11" s="234">
        <v>-81.318674325073744</v>
      </c>
      <c r="BI11" s="234">
        <v>1457.2459072527247</v>
      </c>
      <c r="BJ11" s="234">
        <v>600.58292370029994</v>
      </c>
      <c r="BK11" s="234">
        <v>845.02079309695841</v>
      </c>
      <c r="BL11" s="234">
        <v>-907.97579937534624</v>
      </c>
      <c r="BM11" s="234">
        <v>-347.1728360523573</v>
      </c>
      <c r="BN11" s="234">
        <v>-291.30603578647811</v>
      </c>
      <c r="BO11" s="234">
        <v>-1192.8732184304549</v>
      </c>
      <c r="BP11" s="234">
        <v>248.32667988910725</v>
      </c>
      <c r="BQ11" s="234">
        <v>-879.18551427075658</v>
      </c>
      <c r="BR11" s="234">
        <v>-1377.339409294955</v>
      </c>
      <c r="BS11" s="234">
        <v>-1234.3968369873608</v>
      </c>
      <c r="BT11" s="234">
        <v>-219.52226310825858</v>
      </c>
      <c r="BU11" s="234">
        <v>150.678709104159</v>
      </c>
      <c r="BV11" s="234">
        <v>-12.417603485787694</v>
      </c>
      <c r="BW11" s="234">
        <v>1369.4075127593665</v>
      </c>
      <c r="BX11" s="234">
        <v>272.36560392047249</v>
      </c>
      <c r="BY11" s="234">
        <v>-4493.0083609309449</v>
      </c>
      <c r="BZ11" s="234">
        <v>2231.9324298066513</v>
      </c>
      <c r="CA11" s="234">
        <v>-126.61686844039809</v>
      </c>
      <c r="CB11" s="234">
        <v>752.6335467203096</v>
      </c>
      <c r="CC11" s="234">
        <v>659.40310923536322</v>
      </c>
      <c r="CD11" s="234">
        <v>1171.1301477352756</v>
      </c>
      <c r="CE11" s="234">
        <v>1192.8704253212768</v>
      </c>
      <c r="CF11" s="234">
        <v>413.21177661865067</v>
      </c>
      <c r="CG11" s="234">
        <v>1540.6778327562497</v>
      </c>
      <c r="CH11" s="234">
        <v>-628.12901711681752</v>
      </c>
      <c r="CI11" s="234">
        <v>1334.0469429302236</v>
      </c>
      <c r="CJ11" s="234">
        <v>607.30845081151983</v>
      </c>
      <c r="CK11" s="234">
        <v>-124.23949806912196</v>
      </c>
      <c r="CL11" s="234">
        <v>2196.0922548784565</v>
      </c>
      <c r="CM11" s="234">
        <v>774.33583904361831</v>
      </c>
      <c r="CN11" s="234">
        <v>820.20954294821422</v>
      </c>
      <c r="CO11" s="234">
        <v>2821.7813049793986</v>
      </c>
      <c r="CP11" s="234">
        <v>320.03220489993828</v>
      </c>
      <c r="CQ11" s="234">
        <v>2687.4244982443433</v>
      </c>
      <c r="CR11" s="234">
        <v>1020.657800366391</v>
      </c>
      <c r="CS11" s="234">
        <v>1073.3950783355638</v>
      </c>
      <c r="CT11" s="234">
        <v>316.83453259788257</v>
      </c>
      <c r="CU11" s="234">
        <v>1228.7810716262425</v>
      </c>
      <c r="CV11" s="234">
        <v>797.48549137271834</v>
      </c>
      <c r="CW11" s="234">
        <v>569.94938640311148</v>
      </c>
      <c r="CX11" s="234">
        <v>-1887.6718328686027</v>
      </c>
      <c r="CY11" s="234">
        <v>-868.16656890159811</v>
      </c>
      <c r="CZ11" s="234">
        <v>664.31950163460647</v>
      </c>
      <c r="DA11" s="234">
        <v>3453</v>
      </c>
      <c r="DB11" s="234">
        <v>4076</v>
      </c>
      <c r="DC11" s="234">
        <v>3731</v>
      </c>
      <c r="DD11" s="234">
        <v>3040</v>
      </c>
      <c r="DE11" s="234">
        <v>-9905</v>
      </c>
      <c r="DF11" s="234">
        <v>5578</v>
      </c>
      <c r="DG11" s="234">
        <v>3762.8895730581621</v>
      </c>
    </row>
    <row r="12" spans="1:111" ht="25.5" customHeight="1">
      <c r="A12" s="773"/>
      <c r="B12" s="774"/>
      <c r="C12" s="231" t="s">
        <v>91</v>
      </c>
      <c r="D12" s="233">
        <v>-229.24277367622057</v>
      </c>
      <c r="E12" s="233">
        <v>-62.36260472538369</v>
      </c>
      <c r="F12" s="233">
        <v>16.720680774012582</v>
      </c>
      <c r="G12" s="233">
        <v>-16.862066048003555</v>
      </c>
      <c r="H12" s="233">
        <v>457.39026902764374</v>
      </c>
      <c r="I12" s="233">
        <v>-877.53252103917771</v>
      </c>
      <c r="J12" s="233">
        <v>-204.67512026936677</v>
      </c>
      <c r="K12" s="234">
        <v>400.40353396917345</v>
      </c>
      <c r="L12" s="234">
        <v>-557.33242713660263</v>
      </c>
      <c r="M12" s="234">
        <v>21.980540758473239</v>
      </c>
      <c r="N12" s="234">
        <v>146.28928351914539</v>
      </c>
      <c r="O12" s="234">
        <v>14.706248751007934</v>
      </c>
      <c r="P12" s="234">
        <v>162.36973381489304</v>
      </c>
      <c r="Q12" s="234">
        <v>83.040438983021602</v>
      </c>
      <c r="R12" s="234">
        <v>-267.14824671488509</v>
      </c>
      <c r="S12" s="234">
        <v>38.153725980990373</v>
      </c>
      <c r="T12" s="234">
        <v>39.063898423100483</v>
      </c>
      <c r="U12" s="234">
        <v>-73.726456296150644</v>
      </c>
      <c r="V12" s="234">
        <v>-15.362769645485287</v>
      </c>
      <c r="W12" s="234">
        <v>-11.968681756387525</v>
      </c>
      <c r="X12" s="234">
        <v>5.7612510399703751</v>
      </c>
      <c r="Y12" s="234">
        <v>195.39720509267195</v>
      </c>
      <c r="Z12" s="234">
        <v>-143.05485517324283</v>
      </c>
      <c r="AA12" s="234">
        <v>-80.91562099806265</v>
      </c>
      <c r="AB12" s="234">
        <v>-99.51118637939004</v>
      </c>
      <c r="AC12" s="234">
        <v>-89.498608588038849</v>
      </c>
      <c r="AD12" s="234">
        <v>28.880356872327241</v>
      </c>
      <c r="AE12" s="234">
        <v>71.937354156293225</v>
      </c>
      <c r="AF12" s="234">
        <v>-12.959297244562833</v>
      </c>
      <c r="AG12" s="234">
        <v>18.195157562963288</v>
      </c>
      <c r="AH12" s="235">
        <v>-239.41767259314145</v>
      </c>
      <c r="AI12" s="235">
        <v>-34.383636823804203</v>
      </c>
      <c r="AJ12" s="235">
        <v>-76.4224916171367</v>
      </c>
      <c r="AK12" s="234">
        <v>335.16051258609798</v>
      </c>
      <c r="AL12" s="234">
        <v>-77.926503993388707</v>
      </c>
      <c r="AM12" s="234">
        <v>16.000816033534001</v>
      </c>
      <c r="AN12" s="234">
        <v>-58.8875226280174</v>
      </c>
      <c r="AO12" s="234">
        <v>56.756778461525471</v>
      </c>
      <c r="AP12" s="234">
        <v>17.509225730633773</v>
      </c>
      <c r="AQ12" s="234">
        <v>66.019624159882085</v>
      </c>
      <c r="AR12" s="234">
        <v>101.14779922605965</v>
      </c>
      <c r="AS12" s="234">
        <v>107.2678352740237</v>
      </c>
      <c r="AT12" s="234">
        <v>584.0854565520392</v>
      </c>
      <c r="AU12" s="234">
        <v>-185.57823566751901</v>
      </c>
      <c r="AV12" s="234">
        <v>16.283415998431906</v>
      </c>
      <c r="AW12" s="234">
        <v>284.6628334838997</v>
      </c>
      <c r="AX12" s="234">
        <v>413.83807751390771</v>
      </c>
      <c r="AY12" s="234">
        <v>389.58471480800182</v>
      </c>
      <c r="AZ12" s="234">
        <v>305.27827557049142</v>
      </c>
      <c r="BA12" s="234">
        <v>1028.4409196044453</v>
      </c>
      <c r="BB12" s="234">
        <v>608.62869066405847</v>
      </c>
      <c r="BC12" s="234">
        <v>-577.17986303248927</v>
      </c>
      <c r="BD12" s="234">
        <v>-380.36354034719506</v>
      </c>
      <c r="BE12" s="234">
        <v>344.30890332386622</v>
      </c>
      <c r="BF12" s="234">
        <v>1039.2950435294892</v>
      </c>
      <c r="BG12" s="234">
        <v>-262.07703401213865</v>
      </c>
      <c r="BH12" s="234">
        <v>685.77915395587547</v>
      </c>
      <c r="BI12" s="234">
        <v>1671.0648670276296</v>
      </c>
      <c r="BJ12" s="234">
        <v>187.64996197483271</v>
      </c>
      <c r="BK12" s="234">
        <v>1602.3705301059697</v>
      </c>
      <c r="BL12" s="234">
        <v>355.39120166929797</v>
      </c>
      <c r="BM12" s="234">
        <v>708.05587646147058</v>
      </c>
      <c r="BN12" s="234">
        <v>-53.207540138359377</v>
      </c>
      <c r="BO12" s="234">
        <v>645.8390842677353</v>
      </c>
      <c r="BP12" s="234">
        <v>2091.431556387302</v>
      </c>
      <c r="BQ12" s="234">
        <v>1006.5613736423502</v>
      </c>
      <c r="BR12" s="234">
        <v>462.41333376873717</v>
      </c>
      <c r="BS12" s="234">
        <v>1524.5520273052812</v>
      </c>
      <c r="BT12" s="234">
        <v>1810.9023307310526</v>
      </c>
      <c r="BU12" s="234">
        <v>4255.7417822628804</v>
      </c>
      <c r="BV12" s="234">
        <v>1764.0256943189495</v>
      </c>
      <c r="BW12" s="234">
        <v>2478.8316679638287</v>
      </c>
      <c r="BX12" s="234">
        <v>2803.6705301032225</v>
      </c>
      <c r="BY12" s="234">
        <v>-5310.9726077557061</v>
      </c>
      <c r="BZ12" s="234">
        <v>4013.4152363490521</v>
      </c>
      <c r="CA12" s="234">
        <v>694.57941968467799</v>
      </c>
      <c r="CB12" s="234">
        <v>497.99660286098992</v>
      </c>
      <c r="CC12" s="234">
        <v>695.49167260539662</v>
      </c>
      <c r="CD12" s="234">
        <v>-766.10039063746012</v>
      </c>
      <c r="CE12" s="234">
        <v>-375.71513915815922</v>
      </c>
      <c r="CF12" s="234">
        <v>-1353.5151154772789</v>
      </c>
      <c r="CG12" s="234">
        <v>-618.86462050492128</v>
      </c>
      <c r="CH12" s="234">
        <v>-1625.3467655621037</v>
      </c>
      <c r="CI12" s="234">
        <v>467.56850245678766</v>
      </c>
      <c r="CJ12" s="234">
        <v>155.69861181649219</v>
      </c>
      <c r="CK12" s="234">
        <v>-560.16060569191734</v>
      </c>
      <c r="CL12" s="234">
        <v>872.80694514373283</v>
      </c>
      <c r="CM12" s="234">
        <v>-644.88763640462957</v>
      </c>
      <c r="CN12" s="234">
        <v>-14.835087039036011</v>
      </c>
      <c r="CO12" s="234">
        <v>-75.894887831340725</v>
      </c>
      <c r="CP12" s="234">
        <v>-467.66628650516202</v>
      </c>
      <c r="CQ12" s="234">
        <v>-107.52893088455266</v>
      </c>
      <c r="CR12" s="234">
        <v>-320.0105300928177</v>
      </c>
      <c r="CS12" s="234">
        <v>-7.8093310660384532</v>
      </c>
      <c r="CT12" s="234">
        <v>-404.5691602428584</v>
      </c>
      <c r="CU12" s="234">
        <v>3.0842078514887135</v>
      </c>
      <c r="CV12" s="234">
        <v>-44.98741968730269</v>
      </c>
      <c r="CW12" s="234">
        <v>145.65879995451519</v>
      </c>
      <c r="CX12" s="234">
        <v>-1507.8981657090717</v>
      </c>
      <c r="CY12" s="234">
        <v>-1066.631228253239</v>
      </c>
      <c r="CZ12" s="234">
        <v>36.692682475830338</v>
      </c>
      <c r="DA12" s="234">
        <v>-1599</v>
      </c>
      <c r="DB12" s="234">
        <v>-4186</v>
      </c>
      <c r="DC12" s="234">
        <v>-614</v>
      </c>
      <c r="DD12" s="234">
        <v>-2500</v>
      </c>
      <c r="DE12" s="234">
        <v>-4175</v>
      </c>
      <c r="DF12" s="234">
        <v>-1937</v>
      </c>
      <c r="DG12" s="234">
        <v>-2258.5283086606628</v>
      </c>
    </row>
    <row r="13" spans="1:111" ht="25.5" customHeight="1">
      <c r="A13" s="773"/>
      <c r="B13" s="774"/>
      <c r="C13" s="231" t="s">
        <v>139</v>
      </c>
      <c r="D13" s="233"/>
      <c r="E13" s="233"/>
      <c r="F13" s="233"/>
      <c r="G13" s="233"/>
      <c r="H13" s="233"/>
      <c r="I13" s="233"/>
      <c r="J13" s="233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34">
        <v>49.598279090653783</v>
      </c>
      <c r="AM13" s="234">
        <v>22.48840335151597</v>
      </c>
      <c r="AN13" s="234">
        <v>66.897997635493894</v>
      </c>
      <c r="AO13" s="234">
        <v>316.18195854584599</v>
      </c>
      <c r="AP13" s="234">
        <v>-64.245148611270537</v>
      </c>
      <c r="AQ13" s="234">
        <v>250.43276477147097</v>
      </c>
      <c r="AR13" s="234">
        <v>92.292345163618222</v>
      </c>
      <c r="AS13" s="234">
        <v>389.44718674606838</v>
      </c>
      <c r="AT13" s="234">
        <v>662.78044400385636</v>
      </c>
      <c r="AU13" s="234">
        <v>41.443719134975538</v>
      </c>
      <c r="AV13" s="234">
        <v>677.43651995639686</v>
      </c>
      <c r="AW13" s="234">
        <v>461.52129635094536</v>
      </c>
      <c r="AX13" s="234">
        <v>524.9319263882644</v>
      </c>
      <c r="AY13" s="234">
        <v>465.52104947789871</v>
      </c>
      <c r="AZ13" s="234">
        <v>-230.42775749225132</v>
      </c>
      <c r="BA13" s="234">
        <v>-263.53667801589233</v>
      </c>
      <c r="BB13" s="234">
        <v>47.196884649288307</v>
      </c>
      <c r="BC13" s="234">
        <v>81.278526274630693</v>
      </c>
      <c r="BD13" s="234">
        <v>341.90085268731201</v>
      </c>
      <c r="BE13" s="234">
        <v>33.924473818505362</v>
      </c>
      <c r="BF13" s="234">
        <v>-71.936622478733966</v>
      </c>
      <c r="BG13" s="234">
        <v>-321.858885875753</v>
      </c>
      <c r="BH13" s="234">
        <v>300.22701284621439</v>
      </c>
      <c r="BI13" s="234">
        <v>-386.63750845950972</v>
      </c>
      <c r="BJ13" s="234">
        <v>-377.91290978708662</v>
      </c>
      <c r="BK13" s="234">
        <v>-98.607803885794809</v>
      </c>
      <c r="BL13" s="234">
        <v>-266.84407452599322</v>
      </c>
      <c r="BM13" s="234">
        <v>-933.47970193244282</v>
      </c>
      <c r="BN13" s="234">
        <v>42.628431547781815</v>
      </c>
      <c r="BO13" s="234">
        <v>-265.09226763933549</v>
      </c>
      <c r="BP13" s="234">
        <v>40.325771265612822</v>
      </c>
      <c r="BQ13" s="234">
        <v>-157.02126685845948</v>
      </c>
      <c r="BR13" s="234">
        <v>7</v>
      </c>
      <c r="BS13" s="234">
        <v>38.800699595733064</v>
      </c>
      <c r="BT13" s="234">
        <v>-245.54855369989457</v>
      </c>
      <c r="BU13" s="234">
        <v>205.832455928602</v>
      </c>
      <c r="BV13" s="234">
        <v>-156.39463997874464</v>
      </c>
      <c r="BW13" s="234">
        <v>64.186254291083188</v>
      </c>
      <c r="BX13" s="234">
        <v>101.0624485647198</v>
      </c>
      <c r="BY13" s="234">
        <v>-582.95553772978406</v>
      </c>
      <c r="BZ13" s="234">
        <v>51.670457320862624</v>
      </c>
      <c r="CA13" s="234">
        <v>-24.473234693900281</v>
      </c>
      <c r="CB13" s="234">
        <v>153.18717902409784</v>
      </c>
      <c r="CC13" s="234">
        <v>23.447156527822244</v>
      </c>
      <c r="CD13" s="234">
        <v>290.33831290563558</v>
      </c>
      <c r="CE13" s="234">
        <v>102.23972708028529</v>
      </c>
      <c r="CF13" s="234">
        <v>-396.50293000439063</v>
      </c>
      <c r="CG13" s="234">
        <v>421.96088671204848</v>
      </c>
      <c r="CH13" s="234">
        <v>-249.90286273994423</v>
      </c>
      <c r="CI13" s="234">
        <v>35.135710524569845</v>
      </c>
      <c r="CJ13" s="234">
        <v>383.02483219520605</v>
      </c>
      <c r="CK13" s="234">
        <v>-22.089337006405202</v>
      </c>
      <c r="CL13" s="234">
        <v>-4.2165043769225292</v>
      </c>
      <c r="CM13" s="234">
        <v>-118.18413862250804</v>
      </c>
      <c r="CN13" s="234">
        <v>-5.7767962133616493</v>
      </c>
      <c r="CO13" s="234">
        <v>91.968994875497231</v>
      </c>
      <c r="CP13" s="234">
        <v>-125.0528206836364</v>
      </c>
      <c r="CQ13" s="234">
        <v>-93.609628558380962</v>
      </c>
      <c r="CR13" s="234">
        <v>-6.0282185757231304</v>
      </c>
      <c r="CS13" s="234">
        <v>-119.53995393711139</v>
      </c>
      <c r="CT13" s="234">
        <v>-43.751491944229741</v>
      </c>
      <c r="CU13" s="234">
        <v>-148.62061946027757</v>
      </c>
      <c r="CV13" s="234">
        <v>166.20315875259681</v>
      </c>
      <c r="CW13" s="234">
        <v>-7.5164629956243374</v>
      </c>
      <c r="CX13" s="234">
        <v>-228.57699210302474</v>
      </c>
      <c r="CY13" s="234">
        <v>-44.705965167309017</v>
      </c>
      <c r="CZ13" s="234">
        <v>56.229056894216754</v>
      </c>
      <c r="DA13" s="234">
        <v>64</v>
      </c>
      <c r="DB13" s="234">
        <v>-747</v>
      </c>
      <c r="DC13" s="234">
        <v>-51</v>
      </c>
      <c r="DD13" s="234">
        <v>-165</v>
      </c>
      <c r="DE13" s="234">
        <v>-527</v>
      </c>
      <c r="DF13" s="234">
        <v>4</v>
      </c>
      <c r="DG13" s="234">
        <v>-108.13082717546583</v>
      </c>
    </row>
    <row r="14" spans="1:111" ht="25.5" customHeight="1">
      <c r="A14" s="773"/>
      <c r="B14" s="774"/>
      <c r="C14" s="155" t="s">
        <v>94</v>
      </c>
      <c r="D14" s="242">
        <v>0</v>
      </c>
      <c r="E14" s="243">
        <v>-7.3925000000000001</v>
      </c>
      <c r="F14" s="243">
        <v>-1.3814900000000001</v>
      </c>
      <c r="G14" s="243">
        <v>84.786000000000001</v>
      </c>
      <c r="H14" s="243">
        <v>-1.7860000000000014</v>
      </c>
      <c r="I14" s="243">
        <v>17</v>
      </c>
      <c r="J14" s="243">
        <v>-2</v>
      </c>
      <c r="K14" s="244">
        <v>-1</v>
      </c>
      <c r="L14" s="244">
        <v>-2</v>
      </c>
      <c r="M14" s="244">
        <v>12.440999999999999</v>
      </c>
      <c r="N14" s="244">
        <v>-2.5069999999999979</v>
      </c>
      <c r="O14" s="244">
        <v>-2.8390000000000022</v>
      </c>
      <c r="P14" s="244">
        <v>-8.8490000000000002</v>
      </c>
      <c r="Q14" s="244">
        <v>8.8010000000000019</v>
      </c>
      <c r="R14" s="244">
        <v>-0.67500000000000071</v>
      </c>
      <c r="S14" s="244">
        <v>8.1080000000000005</v>
      </c>
      <c r="T14" s="244">
        <v>-1.3709999999999987</v>
      </c>
      <c r="U14" s="244">
        <v>-0.60700000000000287</v>
      </c>
      <c r="V14" s="244">
        <v>5.7055000000000007</v>
      </c>
      <c r="W14" s="244">
        <v>4.3129999999999997</v>
      </c>
      <c r="X14" s="244">
        <v>-0.23549999999999915</v>
      </c>
      <c r="Y14" s="244">
        <v>0</v>
      </c>
      <c r="Z14" s="244">
        <v>-2.2364999999999995</v>
      </c>
      <c r="AA14" s="244">
        <v>4.2759999999999998</v>
      </c>
      <c r="AB14" s="244">
        <v>-0.89150000000000063</v>
      </c>
      <c r="AC14" s="244">
        <v>-1.0005000000000006</v>
      </c>
      <c r="AD14" s="244">
        <v>-2.0829999999999984</v>
      </c>
      <c r="AE14" s="244">
        <v>3.4194999999999993</v>
      </c>
      <c r="AF14" s="244">
        <v>-0.94899999999999984</v>
      </c>
      <c r="AG14" s="244">
        <v>2.7315000000000005</v>
      </c>
      <c r="AH14" s="245">
        <v>0.51599999999999913</v>
      </c>
      <c r="AI14" s="245">
        <v>0</v>
      </c>
      <c r="AJ14" s="245">
        <v>0.314</v>
      </c>
      <c r="AK14" s="244">
        <v>0.69550000000000001</v>
      </c>
      <c r="AL14" s="244">
        <v>0.219</v>
      </c>
      <c r="AM14" s="244">
        <v>-3.6500000000000199E-2</v>
      </c>
      <c r="AN14" s="244">
        <v>0.99250000000000005</v>
      </c>
      <c r="AO14" s="244">
        <v>-0.42649999999999999</v>
      </c>
      <c r="AP14" s="244">
        <v>0.83050000000000024</v>
      </c>
      <c r="AQ14" s="244">
        <v>5.0000000000000044E-2</v>
      </c>
      <c r="AR14" s="244">
        <v>0</v>
      </c>
      <c r="AS14" s="244">
        <v>0.14999999999999991</v>
      </c>
      <c r="AT14" s="244">
        <v>0</v>
      </c>
      <c r="AU14" s="244">
        <v>0</v>
      </c>
      <c r="AV14" s="244">
        <v>0</v>
      </c>
      <c r="AW14" s="244">
        <v>5.0000000000000044E-2</v>
      </c>
      <c r="AX14" s="244">
        <v>1.722</v>
      </c>
      <c r="AY14" s="244">
        <v>0</v>
      </c>
      <c r="AZ14" s="244">
        <v>0</v>
      </c>
      <c r="BA14" s="244">
        <v>0</v>
      </c>
      <c r="BB14" s="244">
        <v>0</v>
      </c>
      <c r="BC14" s="244">
        <v>0</v>
      </c>
      <c r="BD14" s="244">
        <v>0</v>
      </c>
      <c r="BE14" s="244">
        <v>0</v>
      </c>
      <c r="BF14" s="244">
        <v>0</v>
      </c>
      <c r="BG14" s="244">
        <v>0</v>
      </c>
      <c r="BH14" s="244">
        <v>0</v>
      </c>
      <c r="BI14" s="244">
        <v>0</v>
      </c>
      <c r="BJ14" s="244">
        <v>0</v>
      </c>
      <c r="BK14" s="244">
        <v>0</v>
      </c>
      <c r="BL14" s="244">
        <v>0</v>
      </c>
      <c r="BM14" s="244">
        <v>0</v>
      </c>
      <c r="BN14" s="244">
        <v>0</v>
      </c>
      <c r="BO14" s="244">
        <v>0</v>
      </c>
      <c r="BP14" s="244">
        <v>0</v>
      </c>
      <c r="BQ14" s="244">
        <v>0</v>
      </c>
      <c r="BR14" s="244">
        <v>0</v>
      </c>
      <c r="BS14" s="244">
        <v>0</v>
      </c>
      <c r="BT14" s="244">
        <v>0</v>
      </c>
      <c r="BU14" s="244">
        <v>0</v>
      </c>
      <c r="BV14" s="244">
        <v>0</v>
      </c>
      <c r="BW14" s="244">
        <v>0</v>
      </c>
      <c r="BX14" s="244">
        <v>0</v>
      </c>
      <c r="BY14" s="244">
        <v>0</v>
      </c>
      <c r="BZ14" s="244">
        <v>0</v>
      </c>
      <c r="CA14" s="244">
        <v>0</v>
      </c>
      <c r="CB14" s="244">
        <v>0</v>
      </c>
      <c r="CC14" s="244">
        <v>0</v>
      </c>
      <c r="CD14" s="244">
        <v>0</v>
      </c>
      <c r="CE14" s="244">
        <v>0</v>
      </c>
      <c r="CF14" s="244">
        <v>0</v>
      </c>
      <c r="CG14" s="244">
        <v>0</v>
      </c>
      <c r="CH14" s="244">
        <v>0</v>
      </c>
      <c r="CI14" s="244">
        <v>0</v>
      </c>
      <c r="CJ14" s="244">
        <v>0</v>
      </c>
      <c r="CK14" s="244">
        <v>0</v>
      </c>
      <c r="CL14" s="244">
        <v>0</v>
      </c>
      <c r="CM14" s="244">
        <v>0</v>
      </c>
      <c r="CN14" s="244">
        <v>0</v>
      </c>
      <c r="CO14" s="244">
        <v>0</v>
      </c>
      <c r="CP14" s="244">
        <v>0</v>
      </c>
      <c r="CQ14" s="244">
        <v>0</v>
      </c>
      <c r="CR14" s="244">
        <v>0</v>
      </c>
      <c r="CS14" s="244">
        <v>0</v>
      </c>
      <c r="CT14" s="244">
        <v>0</v>
      </c>
      <c r="CU14" s="244">
        <v>0</v>
      </c>
      <c r="CV14" s="244">
        <v>0</v>
      </c>
      <c r="CW14" s="244">
        <v>0</v>
      </c>
      <c r="CX14" s="244">
        <v>0</v>
      </c>
      <c r="CY14" s="244">
        <v>0</v>
      </c>
      <c r="CZ14" s="244">
        <v>0</v>
      </c>
      <c r="DA14" s="244">
        <v>0</v>
      </c>
      <c r="DB14" s="244">
        <v>0</v>
      </c>
      <c r="DC14" s="244">
        <v>0</v>
      </c>
      <c r="DD14" s="244">
        <v>0</v>
      </c>
      <c r="DE14" s="244">
        <v>0</v>
      </c>
      <c r="DF14" s="244">
        <v>0</v>
      </c>
      <c r="DG14" s="244">
        <v>0</v>
      </c>
    </row>
    <row r="15" spans="1:111" ht="25.5" customHeight="1">
      <c r="A15" s="773"/>
      <c r="B15" s="774"/>
      <c r="C15" s="155" t="s">
        <v>92</v>
      </c>
      <c r="D15" s="243">
        <v>-15.044336499999972</v>
      </c>
      <c r="E15" s="243">
        <v>-0.46392950000009847</v>
      </c>
      <c r="F15" s="243">
        <v>-43.193155599999898</v>
      </c>
      <c r="G15" s="243">
        <v>-64.717940441809219</v>
      </c>
      <c r="H15" s="243">
        <v>163.93141750000007</v>
      </c>
      <c r="I15" s="243">
        <v>33.047936513681861</v>
      </c>
      <c r="J15" s="243">
        <v>56.020645986318073</v>
      </c>
      <c r="K15" s="244">
        <v>-20.966281975122001</v>
      </c>
      <c r="L15" s="244">
        <v>66.516800469972168</v>
      </c>
      <c r="M15" s="244">
        <v>87.649860183265787</v>
      </c>
      <c r="N15" s="244">
        <v>4.4641681338792978</v>
      </c>
      <c r="O15" s="244">
        <v>32.881219928330097</v>
      </c>
      <c r="P15" s="244">
        <v>113.91735285717135</v>
      </c>
      <c r="Q15" s="244">
        <v>120.76229958908277</v>
      </c>
      <c r="R15" s="244">
        <v>-32.225419186579472</v>
      </c>
      <c r="S15" s="244">
        <v>81.16665338091309</v>
      </c>
      <c r="T15" s="244">
        <v>-66.691755622959533</v>
      </c>
      <c r="U15" s="244">
        <v>109.11306664256119</v>
      </c>
      <c r="V15" s="244">
        <v>-20.858079771053497</v>
      </c>
      <c r="W15" s="244">
        <v>-182.32800266218783</v>
      </c>
      <c r="X15" s="244">
        <v>-0.80872446188078584</v>
      </c>
      <c r="Y15" s="244">
        <v>-431.19723764681402</v>
      </c>
      <c r="Z15" s="244">
        <v>384.1699288639137</v>
      </c>
      <c r="AA15" s="244">
        <v>-269.40985019312518</v>
      </c>
      <c r="AB15" s="244">
        <v>-30.009451745939145</v>
      </c>
      <c r="AC15" s="244">
        <v>-63.709847157545141</v>
      </c>
      <c r="AD15" s="244">
        <v>-92.954146208357656</v>
      </c>
      <c r="AE15" s="244">
        <v>-155.20519197347937</v>
      </c>
      <c r="AF15" s="244">
        <v>-74.195104014978597</v>
      </c>
      <c r="AG15" s="244">
        <v>-47.284039976547774</v>
      </c>
      <c r="AH15" s="245">
        <v>-72.11640737562243</v>
      </c>
      <c r="AI15" s="245">
        <v>-5.6107215283971072</v>
      </c>
      <c r="AJ15" s="245">
        <v>-19.1159677987437</v>
      </c>
      <c r="AK15" s="244">
        <v>37.487175201436699</v>
      </c>
      <c r="AL15" s="244">
        <v>-214.55197357590399</v>
      </c>
      <c r="AM15" s="244">
        <v>256.25805082743602</v>
      </c>
      <c r="AN15" s="244">
        <v>28.828544493721701</v>
      </c>
      <c r="AO15" s="244">
        <v>105.99120821170401</v>
      </c>
      <c r="AP15" s="244">
        <v>-88.708946782164958</v>
      </c>
      <c r="AQ15" s="244">
        <v>-5.0934785427441511</v>
      </c>
      <c r="AR15" s="244">
        <v>-89.290337508655966</v>
      </c>
      <c r="AS15" s="244">
        <v>-127.04735858227627</v>
      </c>
      <c r="AT15" s="244">
        <v>30.113818845828519</v>
      </c>
      <c r="AU15" s="244">
        <v>60.966672616755432</v>
      </c>
      <c r="AV15" s="244">
        <v>-233.27715440983798</v>
      </c>
      <c r="AW15" s="244">
        <v>-209.94977174644285</v>
      </c>
      <c r="AX15" s="244">
        <v>73.967007011777554</v>
      </c>
      <c r="AY15" s="244">
        <v>-255.44598805943181</v>
      </c>
      <c r="AZ15" s="244">
        <v>-452.78544669512706</v>
      </c>
      <c r="BA15" s="244">
        <v>95.877890186583841</v>
      </c>
      <c r="BB15" s="244">
        <v>178.95410105392148</v>
      </c>
      <c r="BC15" s="244">
        <v>223.03990776238311</v>
      </c>
      <c r="BD15" s="244">
        <v>-138.40844020823425</v>
      </c>
      <c r="BE15" s="244">
        <v>341.85000252315973</v>
      </c>
      <c r="BF15" s="244">
        <v>995.98520444772487</v>
      </c>
      <c r="BG15" s="244">
        <v>-369.6320489068911</v>
      </c>
      <c r="BH15" s="244">
        <v>149.53765229730607</v>
      </c>
      <c r="BI15" s="244">
        <v>25.495002603255443</v>
      </c>
      <c r="BJ15" s="244">
        <v>111.05585577504212</v>
      </c>
      <c r="BK15" s="244">
        <v>-96.408892821673589</v>
      </c>
      <c r="BL15" s="244">
        <v>1149.9637078603837</v>
      </c>
      <c r="BM15" s="244">
        <v>-1029.0082179451938</v>
      </c>
      <c r="BN15" s="244">
        <v>0</v>
      </c>
      <c r="BO15" s="244">
        <v>0</v>
      </c>
      <c r="BP15" s="244">
        <v>0</v>
      </c>
      <c r="BQ15" s="244">
        <v>0</v>
      </c>
      <c r="BR15" s="244">
        <v>0</v>
      </c>
      <c r="BS15" s="244">
        <v>0</v>
      </c>
      <c r="BT15" s="244">
        <v>0</v>
      </c>
      <c r="BU15" s="244">
        <v>0</v>
      </c>
      <c r="BV15" s="244">
        <v>0</v>
      </c>
      <c r="BW15" s="244">
        <v>0</v>
      </c>
      <c r="BX15" s="244">
        <v>0</v>
      </c>
      <c r="BY15" s="244">
        <v>0</v>
      </c>
      <c r="BZ15" s="244">
        <v>0</v>
      </c>
      <c r="CA15" s="244">
        <v>0</v>
      </c>
      <c r="CB15" s="244">
        <v>0</v>
      </c>
      <c r="CC15" s="244">
        <v>0</v>
      </c>
      <c r="CD15" s="244">
        <v>0</v>
      </c>
      <c r="CE15" s="244">
        <v>0</v>
      </c>
      <c r="CF15" s="244">
        <v>0</v>
      </c>
      <c r="CG15" s="244">
        <v>0</v>
      </c>
      <c r="CH15" s="244">
        <v>0</v>
      </c>
      <c r="CI15" s="244">
        <v>0</v>
      </c>
      <c r="CJ15" s="244">
        <v>0</v>
      </c>
      <c r="CK15" s="244">
        <v>0</v>
      </c>
      <c r="CL15" s="244">
        <v>0</v>
      </c>
      <c r="CM15" s="244">
        <v>0</v>
      </c>
      <c r="CN15" s="244">
        <v>0</v>
      </c>
      <c r="CO15" s="244">
        <v>0</v>
      </c>
      <c r="CP15" s="244">
        <v>0</v>
      </c>
      <c r="CQ15" s="244">
        <v>0</v>
      </c>
      <c r="CR15" s="244">
        <v>0</v>
      </c>
      <c r="CS15" s="244">
        <v>0</v>
      </c>
      <c r="CT15" s="244">
        <v>0</v>
      </c>
      <c r="CU15" s="244">
        <v>0</v>
      </c>
      <c r="CV15" s="244">
        <v>0</v>
      </c>
      <c r="CW15" s="244">
        <v>0</v>
      </c>
      <c r="CX15" s="244">
        <v>0</v>
      </c>
      <c r="CY15" s="244">
        <v>0</v>
      </c>
      <c r="CZ15" s="244">
        <v>0</v>
      </c>
      <c r="DA15" s="244">
        <v>0</v>
      </c>
      <c r="DB15" s="244">
        <v>0</v>
      </c>
      <c r="DC15" s="244">
        <v>0</v>
      </c>
      <c r="DD15" s="244">
        <v>0</v>
      </c>
      <c r="DE15" s="244">
        <v>0</v>
      </c>
      <c r="DF15" s="244">
        <v>0</v>
      </c>
      <c r="DG15" s="244">
        <v>0</v>
      </c>
    </row>
    <row r="16" spans="1:111" ht="25.5" customHeight="1">
      <c r="A16" s="773"/>
      <c r="B16" s="774"/>
      <c r="C16" s="155" t="s">
        <v>93</v>
      </c>
      <c r="D16" s="242">
        <v>0</v>
      </c>
      <c r="E16" s="232">
        <v>0</v>
      </c>
      <c r="F16" s="232">
        <v>0</v>
      </c>
      <c r="G16" s="242">
        <v>0</v>
      </c>
      <c r="H16" s="242">
        <v>0</v>
      </c>
      <c r="I16" s="242">
        <v>0</v>
      </c>
      <c r="J16" s="243">
        <v>-9</v>
      </c>
      <c r="K16" s="244">
        <v>-9</v>
      </c>
      <c r="L16" s="244">
        <v>-8</v>
      </c>
      <c r="M16" s="244">
        <v>9.1735000000000007</v>
      </c>
      <c r="N16" s="244">
        <v>-28.742999999999999</v>
      </c>
      <c r="O16" s="244">
        <v>35.146999999999998</v>
      </c>
      <c r="P16" s="244">
        <v>0</v>
      </c>
      <c r="Q16" s="244">
        <v>-52.532499999999999</v>
      </c>
      <c r="R16" s="244">
        <v>-29.498999999999995</v>
      </c>
      <c r="S16" s="244">
        <v>7.4489999999999981</v>
      </c>
      <c r="T16" s="244">
        <v>6.0884999999999962</v>
      </c>
      <c r="U16" s="244">
        <v>-0.69350000000000023</v>
      </c>
      <c r="V16" s="244">
        <v>-42.506500000000003</v>
      </c>
      <c r="W16" s="244">
        <v>13.041499999999985</v>
      </c>
      <c r="X16" s="244">
        <v>122.075</v>
      </c>
      <c r="Y16" s="244">
        <v>-16</v>
      </c>
      <c r="Z16" s="244">
        <v>0</v>
      </c>
      <c r="AA16" s="244">
        <v>-17</v>
      </c>
      <c r="AB16" s="244">
        <v>-7</v>
      </c>
      <c r="AC16" s="244">
        <v>0</v>
      </c>
      <c r="AD16" s="244">
        <v>-8</v>
      </c>
      <c r="AE16" s="244">
        <v>8</v>
      </c>
      <c r="AF16" s="244">
        <v>-8</v>
      </c>
      <c r="AG16" s="244">
        <v>0</v>
      </c>
      <c r="AH16" s="245">
        <v>-37</v>
      </c>
      <c r="AI16" s="244">
        <v>24</v>
      </c>
      <c r="AJ16" s="245">
        <v>36.175343420730897</v>
      </c>
      <c r="AK16" s="244">
        <v>-36.947232475203499</v>
      </c>
      <c r="AL16" s="244">
        <v>-38.083940749481698</v>
      </c>
      <c r="AM16" s="244">
        <v>-78.981924389253507</v>
      </c>
      <c r="AN16" s="244">
        <v>10.240022934775601</v>
      </c>
      <c r="AO16" s="244">
        <v>8.6266015657072597</v>
      </c>
      <c r="AP16" s="244">
        <v>1.8954712758983305</v>
      </c>
      <c r="AQ16" s="244">
        <v>33.656509252799353</v>
      </c>
      <c r="AR16" s="244">
        <v>1.474671309684183</v>
      </c>
      <c r="AS16" s="244">
        <v>4.131845867000294</v>
      </c>
      <c r="AT16" s="244">
        <v>-58.294943621589198</v>
      </c>
      <c r="AU16" s="244">
        <v>16.511912755844151</v>
      </c>
      <c r="AV16" s="244">
        <v>-34.353588153305367</v>
      </c>
      <c r="AW16" s="244">
        <v>-18.710009598344726</v>
      </c>
      <c r="AX16" s="244">
        <v>-13.341834068784806</v>
      </c>
      <c r="AY16" s="244">
        <v>-96.922967804697549</v>
      </c>
      <c r="AZ16" s="244">
        <v>118.71455262126167</v>
      </c>
      <c r="BA16" s="244">
        <v>-56.930739044633043</v>
      </c>
      <c r="BB16" s="244">
        <v>-139.74370894291337</v>
      </c>
      <c r="BC16" s="244">
        <v>117.15597286477151</v>
      </c>
      <c r="BD16" s="244">
        <v>284.72798497973349</v>
      </c>
      <c r="BE16" s="244">
        <v>0</v>
      </c>
      <c r="BF16" s="244">
        <v>0</v>
      </c>
      <c r="BG16" s="244">
        <v>0</v>
      </c>
      <c r="BH16" s="244">
        <v>0</v>
      </c>
      <c r="BI16" s="244">
        <v>0</v>
      </c>
      <c r="BJ16" s="244">
        <v>0</v>
      </c>
      <c r="BK16" s="244">
        <v>0</v>
      </c>
      <c r="BL16" s="244">
        <v>22</v>
      </c>
      <c r="BM16" s="244">
        <v>0</v>
      </c>
      <c r="BN16" s="244">
        <v>0</v>
      </c>
      <c r="BO16" s="244">
        <v>0</v>
      </c>
      <c r="BP16" s="244">
        <v>0</v>
      </c>
      <c r="BQ16" s="244">
        <v>0</v>
      </c>
      <c r="BR16" s="244">
        <v>0</v>
      </c>
      <c r="BS16" s="244">
        <v>0</v>
      </c>
      <c r="BT16" s="244">
        <v>0</v>
      </c>
      <c r="BU16" s="244">
        <v>0</v>
      </c>
      <c r="BV16" s="244">
        <v>0</v>
      </c>
      <c r="BW16" s="244">
        <v>0</v>
      </c>
      <c r="BX16" s="244">
        <v>0</v>
      </c>
      <c r="BY16" s="244">
        <v>0</v>
      </c>
      <c r="BZ16" s="244">
        <v>0</v>
      </c>
      <c r="CA16" s="244">
        <v>0</v>
      </c>
      <c r="CB16" s="244">
        <v>0</v>
      </c>
      <c r="CC16" s="244">
        <v>0</v>
      </c>
      <c r="CD16" s="244">
        <v>0</v>
      </c>
      <c r="CE16" s="244">
        <v>0</v>
      </c>
      <c r="CF16" s="244">
        <v>0</v>
      </c>
      <c r="CG16" s="244">
        <v>0</v>
      </c>
      <c r="CH16" s="244">
        <v>0</v>
      </c>
      <c r="CI16" s="244">
        <v>0</v>
      </c>
      <c r="CJ16" s="244">
        <v>0</v>
      </c>
      <c r="CK16" s="244">
        <v>0</v>
      </c>
      <c r="CL16" s="244">
        <v>0</v>
      </c>
      <c r="CM16" s="244">
        <v>0</v>
      </c>
      <c r="CN16" s="244">
        <v>0</v>
      </c>
      <c r="CO16" s="244">
        <v>0</v>
      </c>
      <c r="CP16" s="244">
        <v>0</v>
      </c>
      <c r="CQ16" s="244">
        <v>0</v>
      </c>
      <c r="CR16" s="244">
        <v>0</v>
      </c>
      <c r="CS16" s="244">
        <v>0</v>
      </c>
      <c r="CT16" s="244">
        <v>0</v>
      </c>
      <c r="CU16" s="244">
        <v>0</v>
      </c>
      <c r="CV16" s="244">
        <v>0</v>
      </c>
      <c r="CW16" s="244">
        <v>0</v>
      </c>
      <c r="CX16" s="244">
        <v>0</v>
      </c>
      <c r="CY16" s="244">
        <v>0</v>
      </c>
      <c r="CZ16" s="244">
        <v>0</v>
      </c>
      <c r="DA16" s="244">
        <v>0</v>
      </c>
      <c r="DB16" s="244">
        <v>0</v>
      </c>
      <c r="DC16" s="244">
        <v>0</v>
      </c>
      <c r="DD16" s="244">
        <v>0</v>
      </c>
      <c r="DE16" s="244">
        <v>0</v>
      </c>
      <c r="DF16" s="244">
        <v>0</v>
      </c>
      <c r="DG16" s="244">
        <v>0</v>
      </c>
    </row>
    <row r="17" spans="1:112" ht="25.5" customHeight="1">
      <c r="A17" s="773"/>
      <c r="B17" s="774"/>
      <c r="C17" s="155" t="s">
        <v>151</v>
      </c>
      <c r="D17" s="242"/>
      <c r="E17" s="232"/>
      <c r="F17" s="232"/>
      <c r="G17" s="242"/>
      <c r="H17" s="242"/>
      <c r="I17" s="242"/>
      <c r="J17" s="243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44">
        <v>-0.11909136656118591</v>
      </c>
      <c r="AR17" s="244">
        <v>1.010295918378354</v>
      </c>
      <c r="AS17" s="244">
        <v>36.529258594503005</v>
      </c>
      <c r="AT17" s="244">
        <v>0</v>
      </c>
      <c r="AU17" s="244">
        <v>0</v>
      </c>
      <c r="AV17" s="244">
        <v>0</v>
      </c>
      <c r="AW17" s="244">
        <v>0</v>
      </c>
      <c r="AX17" s="244">
        <v>0</v>
      </c>
      <c r="AY17" s="244">
        <v>0</v>
      </c>
      <c r="AZ17" s="244">
        <v>0</v>
      </c>
      <c r="BA17" s="244">
        <v>0</v>
      </c>
      <c r="BB17" s="244">
        <v>-63.696568529099444</v>
      </c>
      <c r="BC17" s="244">
        <v>0.6567699490474439</v>
      </c>
      <c r="BD17" s="244">
        <v>-12.516973379558216</v>
      </c>
      <c r="BE17" s="244">
        <v>-34.962370433968857</v>
      </c>
      <c r="BF17" s="244">
        <v>84.361276679227799</v>
      </c>
      <c r="BG17" s="244">
        <v>-44.317148135087265</v>
      </c>
      <c r="BH17" s="244">
        <v>23.311798513767336</v>
      </c>
      <c r="BI17" s="244">
        <v>30.311772042440925</v>
      </c>
      <c r="BJ17" s="244">
        <v>16.851443293230279</v>
      </c>
      <c r="BK17" s="244">
        <v>0</v>
      </c>
      <c r="BL17" s="244">
        <v>0</v>
      </c>
      <c r="BM17" s="244">
        <v>0</v>
      </c>
      <c r="BN17" s="244">
        <v>0</v>
      </c>
      <c r="BO17" s="244">
        <v>0</v>
      </c>
      <c r="BP17" s="244">
        <v>0</v>
      </c>
      <c r="BQ17" s="244">
        <v>0</v>
      </c>
      <c r="BR17" s="244">
        <v>0</v>
      </c>
      <c r="BS17" s="244">
        <v>0</v>
      </c>
      <c r="BT17" s="244">
        <v>0</v>
      </c>
      <c r="BU17" s="244">
        <v>0</v>
      </c>
      <c r="BV17" s="244">
        <v>0</v>
      </c>
      <c r="BW17" s="244">
        <v>0</v>
      </c>
      <c r="BX17" s="244">
        <v>0</v>
      </c>
      <c r="BY17" s="244">
        <v>0</v>
      </c>
      <c r="BZ17" s="244">
        <v>0</v>
      </c>
      <c r="CA17" s="244">
        <v>0</v>
      </c>
      <c r="CB17" s="244">
        <v>0</v>
      </c>
      <c r="CC17" s="244">
        <v>0</v>
      </c>
      <c r="CD17" s="244">
        <v>0</v>
      </c>
      <c r="CE17" s="244">
        <v>0</v>
      </c>
      <c r="CF17" s="244">
        <v>0</v>
      </c>
      <c r="CG17" s="244">
        <v>0</v>
      </c>
      <c r="CH17" s="244">
        <v>0</v>
      </c>
      <c r="CI17" s="244">
        <v>0</v>
      </c>
      <c r="CJ17" s="244">
        <v>0</v>
      </c>
      <c r="CK17" s="244">
        <v>0</v>
      </c>
      <c r="CL17" s="244">
        <v>0</v>
      </c>
      <c r="CM17" s="244">
        <v>0</v>
      </c>
      <c r="CN17" s="244">
        <v>0</v>
      </c>
      <c r="CO17" s="244">
        <v>0</v>
      </c>
      <c r="CP17" s="244">
        <v>0</v>
      </c>
      <c r="CQ17" s="244">
        <v>0</v>
      </c>
      <c r="CR17" s="244">
        <v>0</v>
      </c>
      <c r="CS17" s="244">
        <v>0</v>
      </c>
      <c r="CT17" s="244">
        <v>0</v>
      </c>
      <c r="CU17" s="244">
        <v>0</v>
      </c>
      <c r="CV17" s="244">
        <v>0</v>
      </c>
      <c r="CW17" s="244">
        <v>0</v>
      </c>
      <c r="CX17" s="244">
        <v>0</v>
      </c>
      <c r="CY17" s="244">
        <v>0</v>
      </c>
      <c r="CZ17" s="244">
        <v>0</v>
      </c>
      <c r="DA17" s="244">
        <v>0</v>
      </c>
      <c r="DB17" s="244">
        <v>0</v>
      </c>
      <c r="DC17" s="244">
        <v>0</v>
      </c>
      <c r="DD17" s="244">
        <v>0</v>
      </c>
      <c r="DE17" s="244">
        <v>0</v>
      </c>
      <c r="DF17" s="244">
        <v>0</v>
      </c>
      <c r="DG17" s="244">
        <v>0</v>
      </c>
    </row>
    <row r="18" spans="1:112" ht="25.5" customHeight="1">
      <c r="A18" s="773"/>
      <c r="B18" s="774"/>
      <c r="C18" s="155" t="s">
        <v>95</v>
      </c>
      <c r="D18" s="242">
        <v>44.571894596445723</v>
      </c>
      <c r="E18" s="242">
        <v>10.17903894447838</v>
      </c>
      <c r="F18" s="242">
        <v>48.701142268225318</v>
      </c>
      <c r="G18" s="243">
        <v>-60.524476381607656</v>
      </c>
      <c r="H18" s="243">
        <v>-46.520279418392306</v>
      </c>
      <c r="I18" s="243">
        <v>11.664875120000602</v>
      </c>
      <c r="J18" s="243">
        <v>-10.454219320000561</v>
      </c>
      <c r="K18" s="244">
        <v>-19.164821183754498</v>
      </c>
      <c r="L18" s="244">
        <v>-34.821345555096855</v>
      </c>
      <c r="M18" s="244">
        <v>2.3392394112447619</v>
      </c>
      <c r="N18" s="244">
        <v>-61.165523362007661</v>
      </c>
      <c r="O18" s="244">
        <v>-48.44761446158094</v>
      </c>
      <c r="P18" s="244">
        <v>-12.312566405843825</v>
      </c>
      <c r="Q18" s="244">
        <v>-50.799980632905942</v>
      </c>
      <c r="R18" s="244">
        <v>-89.313433614495125</v>
      </c>
      <c r="S18" s="244">
        <v>17.706506333307686</v>
      </c>
      <c r="T18" s="244">
        <v>24.761082264177901</v>
      </c>
      <c r="U18" s="244">
        <v>-31.1263712786361</v>
      </c>
      <c r="V18" s="244">
        <v>-25.281709955073609</v>
      </c>
      <c r="W18" s="244">
        <v>-13.938123355560776</v>
      </c>
      <c r="X18" s="244">
        <v>-4.387267162375565</v>
      </c>
      <c r="Y18" s="244">
        <v>-48.865132887537698</v>
      </c>
      <c r="Z18" s="244">
        <v>26.766134135004734</v>
      </c>
      <c r="AA18" s="244">
        <v>-3.5933748028355694E-2</v>
      </c>
      <c r="AB18" s="244">
        <v>-31.307505452874636</v>
      </c>
      <c r="AC18" s="244">
        <v>36.980373828295797</v>
      </c>
      <c r="AD18" s="244">
        <v>20.686265878884114</v>
      </c>
      <c r="AE18" s="244">
        <v>50.654272228681464</v>
      </c>
      <c r="AF18" s="244">
        <v>264.76344780902537</v>
      </c>
      <c r="AG18" s="244">
        <v>-173.63141955171369</v>
      </c>
      <c r="AH18" s="245">
        <v>40.222383002490119</v>
      </c>
      <c r="AI18" s="245">
        <v>127.851958392073</v>
      </c>
      <c r="AJ18" s="245">
        <v>52.612175797680699</v>
      </c>
      <c r="AK18" s="244">
        <v>125.45781837276</v>
      </c>
      <c r="AL18" s="244">
        <v>83.183348059007997</v>
      </c>
      <c r="AM18" s="244">
        <v>64.401547277332796</v>
      </c>
      <c r="AN18" s="244">
        <v>51.3473352892698</v>
      </c>
      <c r="AO18" s="244">
        <v>50.779705369082301</v>
      </c>
      <c r="AP18" s="244">
        <v>65.985054788711977</v>
      </c>
      <c r="AQ18" s="244">
        <v>60.82002373612454</v>
      </c>
      <c r="AR18" s="244">
        <v>-223.99952994887644</v>
      </c>
      <c r="AS18" s="244">
        <v>271.64145515935957</v>
      </c>
      <c r="AT18" s="244">
        <v>139.40802265784487</v>
      </c>
      <c r="AU18" s="244">
        <v>-533.92360593684884</v>
      </c>
      <c r="AV18" s="244">
        <v>122.0178446252603</v>
      </c>
      <c r="AW18" s="244">
        <v>-34.549759709990212</v>
      </c>
      <c r="AX18" s="244">
        <v>55.654616372282248</v>
      </c>
      <c r="AY18" s="244">
        <v>-52.455445435901197</v>
      </c>
      <c r="AZ18" s="244">
        <v>188.75417902681329</v>
      </c>
      <c r="BA18" s="244">
        <v>143.43093652120638</v>
      </c>
      <c r="BB18" s="244">
        <v>-19.948712415008686</v>
      </c>
      <c r="BC18" s="244">
        <v>58.507925383538122</v>
      </c>
      <c r="BD18" s="244">
        <v>110.26410045598141</v>
      </c>
      <c r="BE18" s="244">
        <v>114.03999716339649</v>
      </c>
      <c r="BF18" s="244">
        <v>41.38962507124711</v>
      </c>
      <c r="BG18" s="244">
        <v>664.51728589312302</v>
      </c>
      <c r="BH18" s="244">
        <v>69.229738236418143</v>
      </c>
      <c r="BI18" s="244">
        <v>220.33853018085438</v>
      </c>
      <c r="BJ18" s="244">
        <v>108.01328918812942</v>
      </c>
      <c r="BK18" s="244">
        <v>237.55895174432362</v>
      </c>
      <c r="BL18" s="244">
        <v>-404.0431852465349</v>
      </c>
      <c r="BM18" s="244">
        <v>-400.4109681292623</v>
      </c>
      <c r="BN18" s="244">
        <v>-245.06505954923614</v>
      </c>
      <c r="BO18" s="244">
        <v>-420.39806435873993</v>
      </c>
      <c r="BP18" s="244">
        <v>354.73468609533211</v>
      </c>
      <c r="BQ18" s="244">
        <v>-601.26651310311524</v>
      </c>
      <c r="BR18" s="244">
        <v>39.016483860722587</v>
      </c>
      <c r="BS18" s="244">
        <v>-452.24757785242184</v>
      </c>
      <c r="BT18" s="244">
        <v>-135.00882829907499</v>
      </c>
      <c r="BU18" s="244">
        <v>-205.29096151419401</v>
      </c>
      <c r="BV18" s="244">
        <v>-165.31387645493817</v>
      </c>
      <c r="BW18" s="244">
        <v>100.89160398091626</v>
      </c>
      <c r="BX18" s="244">
        <v>-414.42547097743056</v>
      </c>
      <c r="BY18" s="244">
        <v>309.30748657163258</v>
      </c>
      <c r="BZ18" s="244">
        <v>265.38873238400686</v>
      </c>
      <c r="CA18" s="244">
        <v>236.82403466528422</v>
      </c>
      <c r="CB18" s="244">
        <v>-42.991919819513782</v>
      </c>
      <c r="CC18" s="244">
        <v>612.54230251986098</v>
      </c>
      <c r="CD18" s="244">
        <v>-250.89120951444625</v>
      </c>
      <c r="CE18" s="244">
        <v>683.97999120686927</v>
      </c>
      <c r="CF18" s="244">
        <v>209.01897623574337</v>
      </c>
      <c r="CG18" s="244">
        <v>237.04312787795948</v>
      </c>
      <c r="CH18" s="244">
        <v>35.645956135483402</v>
      </c>
      <c r="CI18" s="244">
        <v>-288.75619386143103</v>
      </c>
      <c r="CJ18" s="244">
        <v>956.91626077649425</v>
      </c>
      <c r="CK18" s="244">
        <v>218.21952041503982</v>
      </c>
      <c r="CL18" s="244">
        <v>576.42985432740034</v>
      </c>
      <c r="CM18" s="244">
        <v>638.7500380374363</v>
      </c>
      <c r="CN18" s="244">
        <v>280.00232323975069</v>
      </c>
      <c r="CO18" s="244">
        <v>-777.08750469255165</v>
      </c>
      <c r="CP18" s="244">
        <v>440.13294794554758</v>
      </c>
      <c r="CQ18" s="244">
        <v>-1058.441540472526</v>
      </c>
      <c r="CR18" s="244">
        <v>228.37178070865048</v>
      </c>
      <c r="CS18" s="244">
        <v>-71.80507099902934</v>
      </c>
      <c r="CT18" s="244">
        <v>-180.52557716970477</v>
      </c>
      <c r="CU18" s="244">
        <v>-312.8892558499515</v>
      </c>
      <c r="CV18" s="244">
        <v>67.377951815994948</v>
      </c>
      <c r="CW18" s="244">
        <v>-24.523494116656366</v>
      </c>
      <c r="CX18" s="244">
        <v>281.31140576225789</v>
      </c>
      <c r="CY18" s="244">
        <v>-1367.4186906321991</v>
      </c>
      <c r="CZ18" s="244">
        <v>-1652.7201419538401</v>
      </c>
      <c r="DA18" s="244">
        <v>1592</v>
      </c>
      <c r="DB18" s="244">
        <v>-2568</v>
      </c>
      <c r="DC18" s="244">
        <v>-295</v>
      </c>
      <c r="DD18" s="244">
        <v>3299</v>
      </c>
      <c r="DE18" s="244">
        <v>5163</v>
      </c>
      <c r="DF18" s="244">
        <v>1448</v>
      </c>
      <c r="DG18" s="244">
        <v>2498.7018955313979</v>
      </c>
    </row>
    <row r="19" spans="1:112" ht="25.5" customHeight="1">
      <c r="A19" s="773"/>
      <c r="B19" s="774"/>
      <c r="C19" s="246" t="s">
        <v>96</v>
      </c>
      <c r="D19" s="247">
        <v>44.391500000000001</v>
      </c>
      <c r="E19" s="247">
        <v>0</v>
      </c>
      <c r="F19" s="247">
        <v>79.170249999999996</v>
      </c>
      <c r="G19" s="248">
        <v>952</v>
      </c>
      <c r="H19" s="248">
        <v>-300</v>
      </c>
      <c r="I19" s="248">
        <v>-502.46242472289151</v>
      </c>
      <c r="J19" s="248">
        <v>-361.89553277931827</v>
      </c>
      <c r="K19" s="248">
        <v>-1.8303915103570001</v>
      </c>
      <c r="L19" s="249">
        <v>0</v>
      </c>
      <c r="M19" s="250">
        <v>-374.59719000000001</v>
      </c>
      <c r="N19" s="250">
        <v>338.76071130611308</v>
      </c>
      <c r="O19" s="250">
        <v>36</v>
      </c>
      <c r="P19" s="250">
        <v>100</v>
      </c>
      <c r="Q19" s="250">
        <f>-350-95</f>
        <v>-445</v>
      </c>
      <c r="R19" s="250">
        <v>345</v>
      </c>
      <c r="S19" s="250">
        <v>796</v>
      </c>
      <c r="T19" s="250">
        <v>900</v>
      </c>
      <c r="U19" s="250">
        <v>0</v>
      </c>
      <c r="V19" s="250">
        <v>100</v>
      </c>
      <c r="W19" s="250">
        <v>0</v>
      </c>
      <c r="X19" s="250">
        <v>0</v>
      </c>
      <c r="Y19" s="250">
        <v>-1290</v>
      </c>
      <c r="Z19" s="250">
        <v>0</v>
      </c>
      <c r="AA19" s="250">
        <v>-707</v>
      </c>
      <c r="AB19" s="250">
        <v>950</v>
      </c>
      <c r="AC19" s="250">
        <v>259.81</v>
      </c>
      <c r="AD19" s="250">
        <v>-1239.9065464144041</v>
      </c>
      <c r="AE19" s="250">
        <v>0</v>
      </c>
      <c r="AF19" s="250">
        <v>0</v>
      </c>
      <c r="AG19" s="250">
        <v>900</v>
      </c>
      <c r="AH19" s="251">
        <v>500</v>
      </c>
      <c r="AI19" s="251">
        <v>-260.73248000000001</v>
      </c>
      <c r="AJ19" s="251">
        <v>260.73248000000001</v>
      </c>
      <c r="AK19" s="250">
        <v>-3614</v>
      </c>
      <c r="AL19" s="250">
        <v>400</v>
      </c>
      <c r="AM19" s="250">
        <v>1000</v>
      </c>
      <c r="AN19" s="250">
        <v>500</v>
      </c>
      <c r="AO19" s="250">
        <v>-500</v>
      </c>
      <c r="AP19" s="250">
        <v>-51.626040000000003</v>
      </c>
      <c r="AQ19" s="250">
        <v>500</v>
      </c>
      <c r="AR19" s="250">
        <v>500</v>
      </c>
      <c r="AS19" s="250">
        <v>-300</v>
      </c>
      <c r="AT19" s="250">
        <v>0</v>
      </c>
      <c r="AU19" s="250">
        <v>1000</v>
      </c>
      <c r="AV19" s="250">
        <v>0</v>
      </c>
      <c r="AW19" s="250">
        <v>0</v>
      </c>
      <c r="AX19" s="250">
        <v>-700</v>
      </c>
      <c r="AY19" s="250">
        <v>-1000</v>
      </c>
      <c r="AZ19" s="250">
        <v>0</v>
      </c>
      <c r="BA19" s="250">
        <v>0</v>
      </c>
      <c r="BB19" s="250">
        <v>0</v>
      </c>
      <c r="BC19" s="250">
        <v>1000</v>
      </c>
      <c r="BD19" s="250">
        <v>-1000</v>
      </c>
      <c r="BE19" s="250">
        <v>0</v>
      </c>
      <c r="BF19" s="250">
        <v>0</v>
      </c>
      <c r="BG19" s="250">
        <v>0</v>
      </c>
      <c r="BH19" s="250">
        <v>0</v>
      </c>
      <c r="BI19" s="250">
        <v>0</v>
      </c>
      <c r="BJ19" s="250">
        <v>0</v>
      </c>
      <c r="BK19" s="250">
        <v>0</v>
      </c>
      <c r="BL19" s="250">
        <v>0</v>
      </c>
      <c r="BM19" s="250">
        <v>0</v>
      </c>
      <c r="BN19" s="250">
        <v>0</v>
      </c>
      <c r="BO19" s="250">
        <v>0</v>
      </c>
      <c r="BP19" s="250">
        <v>0</v>
      </c>
      <c r="BQ19" s="250">
        <v>0</v>
      </c>
      <c r="BR19" s="250">
        <v>0</v>
      </c>
      <c r="BS19" s="250">
        <v>0</v>
      </c>
      <c r="BT19" s="250">
        <v>0</v>
      </c>
      <c r="BU19" s="250">
        <v>0</v>
      </c>
      <c r="BV19" s="250">
        <v>0</v>
      </c>
      <c r="BW19" s="250">
        <v>0</v>
      </c>
      <c r="BX19" s="250">
        <v>0</v>
      </c>
      <c r="BY19" s="250">
        <v>3.5662399999999996</v>
      </c>
      <c r="BZ19" s="250">
        <v>0</v>
      </c>
      <c r="CA19" s="250">
        <v>0</v>
      </c>
      <c r="CB19" s="250">
        <v>0</v>
      </c>
      <c r="CC19" s="250">
        <v>0</v>
      </c>
      <c r="CD19" s="250">
        <v>0</v>
      </c>
      <c r="CE19" s="250">
        <v>0</v>
      </c>
      <c r="CF19" s="250">
        <v>0</v>
      </c>
      <c r="CG19" s="250">
        <v>0</v>
      </c>
      <c r="CH19" s="250">
        <v>0</v>
      </c>
      <c r="CI19" s="250">
        <v>0</v>
      </c>
      <c r="CJ19" s="250">
        <v>0</v>
      </c>
      <c r="CK19" s="250">
        <v>0</v>
      </c>
      <c r="CL19" s="250">
        <v>0</v>
      </c>
      <c r="CM19" s="250">
        <v>0</v>
      </c>
      <c r="CN19" s="250">
        <v>0</v>
      </c>
      <c r="CO19" s="250">
        <v>0</v>
      </c>
      <c r="CP19" s="250">
        <v>0</v>
      </c>
      <c r="CQ19" s="250">
        <v>0</v>
      </c>
      <c r="CR19" s="250">
        <v>0</v>
      </c>
      <c r="CS19" s="250">
        <v>0</v>
      </c>
      <c r="CT19" s="250">
        <v>0</v>
      </c>
      <c r="CU19" s="250">
        <v>0</v>
      </c>
      <c r="CV19" s="250">
        <v>0</v>
      </c>
      <c r="CW19" s="250">
        <v>0</v>
      </c>
      <c r="CX19" s="250">
        <v>0</v>
      </c>
      <c r="CY19" s="250">
        <v>0</v>
      </c>
      <c r="CZ19" s="250">
        <v>0</v>
      </c>
      <c r="DA19" s="250">
        <v>-24493</v>
      </c>
      <c r="DB19" s="250">
        <v>4.2646998570780896</v>
      </c>
      <c r="DC19" s="250">
        <v>6.96</v>
      </c>
      <c r="DD19" s="250">
        <v>16.66</v>
      </c>
      <c r="DE19" s="250">
        <v>1.18</v>
      </c>
      <c r="DF19" s="250">
        <v>76.37</v>
      </c>
      <c r="DG19" s="250">
        <v>9.4129999999786378</v>
      </c>
      <c r="DH19" s="932"/>
    </row>
    <row r="20" spans="1:112" ht="25.5" customHeight="1" thickBot="1">
      <c r="A20" s="773"/>
      <c r="B20" s="774"/>
      <c r="C20" s="128" t="s">
        <v>9</v>
      </c>
      <c r="D20" s="129">
        <f>SUM(D5:D19)</f>
        <v>4615.8976416462792</v>
      </c>
      <c r="E20" s="129">
        <f>SUM(E5:E19)</f>
        <v>4345.4122269057498</v>
      </c>
      <c r="F20" s="129">
        <f>SUM(F5:F19)</f>
        <v>4755.906434399998</v>
      </c>
      <c r="G20" s="129">
        <f>G6+SUM(G8:G19)+G4</f>
        <v>4595.2499032541073</v>
      </c>
      <c r="H20" s="129">
        <f>H6+SUM(H8:H19)+H4</f>
        <v>3890.0926390834857</v>
      </c>
      <c r="I20" s="129">
        <f>I6+SUM(I8:I19)+I4</f>
        <v>3722.7130198171517</v>
      </c>
      <c r="J20" s="129">
        <f>J6+SUM(J8:J19)+J4</f>
        <v>4181</v>
      </c>
      <c r="K20" s="129">
        <f>K6+SUM(K8:K19)+K4+250.466213709117</f>
        <v>4120.4952117732773</v>
      </c>
      <c r="L20" s="129">
        <f t="shared" ref="L20:AH20" si="45">L6+SUM(L8:L19)+L4</f>
        <v>3733.1267570636419</v>
      </c>
      <c r="M20" s="129">
        <f t="shared" si="45"/>
        <v>4542.1909194375858</v>
      </c>
      <c r="N20" s="129">
        <f t="shared" si="45"/>
        <v>4248.8610553808539</v>
      </c>
      <c r="O20" s="129">
        <f t="shared" si="45"/>
        <v>4669.8624374390529</v>
      </c>
      <c r="P20" s="130">
        <f t="shared" si="45"/>
        <v>4563.8976523696956</v>
      </c>
      <c r="Q20" s="130">
        <f t="shared" si="45"/>
        <v>4833.2970594423123</v>
      </c>
      <c r="R20" s="130">
        <f t="shared" si="45"/>
        <v>5121.6133760120529</v>
      </c>
      <c r="S20" s="130">
        <f t="shared" si="45"/>
        <v>4993.46055778349</v>
      </c>
      <c r="T20" s="130">
        <f t="shared" si="45"/>
        <v>5170.6904263104561</v>
      </c>
      <c r="U20" s="130">
        <f t="shared" si="45"/>
        <v>5123.3015841046999</v>
      </c>
      <c r="V20" s="130">
        <f t="shared" si="45"/>
        <v>4764.7186894209444</v>
      </c>
      <c r="W20" s="130">
        <f t="shared" si="45"/>
        <v>4911.4195883253196</v>
      </c>
      <c r="X20" s="130">
        <f t="shared" si="45"/>
        <v>4661.2547087100447</v>
      </c>
      <c r="Y20" s="130">
        <f t="shared" si="45"/>
        <v>5903.0279069144071</v>
      </c>
      <c r="Z20" s="130">
        <f t="shared" si="45"/>
        <v>4852.3333208553004</v>
      </c>
      <c r="AA20" s="130">
        <f t="shared" si="45"/>
        <v>6205.8549144604276</v>
      </c>
      <c r="AB20" s="130">
        <f t="shared" si="45"/>
        <v>5782.3664873113557</v>
      </c>
      <c r="AC20" s="130">
        <f t="shared" si="45"/>
        <v>5706.5637008210433</v>
      </c>
      <c r="AD20" s="130">
        <f t="shared" si="45"/>
        <v>5939.6924056383859</v>
      </c>
      <c r="AE20" s="130">
        <f t="shared" si="45"/>
        <v>6020.6041922909735</v>
      </c>
      <c r="AF20" s="130">
        <f t="shared" si="45"/>
        <v>6197.3252620655958</v>
      </c>
      <c r="AG20" s="130">
        <f t="shared" si="45"/>
        <v>6119.8155773626468</v>
      </c>
      <c r="AH20" s="130">
        <f t="shared" si="45"/>
        <v>6218.4515782603576</v>
      </c>
      <c r="AI20" s="130">
        <f>AI6+AI7+AI4+AI18+AI19</f>
        <v>6924.5497930652446</v>
      </c>
      <c r="AJ20" s="130">
        <f t="shared" ref="AJ20:AR20" si="46">AJ6+SUM(AJ8:AJ19)+AJ4</f>
        <v>6232.0394614871584</v>
      </c>
      <c r="AK20" s="130">
        <f t="shared" si="46"/>
        <v>8070.301319240024</v>
      </c>
      <c r="AL20" s="130">
        <f t="shared" si="46"/>
        <v>7169.9646236363824</v>
      </c>
      <c r="AM20" s="130">
        <f t="shared" si="46"/>
        <v>9769.9413872864534</v>
      </c>
      <c r="AN20" s="130">
        <f t="shared" si="46"/>
        <v>7424.7855104219825</v>
      </c>
      <c r="AO20" s="130">
        <f t="shared" si="46"/>
        <v>9813.5319882124168</v>
      </c>
      <c r="AP20" s="130">
        <f t="shared" si="46"/>
        <v>7186.9456344657883</v>
      </c>
      <c r="AQ20" s="130">
        <f t="shared" si="46"/>
        <v>7950.5584919620414</v>
      </c>
      <c r="AR20" s="130">
        <f t="shared" si="46"/>
        <v>8273.6793052677822</v>
      </c>
      <c r="AS20" s="130">
        <f t="shared" ref="AS20:AX20" si="47">AS6+SUM(AS8:AS19)+AS4</f>
        <v>9678.178310808953</v>
      </c>
      <c r="AT20" s="130">
        <f t="shared" si="47"/>
        <v>12056.03501015831</v>
      </c>
      <c r="AU20" s="130">
        <f t="shared" si="47"/>
        <v>11920.047232341059</v>
      </c>
      <c r="AV20" s="130">
        <f t="shared" si="47"/>
        <v>12682.364668237255</v>
      </c>
      <c r="AW20" s="130">
        <f t="shared" si="47"/>
        <v>13673.431855270668</v>
      </c>
      <c r="AX20" s="130">
        <f t="shared" si="47"/>
        <v>14975.121562379305</v>
      </c>
      <c r="AY20" s="130">
        <f t="shared" ref="AY20:BD20" si="48">AY6+SUM(AY8:AY19)+AY4</f>
        <v>15325.831601275735</v>
      </c>
      <c r="AZ20" s="130">
        <f t="shared" si="48"/>
        <v>14239.565893601073</v>
      </c>
      <c r="BA20" s="130">
        <f t="shared" si="48"/>
        <v>15970.933665389013</v>
      </c>
      <c r="BB20" s="130">
        <f t="shared" si="48"/>
        <v>12995.914287422309</v>
      </c>
      <c r="BC20" s="130">
        <f t="shared" si="48"/>
        <v>12286.425675460874</v>
      </c>
      <c r="BD20" s="130">
        <f t="shared" si="48"/>
        <v>16430.675461272614</v>
      </c>
      <c r="BE20" s="130">
        <f t="shared" ref="BE20:BK20" si="49">BE6+SUM(BE8:BE19)+BE4</f>
        <v>17544.592269900142</v>
      </c>
      <c r="BF20" s="130">
        <f t="shared" si="49"/>
        <v>20868.619086806375</v>
      </c>
      <c r="BG20" s="130">
        <f t="shared" si="49"/>
        <v>17899.156561649179</v>
      </c>
      <c r="BH20" s="130">
        <f t="shared" si="49"/>
        <v>20845.624073039042</v>
      </c>
      <c r="BI20" s="130">
        <f t="shared" si="49"/>
        <v>20836.196964853025</v>
      </c>
      <c r="BJ20" s="130">
        <f t="shared" si="49"/>
        <v>18235.264704472804</v>
      </c>
      <c r="BK20" s="130">
        <f t="shared" si="49"/>
        <v>22654.996644616363</v>
      </c>
      <c r="BL20" s="130">
        <f t="shared" ref="BL20:BQ20" si="50">BL6+SUM(BL8:BL19)+BL4</f>
        <v>19708.909787921941</v>
      </c>
      <c r="BM20" s="130">
        <f t="shared" si="50"/>
        <v>18255.730290048508</v>
      </c>
      <c r="BN20" s="130">
        <f t="shared" si="50"/>
        <v>21902.940216730651</v>
      </c>
      <c r="BO20" s="130">
        <f t="shared" si="50"/>
        <v>22454.507123254312</v>
      </c>
      <c r="BP20" s="130">
        <f t="shared" si="50"/>
        <v>27511.080691689451</v>
      </c>
      <c r="BQ20" s="130">
        <f t="shared" si="50"/>
        <v>23567.397004353224</v>
      </c>
      <c r="BR20" s="130">
        <f t="shared" ref="BR20:BW20" si="51">BR6+SUM(BR8:BR19)+BR4</f>
        <v>22310.651378401551</v>
      </c>
      <c r="BS20" s="130">
        <f t="shared" si="51"/>
        <v>22819.489582937953</v>
      </c>
      <c r="BT20" s="130">
        <f t="shared" si="51"/>
        <v>25499.734547205659</v>
      </c>
      <c r="BU20" s="130">
        <f t="shared" si="51"/>
        <v>26369.956781053846</v>
      </c>
      <c r="BV20" s="130">
        <f t="shared" si="51"/>
        <v>21045.476285736877</v>
      </c>
      <c r="BW20" s="130">
        <f t="shared" si="51"/>
        <v>29138.690906026659</v>
      </c>
      <c r="BX20" s="130">
        <f t="shared" ref="BX20:CC20" si="52">BX6+SUM(BX8:BX19)+BX4</f>
        <v>23844.198121763569</v>
      </c>
      <c r="BY20" s="130">
        <f t="shared" si="52"/>
        <v>11953.635216600778</v>
      </c>
      <c r="BZ20" s="130">
        <f t="shared" si="52"/>
        <v>27299.397187523668</v>
      </c>
      <c r="CA20" s="130">
        <f t="shared" si="52"/>
        <v>20839.076118115892</v>
      </c>
      <c r="CB20" s="130">
        <f t="shared" si="52"/>
        <v>27313.124896858419</v>
      </c>
      <c r="CC20" s="130">
        <f t="shared" si="52"/>
        <v>23004.886173760791</v>
      </c>
      <c r="CD20" s="130">
        <f t="shared" ref="CD20:CE20" si="53">CD6+SUM(CD8:CD19)+CD4</f>
        <v>27089.035646079275</v>
      </c>
      <c r="CE20" s="130">
        <f t="shared" si="53"/>
        <v>32459.177385257561</v>
      </c>
      <c r="CF20" s="130">
        <f t="shared" ref="CF20:CG20" si="54">CF6+SUM(CF8:CF19)+CF4</f>
        <v>23014.519634653163</v>
      </c>
      <c r="CG20" s="130">
        <f t="shared" si="54"/>
        <v>28408.688525687721</v>
      </c>
      <c r="CH20" s="130">
        <f t="shared" ref="CH20:CI20" si="55">CH6+SUM(CH8:CH19)+CH4</f>
        <v>17033.282204461193</v>
      </c>
      <c r="CI20" s="130">
        <f t="shared" si="55"/>
        <v>29702.231424796668</v>
      </c>
      <c r="CJ20" s="130">
        <f t="shared" ref="CJ20:CK20" si="56">CJ6+SUM(CJ8:CJ19)+CJ4</f>
        <v>26304.024282409351</v>
      </c>
      <c r="CK20" s="130">
        <f t="shared" si="56"/>
        <v>21655.709656116473</v>
      </c>
      <c r="CL20" s="130">
        <f>CL6+SUM(CL8:CL19)+CL4</f>
        <v>29701.989599415829</v>
      </c>
      <c r="CM20" s="130">
        <f>CM6+SUM(CM8:CM19)+CM4</f>
        <v>23750.198682059367</v>
      </c>
      <c r="CN20" s="130">
        <f>CN6+SUM(CN8:CN19)+CN4</f>
        <v>26325.183178938823</v>
      </c>
      <c r="CO20" s="130">
        <f t="shared" ref="CO20:CP20" si="57">CO6+SUM(CO8:CO19)+CO4</f>
        <v>32567.608556862888</v>
      </c>
      <c r="CP20" s="130">
        <f t="shared" si="57"/>
        <v>24401.182836285574</v>
      </c>
      <c r="CQ20" s="130">
        <f t="shared" ref="CQ20:CR20" si="58">CQ6+SUM(CQ8:CQ19)+CQ4</f>
        <v>33344.147079949733</v>
      </c>
      <c r="CR20" s="130">
        <f t="shared" si="58"/>
        <v>26798.627922461546</v>
      </c>
      <c r="CS20" s="130">
        <f t="shared" ref="CS20:CT20" si="59">CS6+SUM(CS8:CS19)+CS4</f>
        <v>28741.55825706742</v>
      </c>
      <c r="CT20" s="130">
        <f t="shared" si="59"/>
        <v>27813.847382068627</v>
      </c>
      <c r="CU20" s="130">
        <f t="shared" ref="CU20:CZ20" si="60">CU6+SUM(CU8:CU19)+CU4</f>
        <v>29923.722625312013</v>
      </c>
      <c r="CV20" s="130">
        <f t="shared" si="60"/>
        <v>30101.139781657417</v>
      </c>
      <c r="CW20" s="130">
        <f t="shared" si="60"/>
        <v>30054.434997951907</v>
      </c>
      <c r="CX20" s="130">
        <f t="shared" si="60"/>
        <v>22074.558594674985</v>
      </c>
      <c r="CY20" s="130">
        <f t="shared" si="60"/>
        <v>18435.281297304413</v>
      </c>
      <c r="CZ20" s="130">
        <f t="shared" si="60"/>
        <v>27165.441409372565</v>
      </c>
      <c r="DA20" s="130">
        <f t="shared" ref="DA20:DG20" si="61">DA6+SUM(DA8:DA17)+DA4+DA19</f>
        <v>11494.75112999999</v>
      </c>
      <c r="DB20" s="130">
        <f t="shared" si="61"/>
        <v>29121.012839857071</v>
      </c>
      <c r="DC20" s="130">
        <f t="shared" si="61"/>
        <v>37214.723660000003</v>
      </c>
      <c r="DD20" s="130">
        <f t="shared" si="61"/>
        <v>27814.680150000004</v>
      </c>
      <c r="DE20" s="130">
        <f t="shared" si="61"/>
        <v>-14310.238450000004</v>
      </c>
      <c r="DF20" s="130">
        <f t="shared" si="61"/>
        <v>44175.367990000013</v>
      </c>
      <c r="DG20" s="130">
        <f>DG6+SUM(DG8:DG17)+DG4+DG19</f>
        <v>31648.9613688598</v>
      </c>
    </row>
    <row r="21" spans="1:112" ht="25.5" customHeight="1">
      <c r="A21" s="773"/>
      <c r="B21" s="774"/>
      <c r="C21" s="131" t="s">
        <v>8</v>
      </c>
      <c r="D21" s="132">
        <v>23293.0321</v>
      </c>
      <c r="E21" s="132">
        <v>22955.888480000001</v>
      </c>
      <c r="F21" s="132">
        <v>25271.257969999999</v>
      </c>
      <c r="G21" s="132">
        <v>24308.431490000003</v>
      </c>
      <c r="H21" s="132">
        <v>22674.566729999999</v>
      </c>
      <c r="I21" s="132">
        <v>23151.922120000003</v>
      </c>
      <c r="J21" s="132">
        <v>23573.269880000003</v>
      </c>
      <c r="K21" s="132">
        <v>21339.9532</v>
      </c>
      <c r="L21" s="132">
        <v>19790.554649999998</v>
      </c>
      <c r="M21" s="132">
        <v>21581.714550000001</v>
      </c>
      <c r="N21" s="132">
        <v>21222.475869999998</v>
      </c>
      <c r="O21" s="132">
        <v>23293.543160000001</v>
      </c>
      <c r="P21" s="133">
        <v>22554.806329999999</v>
      </c>
      <c r="Q21" s="133">
        <v>20231.267889999999</v>
      </c>
      <c r="R21" s="133">
        <v>20856.92182</v>
      </c>
      <c r="S21" s="133">
        <v>21388.341640000002</v>
      </c>
      <c r="T21" s="133">
        <v>20741.579150000001</v>
      </c>
      <c r="U21" s="133">
        <v>21170.941409999999</v>
      </c>
      <c r="V21" s="133">
        <v>21054.77404</v>
      </c>
      <c r="W21" s="133">
        <v>22412.177589999996</v>
      </c>
      <c r="X21" s="133">
        <v>22509.7474</v>
      </c>
      <c r="Y21" s="133">
        <v>24452.709849999999</v>
      </c>
      <c r="Z21" s="133">
        <v>25008.94025</v>
      </c>
      <c r="AA21" s="133">
        <v>24584.634709999998</v>
      </c>
      <c r="AB21" s="133">
        <v>24988.417910000004</v>
      </c>
      <c r="AC21" s="133">
        <v>23663.663059999999</v>
      </c>
      <c r="AD21" s="133">
        <v>25620.027439999998</v>
      </c>
      <c r="AE21" s="133">
        <v>27692.579899999997</v>
      </c>
      <c r="AF21" s="133">
        <v>28210.799290000003</v>
      </c>
      <c r="AG21" s="133">
        <v>27279.04392</v>
      </c>
      <c r="AH21" s="219">
        <v>28461.109350000002</v>
      </c>
      <c r="AI21" s="219">
        <v>29843.136879999998</v>
      </c>
      <c r="AJ21" s="219">
        <v>28759.542580000001</v>
      </c>
      <c r="AK21" s="133">
        <v>32014.804460000003</v>
      </c>
      <c r="AL21" s="133">
        <v>36843.201359999999</v>
      </c>
      <c r="AM21" s="133">
        <v>34956.091349999995</v>
      </c>
      <c r="AN21" s="133">
        <v>32473.825669999998</v>
      </c>
      <c r="AO21" s="133">
        <v>35048.406669999997</v>
      </c>
      <c r="AP21" s="133">
        <v>36415.270280000004</v>
      </c>
      <c r="AQ21" s="133">
        <v>35499.33468</v>
      </c>
      <c r="AR21" s="133">
        <v>36346.985479999996</v>
      </c>
      <c r="AS21" s="133">
        <v>38180.943329999995</v>
      </c>
      <c r="AT21" s="133">
        <v>41756.783920000002</v>
      </c>
      <c r="AU21" s="133">
        <v>46137.76483</v>
      </c>
      <c r="AV21" s="133">
        <v>49973.136779999993</v>
      </c>
      <c r="AW21" s="133">
        <v>53015.352819999993</v>
      </c>
      <c r="AX21" s="133">
        <v>60947.507989999998</v>
      </c>
      <c r="AY21" s="133">
        <v>59869.396599999993</v>
      </c>
      <c r="AZ21" s="133">
        <v>62981.178179999995</v>
      </c>
      <c r="BA21" s="133">
        <v>65520.908870000007</v>
      </c>
      <c r="BB21" s="133">
        <v>64997.889999999992</v>
      </c>
      <c r="BC21" s="133">
        <v>66877.057359999992</v>
      </c>
      <c r="BD21" s="133">
        <v>70061.116250000006</v>
      </c>
      <c r="BE21" s="133">
        <v>71924.356939999998</v>
      </c>
      <c r="BF21" s="133">
        <v>78135.880290000001</v>
      </c>
      <c r="BG21" s="133">
        <v>78490.02436000001</v>
      </c>
      <c r="BH21" s="133">
        <v>76630.977410000007</v>
      </c>
      <c r="BI21" s="133">
        <v>84399.736990000005</v>
      </c>
      <c r="BJ21" s="133">
        <v>84259.470840000009</v>
      </c>
      <c r="BK21" s="133">
        <v>87890.241399999999</v>
      </c>
      <c r="BL21" s="133">
        <v>89124.506980000006</v>
      </c>
      <c r="BM21" s="133">
        <v>85267.642349999995</v>
      </c>
      <c r="BN21" s="133">
        <v>84937.478319999995</v>
      </c>
      <c r="BO21" s="133">
        <v>89912.291439999986</v>
      </c>
      <c r="BP21" s="133">
        <v>99176.661390000008</v>
      </c>
      <c r="BQ21" s="133">
        <v>99479.209450000009</v>
      </c>
      <c r="BR21" s="133">
        <v>99186.645329999999</v>
      </c>
      <c r="BS21" s="133">
        <v>98063.535659999994</v>
      </c>
      <c r="BT21" s="133">
        <v>101784.85377</v>
      </c>
      <c r="BU21" s="133">
        <v>106515.81758999999</v>
      </c>
      <c r="BV21" s="133">
        <v>100653.02155999999</v>
      </c>
      <c r="BW21" s="133">
        <v>111093.95984000002</v>
      </c>
      <c r="BX21" s="133">
        <v>110549.17133</v>
      </c>
      <c r="BY21" s="133">
        <v>106003.68194000001</v>
      </c>
      <c r="BZ21" s="133">
        <v>111339.15349</v>
      </c>
      <c r="CA21" s="133">
        <v>114272.14313</v>
      </c>
      <c r="CB21" s="133">
        <v>120264.10586000001</v>
      </c>
      <c r="CC21" s="133">
        <v>120446.36210999999</v>
      </c>
      <c r="CD21" s="133">
        <v>125123.62535999999</v>
      </c>
      <c r="CE21" s="133">
        <v>131156.18167999998</v>
      </c>
      <c r="CF21" s="133">
        <v>129760.24586000001</v>
      </c>
      <c r="CG21" s="133">
        <v>135004.49609</v>
      </c>
      <c r="CH21" s="133">
        <v>131512.41997000002</v>
      </c>
      <c r="CI21" s="133">
        <v>138613.75463000004</v>
      </c>
      <c r="CJ21" s="133">
        <v>143355.21780999997</v>
      </c>
      <c r="CK21" s="133">
        <v>140067.09663000001</v>
      </c>
      <c r="CL21" s="133">
        <v>152938.41131999998</v>
      </c>
      <c r="CM21" s="133">
        <v>153929.20688000001</v>
      </c>
      <c r="CN21" s="133">
        <v>157391.95371000003</v>
      </c>
      <c r="CO21" s="133">
        <v>166398.62566000002</v>
      </c>
      <c r="CP21" s="133">
        <v>164841.50466000001</v>
      </c>
      <c r="CQ21" s="133">
        <v>170976.30561000001</v>
      </c>
      <c r="CR21" s="133">
        <v>177404.13852999997</v>
      </c>
      <c r="CS21" s="133">
        <v>175174.17543</v>
      </c>
      <c r="CT21" s="133">
        <v>178934.36233999999</v>
      </c>
      <c r="CU21" s="133">
        <v>178508.55783999999</v>
      </c>
      <c r="CV21" s="133">
        <v>182528.75806000002</v>
      </c>
      <c r="CW21" s="133">
        <v>184938.94359000001</v>
      </c>
      <c r="CX21" s="133">
        <v>180616.77076999997</v>
      </c>
      <c r="CY21" s="133">
        <v>167317.82290999999</v>
      </c>
      <c r="CZ21" s="133">
        <v>171744.66894999999</v>
      </c>
      <c r="DA21" s="133">
        <v>175897.88217</v>
      </c>
      <c r="DB21" s="133">
        <v>182874.05095</v>
      </c>
      <c r="DC21" s="133">
        <v>171615.79339000001</v>
      </c>
      <c r="DD21" s="133">
        <v>173366.93281</v>
      </c>
      <c r="DE21" s="133">
        <v>180695.36895999999</v>
      </c>
      <c r="DF21" s="133">
        <v>183182.75591000001</v>
      </c>
      <c r="DG21" s="133">
        <v>193570.47691999999</v>
      </c>
    </row>
    <row r="22" spans="1:112" ht="25.5" customHeight="1" thickBot="1">
      <c r="A22" s="773"/>
      <c r="B22" s="774"/>
      <c r="C22" s="134" t="s">
        <v>7</v>
      </c>
      <c r="D22" s="135">
        <f t="shared" ref="D22:AI22" si="62">+(D25-D27)/D21</f>
        <v>0.15321803895189584</v>
      </c>
      <c r="E22" s="135">
        <f t="shared" si="62"/>
        <v>0.12125972510001112</v>
      </c>
      <c r="F22" s="135">
        <f t="shared" si="62"/>
        <v>0.23726558840126424</v>
      </c>
      <c r="G22" s="135">
        <f t="shared" si="62"/>
        <v>0.2399513122656971</v>
      </c>
      <c r="H22" s="135">
        <f t="shared" si="62"/>
        <v>0.23033501342702753</v>
      </c>
      <c r="I22" s="135">
        <f t="shared" si="62"/>
        <v>0.22262614568377911</v>
      </c>
      <c r="J22" s="135">
        <f t="shared" si="62"/>
        <v>0.23020202244387189</v>
      </c>
      <c r="K22" s="136">
        <f t="shared" si="62"/>
        <v>0.20867348113798737</v>
      </c>
      <c r="L22" s="136">
        <f t="shared" si="62"/>
        <v>0.21128093186763672</v>
      </c>
      <c r="M22" s="136">
        <f t="shared" si="62"/>
        <v>0.21530732636193456</v>
      </c>
      <c r="N22" s="136">
        <f t="shared" si="62"/>
        <v>0.21861968935963164</v>
      </c>
      <c r="O22" s="136">
        <f t="shared" si="62"/>
        <v>0.23886128148744587</v>
      </c>
      <c r="P22" s="136">
        <f t="shared" si="62"/>
        <v>0.23564905032595876</v>
      </c>
      <c r="Q22" s="136">
        <f t="shared" si="62"/>
        <v>0.23383389944290503</v>
      </c>
      <c r="R22" s="136">
        <f t="shared" si="62"/>
        <v>0.23735969047252189</v>
      </c>
      <c r="S22" s="136">
        <f t="shared" si="62"/>
        <v>0.2241358084641234</v>
      </c>
      <c r="T22" s="136">
        <f t="shared" si="62"/>
        <v>0.21925927763791964</v>
      </c>
      <c r="U22" s="136">
        <f t="shared" si="62"/>
        <v>0.22496210033219474</v>
      </c>
      <c r="V22" s="136">
        <f t="shared" si="62"/>
        <v>0.23045426399761887</v>
      </c>
      <c r="W22" s="136">
        <f t="shared" si="62"/>
        <v>0.23998539194823976</v>
      </c>
      <c r="X22" s="136">
        <f t="shared" si="62"/>
        <v>0.23514978635698716</v>
      </c>
      <c r="Y22" s="136">
        <f t="shared" si="62"/>
        <v>0.25725487308205852</v>
      </c>
      <c r="Z22" s="136">
        <f t="shared" si="62"/>
        <v>0.22363260073882801</v>
      </c>
      <c r="AA22" s="136">
        <f t="shared" si="62"/>
        <v>0.22324041292578078</v>
      </c>
      <c r="AB22" s="136">
        <f t="shared" si="62"/>
        <v>0.20260344011515849</v>
      </c>
      <c r="AC22" s="136">
        <f t="shared" si="62"/>
        <v>0.1876269219674345</v>
      </c>
      <c r="AD22" s="136">
        <f t="shared" si="62"/>
        <v>0.22956351933068309</v>
      </c>
      <c r="AE22" s="136">
        <f t="shared" si="62"/>
        <v>0.21924068716927489</v>
      </c>
      <c r="AF22" s="136">
        <f t="shared" si="62"/>
        <v>0.22426169261621237</v>
      </c>
      <c r="AG22" s="136">
        <f t="shared" si="62"/>
        <v>0.20624187829652821</v>
      </c>
      <c r="AH22" s="136">
        <f t="shared" si="62"/>
        <v>0.22116275711700759</v>
      </c>
      <c r="AI22" s="136">
        <f t="shared" si="62"/>
        <v>0.22037327691002051</v>
      </c>
      <c r="AJ22" s="136">
        <f t="shared" ref="AJ22:BO22" si="63">+(AJ25-AJ27)/AJ21</f>
        <v>0.21098078705975923</v>
      </c>
      <c r="AK22" s="136">
        <f t="shared" si="63"/>
        <v>0.2907480390791391</v>
      </c>
      <c r="AL22" s="136">
        <f t="shared" si="63"/>
        <v>0.23704178653066579</v>
      </c>
      <c r="AM22" s="136">
        <f t="shared" si="63"/>
        <v>0.21327904583273785</v>
      </c>
      <c r="AN22" s="136">
        <f t="shared" si="63"/>
        <v>0.19586115920637384</v>
      </c>
      <c r="AO22" s="136">
        <f t="shared" si="63"/>
        <v>0.25094710611574611</v>
      </c>
      <c r="AP22" s="136">
        <f t="shared" si="63"/>
        <v>0.23199088754010763</v>
      </c>
      <c r="AQ22" s="136">
        <f t="shared" si="63"/>
        <v>0.23136718415343965</v>
      </c>
      <c r="AR22" s="136">
        <f t="shared" si="63"/>
        <v>0.23306545694583772</v>
      </c>
      <c r="AS22" s="136">
        <f t="shared" si="63"/>
        <v>0.25995259269852339</v>
      </c>
      <c r="AT22" s="136">
        <f t="shared" si="63"/>
        <v>0.284201879704226</v>
      </c>
      <c r="AU22" s="136">
        <f t="shared" si="63"/>
        <v>0.26516197843319478</v>
      </c>
      <c r="AV22" s="136">
        <f t="shared" si="63"/>
        <v>0.27178847449258525</v>
      </c>
      <c r="AW22" s="136">
        <f t="shared" si="63"/>
        <v>0.26985820230020274</v>
      </c>
      <c r="AX22" s="136">
        <f t="shared" si="63"/>
        <v>0.25033041828713998</v>
      </c>
      <c r="AY22" s="136">
        <f t="shared" si="63"/>
        <v>0.26528717261151086</v>
      </c>
      <c r="AZ22" s="136">
        <f t="shared" si="63"/>
        <v>0.21936459546829484</v>
      </c>
      <c r="BA22" s="136">
        <f t="shared" si="63"/>
        <v>0.21003097005667756</v>
      </c>
      <c r="BB22" s="136">
        <f t="shared" si="63"/>
        <v>0.21413143405706853</v>
      </c>
      <c r="BC22" s="136">
        <f t="shared" si="63"/>
        <v>0.17457062365945694</v>
      </c>
      <c r="BD22" s="136">
        <f t="shared" si="63"/>
        <v>0.18074902300913714</v>
      </c>
      <c r="BE22" s="136">
        <f t="shared" si="63"/>
        <v>0.1717964268116437</v>
      </c>
      <c r="BF22" s="136">
        <f t="shared" si="63"/>
        <v>0.14869313670880313</v>
      </c>
      <c r="BG22" s="136">
        <f t="shared" si="63"/>
        <v>0.11625115237093579</v>
      </c>
      <c r="BH22" s="136">
        <f t="shared" si="63"/>
        <v>0.11217682215534543</v>
      </c>
      <c r="BI22" s="136">
        <f t="shared" si="63"/>
        <v>9.9592254894832172E-2</v>
      </c>
      <c r="BJ22" s="136">
        <f t="shared" si="63"/>
        <v>7.1998281301308739E-2</v>
      </c>
      <c r="BK22" s="136">
        <f t="shared" si="63"/>
        <v>6.8050773933293729E-2</v>
      </c>
      <c r="BL22" s="136">
        <f t="shared" si="63"/>
        <v>7.2145386877920159E-2</v>
      </c>
      <c r="BM22" s="136">
        <f t="shared" si="63"/>
        <v>6.0694064170105831E-2</v>
      </c>
      <c r="BN22" s="136">
        <f t="shared" si="63"/>
        <v>0.11205687408445324</v>
      </c>
      <c r="BO22" s="136">
        <f t="shared" si="63"/>
        <v>0.13433925109638492</v>
      </c>
      <c r="BP22" s="136">
        <f t="shared" ref="BP22:CU22" si="64">+(BP25-BP27)/BP21</f>
        <v>0.13785662752182037</v>
      </c>
      <c r="BQ22" s="136">
        <f t="shared" si="64"/>
        <v>0.12728690952069208</v>
      </c>
      <c r="BR22" s="136">
        <f t="shared" si="64"/>
        <v>0.13153829588092297</v>
      </c>
      <c r="BS22" s="136">
        <f t="shared" si="64"/>
        <v>0.13061584571252929</v>
      </c>
      <c r="BT22" s="136">
        <f t="shared" si="64"/>
        <v>0.14982976166039563</v>
      </c>
      <c r="BU22" s="136">
        <f t="shared" si="64"/>
        <v>0.1400727051589743</v>
      </c>
      <c r="BV22" s="136">
        <f t="shared" si="64"/>
        <v>0.11722811113777051</v>
      </c>
      <c r="BW22" s="136">
        <f t="shared" si="64"/>
        <v>0.14102392989122495</v>
      </c>
      <c r="BX22" s="136">
        <f t="shared" si="64"/>
        <v>0.1084566884702155</v>
      </c>
      <c r="BY22" s="282">
        <f t="shared" si="64"/>
        <v>2.4477544220093361E-2</v>
      </c>
      <c r="BZ22" s="136">
        <f t="shared" si="64"/>
        <v>2.882015633423184E-2</v>
      </c>
      <c r="CA22" s="136">
        <f t="shared" si="64"/>
        <v>2.9133557808847764E-2</v>
      </c>
      <c r="CB22" s="136">
        <f t="shared" si="64"/>
        <v>2.4663136298789343E-2</v>
      </c>
      <c r="CC22" s="136">
        <f t="shared" si="64"/>
        <v>2.6426122405682536E-2</v>
      </c>
      <c r="CD22" s="136">
        <f t="shared" si="64"/>
        <v>2.2772382084672704E-2</v>
      </c>
      <c r="CE22" s="136">
        <f t="shared" si="64"/>
        <v>2.5486635452156837E-2</v>
      </c>
      <c r="CF22" s="136">
        <f t="shared" si="64"/>
        <v>2.622697800757837E-2</v>
      </c>
      <c r="CG22" s="136">
        <f t="shared" si="64"/>
        <v>1.6278068981131433E-2</v>
      </c>
      <c r="CH22" s="136">
        <f t="shared" si="64"/>
        <v>1.617546445470646E-2</v>
      </c>
      <c r="CI22" s="136">
        <f t="shared" si="64"/>
        <v>2.080745873360523E-2</v>
      </c>
      <c r="CJ22" s="136">
        <f t="shared" si="64"/>
        <v>2.256489286682695E-2</v>
      </c>
      <c r="CK22" s="136">
        <f t="shared" si="64"/>
        <v>1.8907470502480542E-2</v>
      </c>
      <c r="CL22" s="136">
        <f t="shared" si="64"/>
        <v>2.4733348114889035E-2</v>
      </c>
      <c r="CM22" s="136">
        <f t="shared" si="64"/>
        <v>9.5052940181494482E-3</v>
      </c>
      <c r="CN22" s="136">
        <f t="shared" si="64"/>
        <v>4.5947003723351429E-3</v>
      </c>
      <c r="CO22" s="136">
        <f t="shared" si="64"/>
        <v>-9.8479052836141188E-3</v>
      </c>
      <c r="CP22" s="136">
        <f t="shared" si="64"/>
        <v>-1.841814441575133E-2</v>
      </c>
      <c r="CQ22" s="136">
        <f t="shared" si="64"/>
        <v>-2.8832243163753588E-2</v>
      </c>
      <c r="CR22" s="136">
        <f t="shared" si="64"/>
        <v>-2.4487650018331093E-2</v>
      </c>
      <c r="CS22" s="136">
        <f t="shared" si="64"/>
        <v>-3.5159948057069533E-2</v>
      </c>
      <c r="CT22" s="136">
        <f t="shared" si="64"/>
        <v>-3.3158996066479429E-2</v>
      </c>
      <c r="CU22" s="136">
        <f t="shared" si="64"/>
        <v>-4.4404723547107706E-2</v>
      </c>
      <c r="CV22" s="136">
        <f t="shared" ref="CV22:DB22" si="65">+(CV25-CV27)/CV21</f>
        <v>-4.142708179461186E-2</v>
      </c>
      <c r="CW22" s="136">
        <f t="shared" si="65"/>
        <v>-3.9137035670079742E-2</v>
      </c>
      <c r="CX22" s="136">
        <f t="shared" si="65"/>
        <v>-2.9090016973476372E-2</v>
      </c>
      <c r="CY22" s="136">
        <f t="shared" si="65"/>
        <v>-4.6160096191568384E-2</v>
      </c>
      <c r="CZ22" s="136">
        <f t="shared" si="65"/>
        <v>-5.3664099253060739E-2</v>
      </c>
      <c r="DA22" s="136">
        <f t="shared" si="65"/>
        <v>2.5392469668145932</v>
      </c>
      <c r="DB22" s="136">
        <f t="shared" si="65"/>
        <v>2.4010212144823884</v>
      </c>
      <c r="DC22" s="136">
        <f t="shared" ref="DC22" si="66">+(DC25-DC27)/DC21</f>
        <v>2.6103588565490781</v>
      </c>
      <c r="DD22" s="136">
        <f>+(DD25-DD27)/DD21</f>
        <v>2.543629424260351</v>
      </c>
      <c r="DE22" s="136">
        <f>+(DE25-DE27)/DE21</f>
        <v>2.1964731078810442</v>
      </c>
      <c r="DF22" s="136">
        <f>+(DF25-DF27)/DF21</f>
        <v>2.1700580914100249</v>
      </c>
      <c r="DG22" s="136">
        <f>+(DG25-DG27)/DG21</f>
        <v>1.9927595049688045</v>
      </c>
      <c r="DH22" s="324"/>
    </row>
    <row r="23" spans="1:112" s="112" customFormat="1" ht="25.5" customHeight="1">
      <c r="A23" s="773"/>
      <c r="B23" s="774"/>
      <c r="C23" s="137" t="s">
        <v>69</v>
      </c>
      <c r="D23" s="138">
        <v>0</v>
      </c>
      <c r="E23" s="138">
        <v>0</v>
      </c>
      <c r="F23" s="138">
        <v>13717.216302952027</v>
      </c>
      <c r="G23" s="138">
        <v>0</v>
      </c>
      <c r="H23" s="138">
        <v>0</v>
      </c>
      <c r="I23" s="138">
        <f>SUM(G20:I20)</f>
        <v>12208.055562154743</v>
      </c>
      <c r="J23" s="138">
        <v>0</v>
      </c>
      <c r="K23" s="139">
        <v>0</v>
      </c>
      <c r="L23" s="139">
        <f>SUM(J20:L20)</f>
        <v>12034.62196883692</v>
      </c>
      <c r="M23" s="139">
        <v>0</v>
      </c>
      <c r="N23" s="139">
        <v>0</v>
      </c>
      <c r="O23" s="139">
        <f>SUM(M20:O20)</f>
        <v>13460.914412257493</v>
      </c>
      <c r="P23" s="139">
        <v>0</v>
      </c>
      <c r="Q23" s="139">
        <v>0</v>
      </c>
      <c r="R23" s="139">
        <f>SUM(P20:R20)</f>
        <v>14518.808087824062</v>
      </c>
      <c r="S23" s="139">
        <v>0</v>
      </c>
      <c r="T23" s="139">
        <v>0</v>
      </c>
      <c r="U23" s="139">
        <f>SUM(S20:U20)</f>
        <v>15287.452568198647</v>
      </c>
      <c r="V23" s="139">
        <v>0</v>
      </c>
      <c r="W23" s="139">
        <v>0</v>
      </c>
      <c r="X23" s="139">
        <f>SUM(V20:X20)</f>
        <v>14337.392986456309</v>
      </c>
      <c r="Y23" s="139">
        <v>0</v>
      </c>
      <c r="Z23" s="139">
        <v>0</v>
      </c>
      <c r="AA23" s="139">
        <f>SUM(Y20:AA20)</f>
        <v>16961.216142230136</v>
      </c>
      <c r="AB23" s="139">
        <v>0</v>
      </c>
      <c r="AC23" s="139">
        <v>0</v>
      </c>
      <c r="AD23" s="139">
        <f>SUM(AB20:AD20)</f>
        <v>17428.622593770786</v>
      </c>
      <c r="AE23" s="139">
        <v>0</v>
      </c>
      <c r="AF23" s="139">
        <v>0</v>
      </c>
      <c r="AG23" s="139">
        <f t="shared" ref="AG23:AP23" si="67">SUM(AE20:AG20)</f>
        <v>18337.745031719216</v>
      </c>
      <c r="AH23" s="139">
        <f t="shared" si="67"/>
        <v>18535.5924176886</v>
      </c>
      <c r="AI23" s="139">
        <f t="shared" si="67"/>
        <v>19262.816948688251</v>
      </c>
      <c r="AJ23" s="139">
        <f t="shared" si="67"/>
        <v>19375.04083281276</v>
      </c>
      <c r="AK23" s="139">
        <f t="shared" si="67"/>
        <v>21226.890573792429</v>
      </c>
      <c r="AL23" s="139">
        <f t="shared" si="67"/>
        <v>21472.305404363564</v>
      </c>
      <c r="AM23" s="139">
        <f t="shared" si="67"/>
        <v>25010.207330162859</v>
      </c>
      <c r="AN23" s="139">
        <f t="shared" si="67"/>
        <v>24364.691521344819</v>
      </c>
      <c r="AO23" s="139">
        <f t="shared" si="67"/>
        <v>27008.258885920852</v>
      </c>
      <c r="AP23" s="139">
        <f t="shared" si="67"/>
        <v>24425.263133100187</v>
      </c>
      <c r="AQ23" s="139">
        <f t="shared" ref="AQ23:CY23" si="68">SUM(AO20:AQ20)</f>
        <v>24951.036114640247</v>
      </c>
      <c r="AR23" s="139">
        <f t="shared" si="68"/>
        <v>23411.183431695612</v>
      </c>
      <c r="AS23" s="139">
        <f t="shared" si="68"/>
        <v>25902.416108038778</v>
      </c>
      <c r="AT23" s="139">
        <f t="shared" si="68"/>
        <v>30007.892626235043</v>
      </c>
      <c r="AU23" s="139">
        <f t="shared" si="68"/>
        <v>33654.260553308319</v>
      </c>
      <c r="AV23" s="139">
        <f t="shared" si="68"/>
        <v>36658.446910736624</v>
      </c>
      <c r="AW23" s="139">
        <f t="shared" si="68"/>
        <v>38275.843755848982</v>
      </c>
      <c r="AX23" s="139">
        <f t="shared" si="68"/>
        <v>41330.918085887228</v>
      </c>
      <c r="AY23" s="139">
        <f t="shared" si="68"/>
        <v>43974.385018925706</v>
      </c>
      <c r="AZ23" s="139">
        <f t="shared" si="68"/>
        <v>44540.519057256111</v>
      </c>
      <c r="BA23" s="139">
        <f t="shared" si="68"/>
        <v>45536.331160265821</v>
      </c>
      <c r="BB23" s="139">
        <f t="shared" si="68"/>
        <v>43206.413846412397</v>
      </c>
      <c r="BC23" s="139">
        <f t="shared" si="68"/>
        <v>41253.273628272196</v>
      </c>
      <c r="BD23" s="139">
        <f t="shared" si="68"/>
        <v>41713.015424155798</v>
      </c>
      <c r="BE23" s="139">
        <f t="shared" si="68"/>
        <v>46261.693406633625</v>
      </c>
      <c r="BF23" s="139">
        <f t="shared" si="68"/>
        <v>54843.886817979132</v>
      </c>
      <c r="BG23" s="139">
        <f t="shared" si="68"/>
        <v>56312.367918355696</v>
      </c>
      <c r="BH23" s="139">
        <f t="shared" si="68"/>
        <v>59613.399721494599</v>
      </c>
      <c r="BI23" s="139">
        <f t="shared" si="68"/>
        <v>59580.977599541249</v>
      </c>
      <c r="BJ23" s="139">
        <f t="shared" si="68"/>
        <v>59917.08574236487</v>
      </c>
      <c r="BK23" s="139">
        <f t="shared" si="68"/>
        <v>61726.458313942188</v>
      </c>
      <c r="BL23" s="139">
        <f t="shared" si="68"/>
        <v>60599.171137011108</v>
      </c>
      <c r="BM23" s="139">
        <f t="shared" si="68"/>
        <v>60619.636722586816</v>
      </c>
      <c r="BN23" s="139">
        <f t="shared" si="68"/>
        <v>59867.580294701096</v>
      </c>
      <c r="BO23" s="139">
        <f t="shared" si="68"/>
        <v>62613.177630033475</v>
      </c>
      <c r="BP23" s="139">
        <f t="shared" si="68"/>
        <v>71868.528031674417</v>
      </c>
      <c r="BQ23" s="139">
        <f t="shared" si="68"/>
        <v>73532.98481929698</v>
      </c>
      <c r="BR23" s="139">
        <f t="shared" si="68"/>
        <v>73389.129074444223</v>
      </c>
      <c r="BS23" s="139">
        <f t="shared" si="68"/>
        <v>68697.537965692725</v>
      </c>
      <c r="BT23" s="139">
        <f t="shared" si="68"/>
        <v>70629.87550854517</v>
      </c>
      <c r="BU23" s="139">
        <f t="shared" si="68"/>
        <v>74689.180911197458</v>
      </c>
      <c r="BV23" s="139">
        <f t="shared" si="68"/>
        <v>72915.167613996382</v>
      </c>
      <c r="BW23" s="139">
        <f t="shared" si="68"/>
        <v>76554.123972817382</v>
      </c>
      <c r="BX23" s="139">
        <f t="shared" si="68"/>
        <v>74028.365313527116</v>
      </c>
      <c r="BY23" s="283">
        <f t="shared" si="68"/>
        <v>64936.524244391003</v>
      </c>
      <c r="BZ23" s="139">
        <f t="shared" si="68"/>
        <v>63097.230525888015</v>
      </c>
      <c r="CA23" s="139">
        <f t="shared" si="68"/>
        <v>60092.108522240334</v>
      </c>
      <c r="CB23" s="139">
        <f t="shared" si="68"/>
        <v>75451.598202497989</v>
      </c>
      <c r="CC23" s="139">
        <f t="shared" si="68"/>
        <v>71157.08718873511</v>
      </c>
      <c r="CD23" s="139">
        <f t="shared" si="68"/>
        <v>77407.046716698474</v>
      </c>
      <c r="CE23" s="139">
        <f t="shared" si="68"/>
        <v>82553.09920509762</v>
      </c>
      <c r="CF23" s="139">
        <f t="shared" si="68"/>
        <v>82562.732665989999</v>
      </c>
      <c r="CG23" s="139">
        <f t="shared" si="68"/>
        <v>83882.385545598445</v>
      </c>
      <c r="CH23" s="139">
        <f t="shared" si="68"/>
        <v>68456.490364802085</v>
      </c>
      <c r="CI23" s="139">
        <f t="shared" si="68"/>
        <v>75144.202154945582</v>
      </c>
      <c r="CJ23" s="139">
        <f t="shared" si="68"/>
        <v>73039.537911667212</v>
      </c>
      <c r="CK23" s="139">
        <f t="shared" si="68"/>
        <v>77661.965363322495</v>
      </c>
      <c r="CL23" s="139">
        <f t="shared" si="68"/>
        <v>77661.723537941652</v>
      </c>
      <c r="CM23" s="139">
        <f t="shared" si="68"/>
        <v>75107.897937591668</v>
      </c>
      <c r="CN23" s="139">
        <f t="shared" si="68"/>
        <v>79777.371460414026</v>
      </c>
      <c r="CO23" s="139">
        <f t="shared" si="68"/>
        <v>82642.990417861074</v>
      </c>
      <c r="CP23" s="139">
        <f t="shared" si="68"/>
        <v>83293.974572087289</v>
      </c>
      <c r="CQ23" s="139">
        <f t="shared" si="68"/>
        <v>90312.938473098198</v>
      </c>
      <c r="CR23" s="139">
        <f t="shared" si="68"/>
        <v>84543.95783869685</v>
      </c>
      <c r="CS23" s="139">
        <f t="shared" si="68"/>
        <v>88884.333259478692</v>
      </c>
      <c r="CT23" s="139">
        <f t="shared" si="68"/>
        <v>83354.033561597593</v>
      </c>
      <c r="CU23" s="139">
        <f t="shared" si="68"/>
        <v>86479.128264448067</v>
      </c>
      <c r="CV23" s="139">
        <f t="shared" si="68"/>
        <v>87838.709789038054</v>
      </c>
      <c r="CW23" s="139">
        <f t="shared" si="68"/>
        <v>90079.297404921337</v>
      </c>
      <c r="CX23" s="139">
        <f t="shared" si="68"/>
        <v>82230.133374284313</v>
      </c>
      <c r="CY23" s="139">
        <f t="shared" si="68"/>
        <v>70564.274889931316</v>
      </c>
      <c r="CZ23" s="139">
        <f t="shared" ref="CZ23:DG23" si="69">SUM(CX20:CZ20)</f>
        <v>67675.281301351963</v>
      </c>
      <c r="DA23" s="139">
        <f t="shared" si="69"/>
        <v>57095.473836676967</v>
      </c>
      <c r="DB23" s="139">
        <f t="shared" si="69"/>
        <v>67781.205379229621</v>
      </c>
      <c r="DC23" s="139">
        <f t="shared" si="69"/>
        <v>77830.48762985706</v>
      </c>
      <c r="DD23" s="139">
        <f t="shared" si="69"/>
        <v>94150.41664985707</v>
      </c>
      <c r="DE23" s="139">
        <f t="shared" si="69"/>
        <v>50719.165359999999</v>
      </c>
      <c r="DF23" s="139">
        <f t="shared" si="69"/>
        <v>57679.809690000009</v>
      </c>
      <c r="DG23" s="139">
        <f t="shared" si="69"/>
        <v>61514.090908859813</v>
      </c>
      <c r="DH23" s="70"/>
    </row>
    <row r="24" spans="1:112" s="112" customFormat="1" ht="25.5" customHeight="1">
      <c r="A24" s="773"/>
      <c r="B24" s="774"/>
      <c r="C24" s="318" t="s">
        <v>251</v>
      </c>
      <c r="D24" s="319"/>
      <c r="E24" s="319"/>
      <c r="F24" s="319"/>
      <c r="G24" s="319"/>
      <c r="H24" s="319"/>
      <c r="I24" s="319"/>
      <c r="J24" s="319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20"/>
      <c r="AG24" s="320"/>
      <c r="AH24" s="320"/>
      <c r="AI24" s="320"/>
      <c r="AJ24" s="320"/>
      <c r="AK24" s="320"/>
      <c r="AL24" s="320"/>
      <c r="AM24" s="320"/>
      <c r="AN24" s="320"/>
      <c r="AO24" s="320"/>
      <c r="AP24" s="320"/>
      <c r="AQ24" s="320"/>
      <c r="AR24" s="320"/>
      <c r="AS24" s="320"/>
      <c r="AT24" s="320"/>
      <c r="AU24" s="320"/>
      <c r="AV24" s="320"/>
      <c r="AW24" s="320"/>
      <c r="AX24" s="320"/>
      <c r="AY24" s="320"/>
      <c r="AZ24" s="320"/>
      <c r="BA24" s="320"/>
      <c r="BB24" s="320"/>
      <c r="BC24" s="320"/>
      <c r="BD24" s="320"/>
      <c r="BE24" s="320"/>
      <c r="BF24" s="320"/>
      <c r="BG24" s="320"/>
      <c r="BH24" s="320"/>
      <c r="BI24" s="320"/>
      <c r="BJ24" s="320"/>
      <c r="BK24" s="320"/>
      <c r="BL24" s="320"/>
      <c r="BM24" s="320"/>
      <c r="BN24" s="320"/>
      <c r="BO24" s="320"/>
      <c r="BP24" s="320"/>
      <c r="BQ24" s="320"/>
      <c r="BR24" s="320"/>
      <c r="BS24" s="320"/>
      <c r="BT24" s="320"/>
      <c r="BU24" s="320"/>
      <c r="BV24" s="320"/>
      <c r="BW24" s="320"/>
      <c r="BX24" s="320"/>
      <c r="BY24" s="321"/>
      <c r="BZ24" s="320"/>
      <c r="CA24" s="320"/>
      <c r="CB24" s="320"/>
      <c r="CC24" s="320"/>
      <c r="CD24" s="320"/>
      <c r="CE24" s="320"/>
      <c r="CF24" s="320"/>
      <c r="CG24" s="320"/>
      <c r="CH24" s="320"/>
      <c r="CI24" s="320"/>
      <c r="CJ24" s="320"/>
      <c r="CK24" s="320"/>
      <c r="CL24" s="320"/>
      <c r="CM24" s="320"/>
      <c r="CN24" s="320"/>
      <c r="CO24" s="320"/>
      <c r="CP24" s="320"/>
      <c r="CQ24" s="320"/>
      <c r="CR24" s="320"/>
      <c r="CS24" s="320"/>
      <c r="CT24" s="320"/>
      <c r="CU24" s="320"/>
      <c r="CV24" s="320"/>
      <c r="CW24" s="320">
        <v>0</v>
      </c>
      <c r="CX24" s="320">
        <v>0</v>
      </c>
      <c r="CY24" s="320">
        <v>0</v>
      </c>
      <c r="CZ24" s="320">
        <v>0</v>
      </c>
      <c r="DA24" s="320">
        <v>453315.38581000001</v>
      </c>
      <c r="DB24" s="320">
        <v>-4575</v>
      </c>
      <c r="DC24" s="320">
        <v>-5495.3</v>
      </c>
      <c r="DD24" s="320">
        <v>-16429.12</v>
      </c>
      <c r="DE24" s="320">
        <v>-2195.64</v>
      </c>
      <c r="DF24" s="320">
        <v>-20080.16</v>
      </c>
      <c r="DG24" s="320">
        <v>-8551.5</v>
      </c>
    </row>
    <row r="25" spans="1:112" s="113" customFormat="1" ht="25.5" customHeight="1" thickBot="1">
      <c r="A25" s="773"/>
      <c r="B25" s="774"/>
      <c r="C25" s="140" t="s">
        <v>14</v>
      </c>
      <c r="D25" s="141">
        <v>20907.189879605565</v>
      </c>
      <c r="E25" s="141">
        <f>+D25+E20-E4</f>
        <v>20819.802966511317</v>
      </c>
      <c r="F25" s="141">
        <v>23311.86919189219</v>
      </c>
      <c r="G25" s="141">
        <f>+F25+G6+SUM(G8:G18)</f>
        <v>22677.836075146297</v>
      </c>
      <c r="H25" s="141">
        <f>22680.9785731231+H6+SUM(H8:H18)</f>
        <v>22565.490402206586</v>
      </c>
      <c r="I25" s="141">
        <f>+H25+I6+SUM(I8:I18)</f>
        <v>22130.721386746627</v>
      </c>
      <c r="J25" s="141">
        <f>22123.9834292119+J6+SUM(J8:J18)</f>
        <v>22199.838161991218</v>
      </c>
      <c r="K25" s="142">
        <f t="shared" ref="K25:AP25" si="70">+J25+K6+SUM(K8:K18)</f>
        <v>21852.842321565735</v>
      </c>
      <c r="L25" s="142">
        <f t="shared" si="70"/>
        <v>20967.111308629377</v>
      </c>
      <c r="M25" s="142">
        <f t="shared" si="70"/>
        <v>22520.549408066963</v>
      </c>
      <c r="N25" s="142">
        <f t="shared" si="70"/>
        <v>22261.293312141705</v>
      </c>
      <c r="O25" s="142">
        <f t="shared" si="70"/>
        <v>23015.324439580756</v>
      </c>
      <c r="P25" s="142">
        <f t="shared" si="70"/>
        <v>23520.619621950453</v>
      </c>
      <c r="Q25" s="142">
        <f t="shared" si="70"/>
        <v>24868.902241392763</v>
      </c>
      <c r="R25" s="142">
        <f t="shared" si="70"/>
        <v>25440.710537404819</v>
      </c>
      <c r="S25" s="142">
        <f t="shared" si="70"/>
        <v>25459.518665188309</v>
      </c>
      <c r="T25" s="142">
        <f t="shared" si="70"/>
        <v>25310.395261498765</v>
      </c>
      <c r="U25" s="142">
        <f t="shared" si="70"/>
        <v>26090.021185603466</v>
      </c>
      <c r="V25" s="142">
        <f t="shared" si="70"/>
        <v>26275.58967502441</v>
      </c>
      <c r="W25" s="142">
        <f t="shared" si="70"/>
        <v>26903.319773349729</v>
      </c>
      <c r="X25" s="142">
        <f t="shared" si="70"/>
        <v>27114.839042059775</v>
      </c>
      <c r="Y25" s="142">
        <f t="shared" si="70"/>
        <v>31001.156858974184</v>
      </c>
      <c r="Z25" s="142">
        <f t="shared" si="70"/>
        <v>31283.906949829485</v>
      </c>
      <c r="AA25" s="142">
        <f t="shared" si="70"/>
        <v>32904.414534289914</v>
      </c>
      <c r="AB25" s="142">
        <f t="shared" si="70"/>
        <v>31930.208491601268</v>
      </c>
      <c r="AC25" s="142">
        <f t="shared" si="70"/>
        <v>31856.637412422311</v>
      </c>
      <c r="AD25" s="142">
        <f t="shared" si="70"/>
        <v>33194.8065944751</v>
      </c>
      <c r="AE25" s="142">
        <f t="shared" si="70"/>
        <v>33410.492626766078</v>
      </c>
      <c r="AF25" s="142">
        <f t="shared" si="70"/>
        <v>34068.40512883167</v>
      </c>
      <c r="AG25" s="142">
        <f t="shared" si="70"/>
        <v>33858.202216194317</v>
      </c>
      <c r="AH25" s="142">
        <f t="shared" si="70"/>
        <v>33759.660524454674</v>
      </c>
      <c r="AI25" s="142">
        <f t="shared" si="70"/>
        <v>34867.217047519916</v>
      </c>
      <c r="AJ25" s="142">
        <f t="shared" si="70"/>
        <v>34969.618249007079</v>
      </c>
      <c r="AK25" s="142">
        <f t="shared" si="70"/>
        <v>41541.355048247104</v>
      </c>
      <c r="AL25" s="142">
        <f t="shared" si="70"/>
        <v>41977.237711883492</v>
      </c>
      <c r="AM25" s="142">
        <f t="shared" si="70"/>
        <v>45916.180969169945</v>
      </c>
      <c r="AN25" s="142">
        <f t="shared" si="70"/>
        <v>46638.022139591922</v>
      </c>
      <c r="AO25" s="142">
        <f t="shared" si="70"/>
        <v>50445.986097804343</v>
      </c>
      <c r="AP25" s="142">
        <f t="shared" si="70"/>
        <v>49820.944182270134</v>
      </c>
      <c r="AQ25" s="142">
        <f t="shared" ref="AQ25:BV25" si="71">+AP25+AQ6+SUM(AQ8:AQ18)</f>
        <v>49324.685234232173</v>
      </c>
      <c r="AR25" s="142">
        <f t="shared" si="71"/>
        <v>50052.42294949996</v>
      </c>
      <c r="AS25" s="142">
        <f t="shared" si="71"/>
        <v>52208.747340308917</v>
      </c>
      <c r="AT25" s="142">
        <f t="shared" si="71"/>
        <v>57173.000640467224</v>
      </c>
      <c r="AU25" s="142">
        <f t="shared" si="71"/>
        <v>60088.032312808282</v>
      </c>
      <c r="AV25" s="142">
        <f t="shared" si="71"/>
        <v>63933.176791045538</v>
      </c>
      <c r="AW25" s="142">
        <f t="shared" si="71"/>
        <v>69495.200856316209</v>
      </c>
      <c r="AX25" s="142">
        <f t="shared" si="71"/>
        <v>76352.902588695521</v>
      </c>
      <c r="AY25" s="142">
        <f t="shared" si="71"/>
        <v>83834.020879971256</v>
      </c>
      <c r="AZ25" s="142">
        <f t="shared" si="71"/>
        <v>87092.786823572329</v>
      </c>
      <c r="BA25" s="142">
        <f t="shared" si="71"/>
        <v>91528.195508961348</v>
      </c>
      <c r="BB25" s="142">
        <f t="shared" si="71"/>
        <v>91534.287426383657</v>
      </c>
      <c r="BC25" s="142">
        <f t="shared" si="71"/>
        <v>90399.187071844528</v>
      </c>
      <c r="BD25" s="142">
        <f t="shared" si="71"/>
        <v>91051.282083117141</v>
      </c>
      <c r="BE25" s="142">
        <f t="shared" si="71"/>
        <v>97535.980913017294</v>
      </c>
      <c r="BF25" s="142">
        <f t="shared" si="71"/>
        <v>106493.69142982368</v>
      </c>
      <c r="BG25" s="142">
        <f t="shared" si="71"/>
        <v>111167.68256147286</v>
      </c>
      <c r="BH25" s="142">
        <f t="shared" si="71"/>
        <v>120997.2732745119</v>
      </c>
      <c r="BI25" s="142">
        <f t="shared" si="71"/>
        <v>131972.20994936491</v>
      </c>
      <c r="BJ25" s="142">
        <f t="shared" si="71"/>
        <v>135442.0454738377</v>
      </c>
      <c r="BK25" s="142">
        <f t="shared" si="71"/>
        <v>144083.67963845408</v>
      </c>
      <c r="BL25" s="142">
        <f t="shared" si="71"/>
        <v>143765.29609637603</v>
      </c>
      <c r="BM25" s="142">
        <f t="shared" si="71"/>
        <v>139051.39154642454</v>
      </c>
      <c r="BN25" s="142">
        <f t="shared" si="71"/>
        <v>137936.57782315521</v>
      </c>
      <c r="BO25" s="142">
        <f t="shared" si="71"/>
        <v>137313.82807640953</v>
      </c>
      <c r="BP25" s="142">
        <f t="shared" si="71"/>
        <v>143812.19168809897</v>
      </c>
      <c r="BQ25" s="142">
        <f t="shared" si="71"/>
        <v>144378.98020245219</v>
      </c>
      <c r="BR25" s="142">
        <f t="shared" si="71"/>
        <v>143619.73102085374</v>
      </c>
      <c r="BS25" s="142">
        <f t="shared" si="71"/>
        <v>143281.4151437917</v>
      </c>
      <c r="BT25" s="142">
        <f t="shared" si="71"/>
        <v>145800.82885099738</v>
      </c>
      <c r="BU25" s="142">
        <f t="shared" si="71"/>
        <v>152732.02852205123</v>
      </c>
      <c r="BV25" s="142">
        <f t="shared" si="71"/>
        <v>150519.54160778812</v>
      </c>
      <c r="BW25" s="142">
        <f t="shared" ref="BW25:CX25" si="72">+BV25+BW6+SUM(BW8:BW18)</f>
        <v>157977.51867381477</v>
      </c>
      <c r="BX25" s="142">
        <f t="shared" si="72"/>
        <v>161953.99728557837</v>
      </c>
      <c r="BY25" s="142">
        <f t="shared" si="72"/>
        <v>125185.33130217914</v>
      </c>
      <c r="BZ25" s="142">
        <f t="shared" si="72"/>
        <v>140031.71282970282</v>
      </c>
      <c r="CA25" s="142">
        <f t="shared" si="72"/>
        <v>138488.47477781874</v>
      </c>
      <c r="CB25" s="142">
        <f t="shared" si="72"/>
        <v>142555.32418467721</v>
      </c>
      <c r="CC25" s="142">
        <f t="shared" si="72"/>
        <v>143921.88269843804</v>
      </c>
      <c r="CD25" s="142">
        <f t="shared" si="72"/>
        <v>146527.44232451738</v>
      </c>
      <c r="CE25" s="142">
        <f t="shared" si="72"/>
        <v>153165.07104977503</v>
      </c>
      <c r="CF25" s="142">
        <f t="shared" si="72"/>
        <v>151059.59703442824</v>
      </c>
      <c r="CG25" s="142">
        <f t="shared" si="72"/>
        <v>155565.86304011598</v>
      </c>
      <c r="CH25" s="142">
        <f t="shared" si="72"/>
        <v>147762.56490457722</v>
      </c>
      <c r="CI25" s="142">
        <f t="shared" si="72"/>
        <v>151190.13759937391</v>
      </c>
      <c r="CJ25" s="142">
        <f t="shared" si="72"/>
        <v>153415.18147178332</v>
      </c>
      <c r="CK25" s="142">
        <f>+CJ25+CK6+SUM(CK8:CK18)</f>
        <v>149700.49335789983</v>
      </c>
      <c r="CL25" s="142">
        <f>+CK25+CL6+SUM(CL8:CL18)</f>
        <v>154304.79683731572</v>
      </c>
      <c r="CM25" s="142">
        <f>+CL25+CM6+SUM(CM8:CM18)</f>
        <v>154454.3465993751</v>
      </c>
      <c r="CN25" s="142">
        <f t="shared" si="72"/>
        <v>156729.16727831395</v>
      </c>
      <c r="CO25" s="142">
        <f t="shared" si="72"/>
        <v>164437.98330517689</v>
      </c>
      <c r="CP25" s="142">
        <f t="shared" si="72"/>
        <v>162762.00658146251</v>
      </c>
      <c r="CQ25" s="142">
        <f t="shared" si="72"/>
        <v>170161.8519814123</v>
      </c>
      <c r="CR25" s="142">
        <f t="shared" si="72"/>
        <v>170551.69589387387</v>
      </c>
      <c r="CS25" s="142">
        <f t="shared" si="72"/>
        <v>171630.16951094131</v>
      </c>
      <c r="CT25" s="142">
        <f t="shared" si="72"/>
        <v>169596.45795300996</v>
      </c>
      <c r="CU25" s="142">
        <f t="shared" si="72"/>
        <v>170839.00071832197</v>
      </c>
      <c r="CV25" s="142">
        <f t="shared" si="72"/>
        <v>172140.19526997945</v>
      </c>
      <c r="CW25" s="142">
        <f>+CV25+CW6+SUM(CW8:CW18)</f>
        <v>172406.66264793137</v>
      </c>
      <c r="CX25" s="142">
        <f t="shared" si="72"/>
        <v>164941.94160260636</v>
      </c>
      <c r="CY25" s="142">
        <f>+CX25+CY6+SUM(CY8:CY18)</f>
        <v>154310.86970991074</v>
      </c>
      <c r="CZ25" s="142">
        <f>+CY25+CZ6+SUM(CZ8:CZ18)</f>
        <v>154164.7069892833</v>
      </c>
      <c r="DA25" s="142">
        <f>+CZ25+DA6+SUM(DA8:DA18)+DA24</f>
        <v>616513.09279928333</v>
      </c>
      <c r="DB25" s="142">
        <f>+DA25+DB6+SUM(DB8:DB18)+DB24</f>
        <v>611481.09279928333</v>
      </c>
      <c r="DC25" s="142">
        <f t="shared" ref="DC25:DE25" si="73">+DB25+DC6+SUM(DC8:DC18)+DC24</f>
        <v>616705.79279928328</v>
      </c>
      <c r="DD25" s="142">
        <f>+DC25+DD6+SUM(DD8:DD18)+DD24</f>
        <v>603576.67279928329</v>
      </c>
      <c r="DE25" s="142">
        <f>+DD25+DE6+SUM(DE8:DE18)+DE24</f>
        <v>562804.03279928328</v>
      </c>
      <c r="DF25" s="142">
        <f>+DE25+DF6+SUM(DF8:DF18)+DF24</f>
        <v>558308.87279928324</v>
      </c>
      <c r="DG25" s="142">
        <f>+DF25+DG6+SUM(DG8:DG18)+DG24</f>
        <v>556077.12461367447</v>
      </c>
    </row>
    <row r="26" spans="1:112" s="114" customFormat="1" ht="25.5" customHeight="1">
      <c r="A26" s="773"/>
      <c r="B26" s="774"/>
      <c r="C26" s="143" t="s">
        <v>4</v>
      </c>
      <c r="D26" s="144">
        <f t="shared" ref="D26:Q27" si="74">+D35+D47</f>
        <v>306.43421000000001</v>
      </c>
      <c r="E26" s="144">
        <f t="shared" si="74"/>
        <v>292.17896000000098</v>
      </c>
      <c r="F26" s="144">
        <f t="shared" si="74"/>
        <v>325.25154999999506</v>
      </c>
      <c r="G26" s="144">
        <f t="shared" si="74"/>
        <v>74.456319999991038</v>
      </c>
      <c r="H26" s="144">
        <f t="shared" si="74"/>
        <v>180.32119999999989</v>
      </c>
      <c r="I26" s="144">
        <f t="shared" si="74"/>
        <v>26.468370000005603</v>
      </c>
      <c r="J26" s="144">
        <f t="shared" si="74"/>
        <v>165.51095999999353</v>
      </c>
      <c r="K26" s="145">
        <f t="shared" si="74"/>
        <v>-170.19729999998219</v>
      </c>
      <c r="L26" s="145">
        <f t="shared" si="74"/>
        <v>217.05920999998401</v>
      </c>
      <c r="M26" s="145">
        <f t="shared" si="74"/>
        <v>170.34137999999589</v>
      </c>
      <c r="N26" s="145">
        <f t="shared" si="74"/>
        <v>118.1088700000021</v>
      </c>
      <c r="O26" s="145">
        <f t="shared" si="74"/>
        <v>71.4672300000001</v>
      </c>
      <c r="P26" s="145">
        <f t="shared" si="74"/>
        <v>203.000329999999</v>
      </c>
      <c r="Q26" s="145">
        <f t="shared" si="74"/>
        <v>184.19268000000079</v>
      </c>
      <c r="R26" s="145">
        <f t="shared" ref="R26:T27" si="75">+R35+R47</f>
        <v>243.48085000000029</v>
      </c>
      <c r="S26" s="145">
        <f t="shared" si="75"/>
        <v>110.29385999999889</v>
      </c>
      <c r="T26" s="145">
        <f t="shared" si="75"/>
        <v>66.788730000002758</v>
      </c>
      <c r="U26" s="145">
        <f t="shared" ref="U26:W27" si="76">+U35+U47</f>
        <v>112.60968999999611</v>
      </c>
      <c r="V26" s="145">
        <f t="shared" si="76"/>
        <v>174.6311199999939</v>
      </c>
      <c r="W26" s="145">
        <f t="shared" si="76"/>
        <v>249.10282000000819</v>
      </c>
      <c r="X26" s="145">
        <f t="shared" ref="X26:Z27" si="77">+X35+X47</f>
        <v>178.32592000000008</v>
      </c>
      <c r="Y26" s="145">
        <f t="shared" si="77"/>
        <v>269.88588999999962</v>
      </c>
      <c r="Z26" s="145">
        <f t="shared" si="77"/>
        <v>-43.004060000000045</v>
      </c>
      <c r="AA26" s="145">
        <f t="shared" ref="AA26:AC27" si="78">+AA35+AA47</f>
        <v>345.0612000000005</v>
      </c>
      <c r="AB26" s="145">
        <f t="shared" si="78"/>
        <v>310.45242999999999</v>
      </c>
      <c r="AC26" s="145">
        <f t="shared" si="78"/>
        <v>259.08421000000135</v>
      </c>
      <c r="AD26" s="145">
        <f t="shared" ref="AD26:AF27" si="79">+AD35+AD47</f>
        <v>168.39469999999721</v>
      </c>
      <c r="AE26" s="145">
        <f t="shared" si="79"/>
        <v>282.26407000000097</v>
      </c>
      <c r="AF26" s="145">
        <f t="shared" si="79"/>
        <v>359.18461000000002</v>
      </c>
      <c r="AG26" s="145">
        <f t="shared" ref="AG26:AI27" si="80">+AG35+AG47</f>
        <v>233.50075000000098</v>
      </c>
      <c r="AH26" s="145">
        <f t="shared" si="80"/>
        <v>393.09395999999822</v>
      </c>
      <c r="AI26" s="145">
        <f t="shared" si="80"/>
        <v>299.96526999999446</v>
      </c>
      <c r="AJ26" s="145">
        <f t="shared" ref="AJ26:AN27" si="81">+AJ35+AJ47</f>
        <v>291.58583000001124</v>
      </c>
      <c r="AK26" s="145">
        <f t="shared" si="81"/>
        <v>260.81959999999594</v>
      </c>
      <c r="AL26" s="145">
        <f t="shared" si="81"/>
        <v>71.207879999992429</v>
      </c>
      <c r="AM26" s="145">
        <f t="shared" si="81"/>
        <v>300.32215000000735</v>
      </c>
      <c r="AN26" s="145">
        <f t="shared" si="81"/>
        <v>285.2526299999999</v>
      </c>
      <c r="AO26" s="145">
        <f t="shared" ref="AO26:AS27" si="82">+AO35+AO47</f>
        <v>302.38939000000153</v>
      </c>
      <c r="AP26" s="145">
        <f t="shared" si="82"/>
        <v>279.82495999999998</v>
      </c>
      <c r="AQ26" s="145">
        <f t="shared" si="82"/>
        <v>258.28662000000105</v>
      </c>
      <c r="AR26" s="145">
        <f t="shared" si="82"/>
        <v>257.50400999999653</v>
      </c>
      <c r="AS26" s="145">
        <f t="shared" si="82"/>
        <v>341.24993000000529</v>
      </c>
      <c r="AT26" s="145">
        <f t="shared" ref="AT26:AV27" si="83">+AT35+AT47</f>
        <v>297.65961000000004</v>
      </c>
      <c r="AU26" s="145">
        <f t="shared" si="83"/>
        <v>158.1513400000064</v>
      </c>
      <c r="AV26" s="145">
        <f t="shared" si="83"/>
        <v>317.40922999999003</v>
      </c>
      <c r="AW26" s="145">
        <f t="shared" ref="AW26:AY27" si="84">+AW35+AW47</f>
        <v>340.26874000001499</v>
      </c>
      <c r="AX26" s="145">
        <f t="shared" si="84"/>
        <v>512.21357000001194</v>
      </c>
      <c r="AY26" s="145">
        <f t="shared" si="84"/>
        <v>639.40571999996496</v>
      </c>
      <c r="AZ26" s="145">
        <f t="shared" ref="AZ26:BB27" si="85">+AZ35+AZ47</f>
        <v>511.26828000002797</v>
      </c>
      <c r="BA26" s="145">
        <f t="shared" si="85"/>
        <v>549.48565999995708</v>
      </c>
      <c r="BB26" s="145">
        <f t="shared" si="85"/>
        <v>533.492890000015</v>
      </c>
      <c r="BC26" s="145">
        <f t="shared" ref="BC26:BE27" si="86">+BC35+BC47</f>
        <v>1385.11115</v>
      </c>
      <c r="BD26" s="145">
        <f t="shared" si="86"/>
        <v>801.99298000000044</v>
      </c>
      <c r="BE26" s="145">
        <f t="shared" si="86"/>
        <v>675.14318000000003</v>
      </c>
      <c r="BF26" s="145">
        <f t="shared" ref="BF26:BH27" si="87">+BF35+BF47</f>
        <v>571.17186999999899</v>
      </c>
      <c r="BG26" s="145">
        <f t="shared" si="87"/>
        <v>704.47360000000003</v>
      </c>
      <c r="BH26" s="145">
        <f t="shared" si="87"/>
        <v>719.53783999999996</v>
      </c>
      <c r="BI26" s="145">
        <f t="shared" ref="BI26:BK27" si="88">+BI35+BI47</f>
        <v>580.92473000000041</v>
      </c>
      <c r="BJ26" s="145">
        <f t="shared" si="88"/>
        <v>242.66272999999859</v>
      </c>
      <c r="BK26" s="145">
        <f t="shared" si="88"/>
        <v>476.64933999999982</v>
      </c>
      <c r="BL26" s="145">
        <f t="shared" ref="BL26:BN27" si="89">+BL35+BL47</f>
        <v>784.30972000000065</v>
      </c>
      <c r="BM26" s="145">
        <f t="shared" si="89"/>
        <v>81.586029999997464</v>
      </c>
      <c r="BN26" s="145">
        <f t="shared" si="89"/>
        <v>579.80818000004251</v>
      </c>
      <c r="BO26" s="145">
        <f t="shared" ref="BO26:BQ27" si="90">+BO35+BO47</f>
        <v>-1239.1405800000523</v>
      </c>
      <c r="BP26" s="145">
        <f t="shared" si="90"/>
        <v>573.7952500000149</v>
      </c>
      <c r="BQ26" s="145">
        <f t="shared" si="90"/>
        <v>654.24126999999589</v>
      </c>
      <c r="BR26" s="145">
        <f t="shared" ref="BR26:BT27" si="91">+BR35+BR47</f>
        <v>152.26407000000404</v>
      </c>
      <c r="BS26" s="145">
        <f t="shared" si="91"/>
        <v>373.00597999999673</v>
      </c>
      <c r="BT26" s="145">
        <f t="shared" si="91"/>
        <v>835.43208000000379</v>
      </c>
      <c r="BU26" s="145">
        <f t="shared" ref="BU26:BW27" si="92">+BU35+BU47</f>
        <v>628.20799999999622</v>
      </c>
      <c r="BV26" s="145">
        <f t="shared" si="92"/>
        <v>340.74886999999921</v>
      </c>
      <c r="BW26" s="145">
        <f t="shared" si="92"/>
        <v>560.49866000000202</v>
      </c>
      <c r="BX26" s="145">
        <f t="shared" ref="BX26:BZ27" si="93">+BX35+BX47</f>
        <v>926.96208000000001</v>
      </c>
      <c r="BY26" s="284">
        <f>+BY35+BY47</f>
        <v>256.16401000000349</v>
      </c>
      <c r="BZ26" s="145">
        <f t="shared" si="93"/>
        <v>923.36549999999067</v>
      </c>
      <c r="CA26" s="145">
        <f t="shared" ref="CA26:CC27" si="94">+CA35+CA47</f>
        <v>-967.58690999999089</v>
      </c>
      <c r="CB26" s="145">
        <f t="shared" si="94"/>
        <v>-82.894360000010579</v>
      </c>
      <c r="CC26" s="145">
        <f t="shared" si="94"/>
        <v>-83.415490000013264</v>
      </c>
      <c r="CD26" s="145">
        <f t="shared" ref="CD26:CE26" si="95">+CD35+CD47</f>
        <v>632.58045000000675</v>
      </c>
      <c r="CE26" s="145">
        <f t="shared" si="95"/>
        <v>542.16496000003258</v>
      </c>
      <c r="CF26" s="145">
        <f t="shared" ref="CF26:CG26" si="96">+CF35+CF47</f>
        <v>665.21908999994776</v>
      </c>
      <c r="CG26" s="145">
        <f t="shared" si="96"/>
        <v>765.33165000000031</v>
      </c>
      <c r="CH26" s="145">
        <f t="shared" ref="CH26:CI26" si="97">+CH35+CH47</f>
        <v>859.70050000002425</v>
      </c>
      <c r="CI26" s="145">
        <f t="shared" si="97"/>
        <v>1168.5027499999869</v>
      </c>
      <c r="CJ26" s="145">
        <f t="shared" ref="CJ26:CK26" si="98">+CJ35+CJ47</f>
        <v>539.96984000004636</v>
      </c>
      <c r="CK26" s="145">
        <f t="shared" si="98"/>
        <v>539.6584800000004</v>
      </c>
      <c r="CL26" s="145">
        <f t="shared" ref="CL26:CM26" si="99">+CL35+CL47</f>
        <v>1340.4376399999933</v>
      </c>
      <c r="CM26" s="145">
        <f t="shared" si="99"/>
        <v>1629.62967999994</v>
      </c>
      <c r="CN26" s="145">
        <f t="shared" ref="CN26:CO26" si="100">+CN35+CN47</f>
        <v>1376.3787600000389</v>
      </c>
      <c r="CO26" s="145">
        <f t="shared" si="100"/>
        <v>1991.8015099999234</v>
      </c>
      <c r="CP26" s="145">
        <f t="shared" ref="CP26:CQ26" si="101">+CP35+CP47</f>
        <v>1164.5094200000017</v>
      </c>
      <c r="CQ26" s="145">
        <f t="shared" si="101"/>
        <v>1664.7193700001017</v>
      </c>
      <c r="CR26" s="145">
        <f t="shared" ref="CR26:CS26" si="102">+CR35+CR47</f>
        <v>2531.0675400000364</v>
      </c>
      <c r="CS26" s="145">
        <f t="shared" si="102"/>
        <v>2474.8889899999012</v>
      </c>
      <c r="CT26" s="145">
        <f t="shared" ref="CT26:CU26" si="103">+CT35+CT47</f>
        <v>1788.665020000115</v>
      </c>
      <c r="CU26" s="145">
        <f t="shared" si="103"/>
        <v>2625.851149999954</v>
      </c>
      <c r="CV26" s="145">
        <f t="shared" ref="CV26:CW26" si="104">+CV35+CV47</f>
        <v>1697.4004500000551</v>
      </c>
      <c r="CW26" s="145">
        <f t="shared" si="104"/>
        <v>2858.8466399999447</v>
      </c>
      <c r="CX26" s="145">
        <f t="shared" ref="CX26:CY26" si="105">+CX35+CX47</f>
        <v>1873.5489399999158</v>
      </c>
      <c r="CY26" s="145">
        <f t="shared" si="105"/>
        <v>-238.74749999996641</v>
      </c>
      <c r="CZ26" s="145">
        <f t="shared" ref="CZ26:DA26" si="106">+CZ35+CZ47</f>
        <v>2158.2832900000067</v>
      </c>
      <c r="DA26" s="145">
        <f t="shared" si="106"/>
        <v>2088.755470000036</v>
      </c>
      <c r="DB26" s="145">
        <f t="shared" ref="DB26:DD27" si="107">+DB35+DB47</f>
        <v>3890.6913299998905</v>
      </c>
      <c r="DC26" s="145">
        <f t="shared" si="107"/>
        <v>1720.8109500001185</v>
      </c>
      <c r="DD26" s="145">
        <f t="shared" si="107"/>
        <v>2371.303310000058</v>
      </c>
      <c r="DE26" s="145">
        <f t="shared" ref="DE26:DF26" si="108">+DE35+DE47</f>
        <v>2426.9553499998788</v>
      </c>
      <c r="DF26" s="145">
        <f t="shared" si="108"/>
        <v>1229.981769999966</v>
      </c>
      <c r="DG26" s="145">
        <f t="shared" ref="DG26" si="109">+DG35+DG47</f>
        <v>552.02294000021357</v>
      </c>
    </row>
    <row r="27" spans="1:112" ht="25.5" customHeight="1">
      <c r="A27" s="773"/>
      <c r="B27" s="774"/>
      <c r="C27" s="146" t="s">
        <v>58</v>
      </c>
      <c r="D27" s="147">
        <f t="shared" si="74"/>
        <v>17338.277180000005</v>
      </c>
      <c r="E27" s="147">
        <f t="shared" si="74"/>
        <v>18036.178240000005</v>
      </c>
      <c r="F27" s="147">
        <f t="shared" si="74"/>
        <v>17315.869300000002</v>
      </c>
      <c r="G27" s="147">
        <f t="shared" si="74"/>
        <v>16844.996040000002</v>
      </c>
      <c r="H27" s="147">
        <f t="shared" si="74"/>
        <v>17342.743770000005</v>
      </c>
      <c r="I27" s="147">
        <f t="shared" si="74"/>
        <v>16976.498199999998</v>
      </c>
      <c r="J27" s="147">
        <f t="shared" si="74"/>
        <v>16773.223760000008</v>
      </c>
      <c r="K27" s="148">
        <f t="shared" si="74"/>
        <v>17399.760000000002</v>
      </c>
      <c r="L27" s="148">
        <f t="shared" si="74"/>
        <v>16785.744479999987</v>
      </c>
      <c r="M27" s="148">
        <f t="shared" si="74"/>
        <v>17873.848150000002</v>
      </c>
      <c r="N27" s="148">
        <f t="shared" si="74"/>
        <v>17621.642230000027</v>
      </c>
      <c r="O27" s="148">
        <f>+O36+O48</f>
        <v>17451.398870000026</v>
      </c>
      <c r="P27" s="148">
        <f t="shared" si="74"/>
        <v>18205.60093000003</v>
      </c>
      <c r="Q27" s="148">
        <f t="shared" si="74"/>
        <v>20138.14598000003</v>
      </c>
      <c r="R27" s="148">
        <f t="shared" si="75"/>
        <v>20490.118030000031</v>
      </c>
      <c r="S27" s="148">
        <f t="shared" si="75"/>
        <v>20665.625420000033</v>
      </c>
      <c r="T27" s="148">
        <f t="shared" si="75"/>
        <v>20762.611600000029</v>
      </c>
      <c r="U27" s="148">
        <f t="shared" si="76"/>
        <v>21327.361740000029</v>
      </c>
      <c r="V27" s="148">
        <f t="shared" si="76"/>
        <v>21423.427220000038</v>
      </c>
      <c r="W27" s="148">
        <f t="shared" si="76"/>
        <v>21524.724550000024</v>
      </c>
      <c r="X27" s="148">
        <f t="shared" si="77"/>
        <v>21821.676750000028</v>
      </c>
      <c r="Y27" s="148">
        <f t="shared" si="77"/>
        <v>24710.578090000032</v>
      </c>
      <c r="Z27" s="148">
        <f t="shared" si="77"/>
        <v>25691.092600000029</v>
      </c>
      <c r="AA27" s="148">
        <f t="shared" si="78"/>
        <v>27416.130530000031</v>
      </c>
      <c r="AB27" s="148">
        <f t="shared" si="78"/>
        <v>26867.469060000029</v>
      </c>
      <c r="AC27" s="148">
        <f t="shared" si="78"/>
        <v>27416.697150000029</v>
      </c>
      <c r="AD27" s="148">
        <f t="shared" si="79"/>
        <v>27313.382930000029</v>
      </c>
      <c r="AE27" s="148">
        <f t="shared" si="79"/>
        <v>27339.152380000029</v>
      </c>
      <c r="AF27" s="148">
        <f t="shared" si="79"/>
        <v>27741.803530000027</v>
      </c>
      <c r="AG27" s="148">
        <f t="shared" si="80"/>
        <v>28232.120960000029</v>
      </c>
      <c r="AH27" s="148">
        <f t="shared" si="80"/>
        <v>27465.12311000003</v>
      </c>
      <c r="AI27" s="148">
        <f t="shared" si="80"/>
        <v>28290.587180000031</v>
      </c>
      <c r="AJ27" s="148">
        <f t="shared" si="81"/>
        <v>28901.90732000002</v>
      </c>
      <c r="AK27" s="148">
        <f t="shared" si="81"/>
        <v>32233.113430000027</v>
      </c>
      <c r="AL27" s="148">
        <f t="shared" si="81"/>
        <v>33243.859440000037</v>
      </c>
      <c r="AM27" s="148">
        <f t="shared" si="81"/>
        <v>38460.779159999925</v>
      </c>
      <c r="AN27" s="148">
        <f t="shared" si="81"/>
        <v>40277.661000000022</v>
      </c>
      <c r="AO27" s="148">
        <f t="shared" si="82"/>
        <v>41650.689870000031</v>
      </c>
      <c r="AP27" s="148">
        <f t="shared" si="82"/>
        <v>41372.933310000029</v>
      </c>
      <c r="AQ27" s="148">
        <f t="shared" si="82"/>
        <v>41111.304130000026</v>
      </c>
      <c r="AR27" s="148">
        <f t="shared" si="82"/>
        <v>41581.196170000032</v>
      </c>
      <c r="AS27" s="148">
        <f t="shared" si="82"/>
        <v>42283.512130000025</v>
      </c>
      <c r="AT27" s="148">
        <f t="shared" si="83"/>
        <v>45305.644160000025</v>
      </c>
      <c r="AU27" s="148">
        <f t="shared" si="83"/>
        <v>47854.05131000001</v>
      </c>
      <c r="AV27" s="148">
        <f t="shared" si="83"/>
        <v>50351.054180000036</v>
      </c>
      <c r="AW27" s="148">
        <f t="shared" si="84"/>
        <v>55188.573050000028</v>
      </c>
      <c r="AX27" s="148">
        <f t="shared" si="84"/>
        <v>61095.887420000014</v>
      </c>
      <c r="AY27" s="148">
        <f t="shared" si="84"/>
        <v>67951.437930000058</v>
      </c>
      <c r="AZ27" s="148">
        <f t="shared" si="85"/>
        <v>73276.946150000033</v>
      </c>
      <c r="BA27" s="148">
        <f t="shared" si="85"/>
        <v>77766.775460000077</v>
      </c>
      <c r="BB27" s="148">
        <f t="shared" si="85"/>
        <v>77616.196030000065</v>
      </c>
      <c r="BC27" s="148">
        <f t="shared" si="86"/>
        <v>78724.417460000055</v>
      </c>
      <c r="BD27" s="148">
        <f t="shared" si="86"/>
        <v>78387.803770000057</v>
      </c>
      <c r="BE27" s="148">
        <f t="shared" si="86"/>
        <v>85179.633390000046</v>
      </c>
      <c r="BF27" s="148">
        <f t="shared" si="87"/>
        <v>94875.422300000035</v>
      </c>
      <c r="BG27" s="148">
        <f t="shared" si="87"/>
        <v>102043.12678000004</v>
      </c>
      <c r="BH27" s="148">
        <f t="shared" si="87"/>
        <v>112401.05375000004</v>
      </c>
      <c r="BI27" s="148">
        <f t="shared" si="88"/>
        <v>123566.64983000004</v>
      </c>
      <c r="BJ27" s="148">
        <f t="shared" si="88"/>
        <v>129375.50838999996</v>
      </c>
      <c r="BK27" s="148">
        <f t="shared" si="88"/>
        <v>138102.68069000007</v>
      </c>
      <c r="BL27" s="148">
        <f t="shared" si="89"/>
        <v>137335.37406000003</v>
      </c>
      <c r="BM27" s="148">
        <f t="shared" si="89"/>
        <v>133876.15179</v>
      </c>
      <c r="BN27" s="148">
        <f t="shared" si="89"/>
        <v>128418.74950999999</v>
      </c>
      <c r="BO27" s="148">
        <f t="shared" si="90"/>
        <v>125235.07818000003</v>
      </c>
      <c r="BP27" s="148">
        <f t="shared" si="90"/>
        <v>130140.03162000004</v>
      </c>
      <c r="BQ27" s="148">
        <f t="shared" si="90"/>
        <v>131716.57907000007</v>
      </c>
      <c r="BR27" s="148">
        <f t="shared" si="91"/>
        <v>130572.88872000003</v>
      </c>
      <c r="BS27" s="148">
        <f t="shared" si="91"/>
        <v>130472.76350000003</v>
      </c>
      <c r="BT27" s="148">
        <f t="shared" si="91"/>
        <v>130550.42847000006</v>
      </c>
      <c r="BU27" s="148">
        <f t="shared" si="92"/>
        <v>137812.06981000007</v>
      </c>
      <c r="BV27" s="148">
        <f t="shared" si="92"/>
        <v>138720.17801000003</v>
      </c>
      <c r="BW27" s="148">
        <f t="shared" si="92"/>
        <v>142310.61187000005</v>
      </c>
      <c r="BX27" s="148">
        <f t="shared" si="93"/>
        <v>149964.20025000008</v>
      </c>
      <c r="BY27" s="148">
        <f>+BY36+BY48</f>
        <v>122590.62149000008</v>
      </c>
      <c r="BZ27" s="148">
        <f t="shared" si="93"/>
        <v>136822.90101999999</v>
      </c>
      <c r="CA27" s="148">
        <f t="shared" si="94"/>
        <v>135159.32068999996</v>
      </c>
      <c r="CB27" s="148">
        <f t="shared" si="94"/>
        <v>139589.23415</v>
      </c>
      <c r="CC27" s="148">
        <f t="shared" si="94"/>
        <v>140738.95239000002</v>
      </c>
      <c r="CD27" s="148">
        <f t="shared" ref="CD27:CE27" si="110">+CD36+CD48</f>
        <v>143678.07932000002</v>
      </c>
      <c r="CE27" s="148">
        <f t="shared" si="110"/>
        <v>149822.34126000002</v>
      </c>
      <c r="CF27" s="148">
        <f t="shared" ref="CF27:CG27" si="111">+CF36+CF48</f>
        <v>147656.37792000006</v>
      </c>
      <c r="CG27" s="148">
        <f t="shared" si="111"/>
        <v>153368.25054000007</v>
      </c>
      <c r="CH27" s="148">
        <f t="shared" ref="CH27:CI27" si="112">+CH36+CH48</f>
        <v>145635.29043000005</v>
      </c>
      <c r="CI27" s="148">
        <f t="shared" si="112"/>
        <v>148305.9376200001</v>
      </c>
      <c r="CJ27" s="148">
        <f t="shared" ref="CJ27:CK27" si="113">+CJ36+CJ48</f>
        <v>150180.38634000003</v>
      </c>
      <c r="CK27" s="148">
        <f t="shared" si="113"/>
        <v>147052.17886000001</v>
      </c>
      <c r="CL27" s="148">
        <f t="shared" ref="CL27:CM27" si="114">+CL36+CL48</f>
        <v>150522.11787000007</v>
      </c>
      <c r="CM27" s="148">
        <f t="shared" si="114"/>
        <v>152991.20423000015</v>
      </c>
      <c r="CN27" s="148">
        <f t="shared" ref="CN27:CO27" si="115">+CN36+CN48</f>
        <v>156005.99841000006</v>
      </c>
      <c r="CO27" s="148">
        <f t="shared" si="115"/>
        <v>166076.66121000014</v>
      </c>
      <c r="CP27" s="148">
        <f t="shared" ref="CP27:CQ27" si="116">+CP36+CP48</f>
        <v>165798.08122000014</v>
      </c>
      <c r="CQ27" s="148">
        <f t="shared" si="116"/>
        <v>175091.48240000007</v>
      </c>
      <c r="CR27" s="148">
        <f t="shared" ref="CR27:CS27" si="117">+CR36+CR48</f>
        <v>174895.90635000003</v>
      </c>
      <c r="CS27" s="148">
        <f t="shared" si="117"/>
        <v>177789.2844200001</v>
      </c>
      <c r="CT27" s="148">
        <f t="shared" ref="CT27" si="118">+CT36+CT48</f>
        <v>175529.74177000002</v>
      </c>
      <c r="CU27" s="148">
        <f t="shared" ref="CU27:CY27" si="119">+CU36+CU48</f>
        <v>178765.62388000006</v>
      </c>
      <c r="CV27" s="148">
        <f t="shared" si="119"/>
        <v>179701.82905999999</v>
      </c>
      <c r="CW27" s="148">
        <f t="shared" si="119"/>
        <v>179644.62468000007</v>
      </c>
      <c r="CX27" s="148">
        <f t="shared" si="119"/>
        <v>170196.08653000015</v>
      </c>
      <c r="CY27" s="148">
        <f t="shared" si="119"/>
        <v>162034.27651000014</v>
      </c>
      <c r="CZ27" s="148">
        <f>+CZ36+CZ48</f>
        <v>163381.22995000015</v>
      </c>
      <c r="DA27" s="148">
        <f>+DA36+DA48</f>
        <v>169864.92903000009</v>
      </c>
      <c r="DB27" s="148">
        <f t="shared" si="107"/>
        <v>172396.61689000018</v>
      </c>
      <c r="DC27" s="148">
        <f t="shared" si="107"/>
        <v>168726.98660000009</v>
      </c>
      <c r="DD27" s="148">
        <f t="shared" si="107"/>
        <v>162595.44131000002</v>
      </c>
      <c r="DE27" s="148">
        <f t="shared" ref="DE27:DF27" si="120">+DE36+DE48</f>
        <v>165911.51416000011</v>
      </c>
      <c r="DF27" s="148">
        <f t="shared" si="120"/>
        <v>160791.65113000016</v>
      </c>
      <c r="DG27" s="148">
        <f t="shared" ref="DG27" si="121">+DG36+DG48</f>
        <v>170337.71684999991</v>
      </c>
    </row>
    <row r="28" spans="1:112" ht="25.5" customHeight="1">
      <c r="A28" s="773"/>
      <c r="B28" s="774"/>
      <c r="C28" s="258" t="s">
        <v>61</v>
      </c>
      <c r="D28" s="259">
        <f t="shared" ref="D28:Q28" si="122">+D27/D32</f>
        <v>1.8200416854948647E-2</v>
      </c>
      <c r="E28" s="259">
        <f t="shared" si="122"/>
        <v>1.8755722296995049E-2</v>
      </c>
      <c r="F28" s="259">
        <f t="shared" si="122"/>
        <v>1.8031117492845038E-2</v>
      </c>
      <c r="G28" s="259">
        <f t="shared" si="122"/>
        <v>1.768024129470927E-2</v>
      </c>
      <c r="H28" s="259">
        <f t="shared" si="122"/>
        <v>1.8359105125535277E-2</v>
      </c>
      <c r="I28" s="259">
        <f t="shared" si="122"/>
        <v>1.7965921105781789E-2</v>
      </c>
      <c r="J28" s="259">
        <f t="shared" si="122"/>
        <v>1.7600189967786149E-2</v>
      </c>
      <c r="K28" s="260">
        <f t="shared" si="122"/>
        <v>1.8092059066290047E-2</v>
      </c>
      <c r="L28" s="260">
        <f t="shared" si="122"/>
        <v>1.7090991807651723E-2</v>
      </c>
      <c r="M28" s="260">
        <f t="shared" si="122"/>
        <v>1.7823421285767527E-2</v>
      </c>
      <c r="N28" s="260">
        <f t="shared" si="122"/>
        <v>1.7147015105344807E-2</v>
      </c>
      <c r="O28" s="260">
        <f t="shared" si="122"/>
        <v>1.6554311296288472E-2</v>
      </c>
      <c r="P28" s="260">
        <f t="shared" si="122"/>
        <v>1.6779046254980428E-2</v>
      </c>
      <c r="Q28" s="260">
        <f t="shared" si="122"/>
        <v>1.8101380390899174E-2</v>
      </c>
      <c r="R28" s="260">
        <f t="shared" ref="R28:W28" si="123">+R27/R32</f>
        <v>1.8198780640368641E-2</v>
      </c>
      <c r="S28" s="260">
        <f t="shared" si="123"/>
        <v>1.8125727442762158E-2</v>
      </c>
      <c r="T28" s="260">
        <f t="shared" si="123"/>
        <v>1.7607236039097935E-2</v>
      </c>
      <c r="U28" s="260">
        <f t="shared" si="123"/>
        <v>1.7600988725465252E-2</v>
      </c>
      <c r="V28" s="260">
        <f t="shared" si="123"/>
        <v>1.7231850957480283E-2</v>
      </c>
      <c r="W28" s="260">
        <f t="shared" si="123"/>
        <v>1.6776063250454529E-2</v>
      </c>
      <c r="X28" s="260">
        <f t="shared" ref="X28:AC28" si="124">+X27/X32</f>
        <v>1.6330506429281463E-2</v>
      </c>
      <c r="Y28" s="260">
        <f t="shared" si="124"/>
        <v>1.8017950948423119E-2</v>
      </c>
      <c r="Z28" s="260">
        <f t="shared" si="124"/>
        <v>1.8374717522995777E-2</v>
      </c>
      <c r="AA28" s="260">
        <f t="shared" si="124"/>
        <v>1.9244426401277385E-2</v>
      </c>
      <c r="AB28" s="260">
        <f t="shared" si="124"/>
        <v>1.8504932895768492E-2</v>
      </c>
      <c r="AC28" s="260">
        <f t="shared" si="124"/>
        <v>1.8426940355529924E-2</v>
      </c>
      <c r="AD28" s="260">
        <f t="shared" ref="AD28:AI28" si="125">+AD27/AD32</f>
        <v>1.8036165264799391E-2</v>
      </c>
      <c r="AE28" s="260">
        <f t="shared" si="125"/>
        <v>1.7519572323637808E-2</v>
      </c>
      <c r="AF28" s="260">
        <f t="shared" si="125"/>
        <v>1.7132900180181137E-2</v>
      </c>
      <c r="AG28" s="260">
        <f t="shared" si="125"/>
        <v>1.6823421153372521E-2</v>
      </c>
      <c r="AH28" s="260">
        <f t="shared" si="125"/>
        <v>1.5737345835493705E-2</v>
      </c>
      <c r="AI28" s="260">
        <f t="shared" si="125"/>
        <v>1.5638939306252878E-2</v>
      </c>
      <c r="AJ28" s="260">
        <f t="shared" ref="AJ28:AO28" si="126">+AJ27/AJ32</f>
        <v>1.5314538069290146E-2</v>
      </c>
      <c r="AK28" s="260">
        <f t="shared" si="126"/>
        <v>1.5285963945419831E-2</v>
      </c>
      <c r="AL28" s="260">
        <f t="shared" si="126"/>
        <v>1.6265020934499823E-2</v>
      </c>
      <c r="AM28" s="260">
        <f t="shared" si="126"/>
        <v>1.8122258213700185E-2</v>
      </c>
      <c r="AN28" s="260">
        <f t="shared" si="126"/>
        <v>1.8251165186629052E-2</v>
      </c>
      <c r="AO28" s="260">
        <f t="shared" si="126"/>
        <v>1.8113635642522007E-2</v>
      </c>
      <c r="AP28" s="260">
        <f t="shared" ref="AP28:AU28" si="127">+AP27/AP32</f>
        <v>1.7333784180738106E-2</v>
      </c>
      <c r="AQ28" s="260">
        <f t="shared" si="127"/>
        <v>1.663716451766592E-2</v>
      </c>
      <c r="AR28" s="260">
        <f t="shared" si="127"/>
        <v>1.6077725953029993E-2</v>
      </c>
      <c r="AS28" s="260">
        <f t="shared" si="127"/>
        <v>1.5613332518427428E-2</v>
      </c>
      <c r="AT28" s="260">
        <f t="shared" si="127"/>
        <v>1.5916644450630291E-2</v>
      </c>
      <c r="AU28" s="260">
        <f t="shared" si="127"/>
        <v>1.6066225623763069E-2</v>
      </c>
      <c r="AV28" s="260">
        <f t="shared" ref="AV28:BB28" si="128">+AV27/AV32</f>
        <v>1.6304699136230286E-2</v>
      </c>
      <c r="AW28" s="260">
        <f t="shared" si="128"/>
        <v>1.7267250193244477E-2</v>
      </c>
      <c r="AX28" s="260">
        <f t="shared" si="128"/>
        <v>1.8554986521787258E-2</v>
      </c>
      <c r="AY28" s="260">
        <f t="shared" si="128"/>
        <v>1.9891774882033478E-2</v>
      </c>
      <c r="AZ28" s="260">
        <f t="shared" si="128"/>
        <v>2.0899604151960124E-2</v>
      </c>
      <c r="BA28" s="260">
        <f t="shared" si="128"/>
        <v>2.1821728779289465E-2</v>
      </c>
      <c r="BB28" s="260">
        <f t="shared" si="128"/>
        <v>2.1355820262734467E-2</v>
      </c>
      <c r="BC28" s="260">
        <f t="shared" ref="BC28:BI28" si="129">+BC27/BC32</f>
        <v>2.1042360042397162E-2</v>
      </c>
      <c r="BD28" s="260">
        <f t="shared" si="129"/>
        <v>2.0398793498477074E-2</v>
      </c>
      <c r="BE28" s="260">
        <f t="shared" si="129"/>
        <v>2.1633575672985732E-2</v>
      </c>
      <c r="BF28" s="260">
        <f t="shared" si="129"/>
        <v>2.3442480858826831E-2</v>
      </c>
      <c r="BG28" s="260">
        <f t="shared" si="129"/>
        <v>2.4578960987698541E-2</v>
      </c>
      <c r="BH28" s="260">
        <f t="shared" si="129"/>
        <v>2.6541016386370301E-2</v>
      </c>
      <c r="BI28" s="260">
        <f t="shared" si="129"/>
        <v>2.8574481721569397E-2</v>
      </c>
      <c r="BJ28" s="260">
        <f t="shared" ref="BJ28:BP28" si="130">+BJ27/BJ32</f>
        <v>2.9453366841834135E-2</v>
      </c>
      <c r="BK28" s="260">
        <f t="shared" si="130"/>
        <v>3.0704672086766142E-2</v>
      </c>
      <c r="BL28" s="260">
        <f t="shared" si="130"/>
        <v>3.009418212706521E-2</v>
      </c>
      <c r="BM28" s="260">
        <f t="shared" si="130"/>
        <v>2.897742971713833E-2</v>
      </c>
      <c r="BN28" s="260">
        <f t="shared" si="130"/>
        <v>2.761937906785884E-2</v>
      </c>
      <c r="BO28" s="260">
        <f t="shared" si="130"/>
        <v>2.6536958443348038E-2</v>
      </c>
      <c r="BP28" s="260">
        <f t="shared" si="130"/>
        <v>2.7410172216159618E-2</v>
      </c>
      <c r="BQ28" s="260">
        <f t="shared" ref="BQ28:BV28" si="131">+BQ27/BQ32</f>
        <v>2.7370155890791146E-2</v>
      </c>
      <c r="BR28" s="260">
        <f t="shared" si="131"/>
        <v>2.6670354912611421E-2</v>
      </c>
      <c r="BS28" s="260">
        <f t="shared" si="131"/>
        <v>2.6199852523329559E-2</v>
      </c>
      <c r="BT28" s="260">
        <f t="shared" si="131"/>
        <v>2.5847820841913994E-2</v>
      </c>
      <c r="BU28" s="260">
        <f t="shared" si="131"/>
        <v>2.6844780792145775E-2</v>
      </c>
      <c r="BV28" s="260">
        <f t="shared" si="131"/>
        <v>2.6590121724566346E-2</v>
      </c>
      <c r="BW28" s="260">
        <f t="shared" ref="BW28:CB28" si="132">+BW27/BW32</f>
        <v>2.6825752297428299E-2</v>
      </c>
      <c r="BX28" s="260">
        <f t="shared" si="132"/>
        <v>2.777999212799747E-2</v>
      </c>
      <c r="BY28" s="285">
        <f>+BY27/BY32</f>
        <v>2.2417403388764526E-2</v>
      </c>
      <c r="BZ28" s="260">
        <f t="shared" si="132"/>
        <v>2.4684632416561641E-2</v>
      </c>
      <c r="CA28" s="260">
        <f t="shared" si="132"/>
        <v>2.3951020597799279E-2</v>
      </c>
      <c r="CB28" s="260">
        <f t="shared" si="132"/>
        <v>2.4352025489077073E-2</v>
      </c>
      <c r="CC28" s="260">
        <f t="shared" ref="CC28:CH28" si="133">+CC27/CC32</f>
        <v>2.4162375364841848E-2</v>
      </c>
      <c r="CD28" s="260">
        <f t="shared" si="133"/>
        <v>2.428673860068405E-2</v>
      </c>
      <c r="CE28" s="260">
        <f t="shared" si="133"/>
        <v>2.5073693421358532E-2</v>
      </c>
      <c r="CF28" s="260">
        <f t="shared" si="133"/>
        <v>2.4326592427252842E-2</v>
      </c>
      <c r="CG28" s="260">
        <f t="shared" si="133"/>
        <v>2.4914412009920849E-2</v>
      </c>
      <c r="CH28" s="260">
        <f t="shared" si="133"/>
        <v>2.3268590591834119E-2</v>
      </c>
      <c r="CI28" s="260">
        <f t="shared" ref="CI28:CJ28" si="134">+CI27/CI32</f>
        <v>2.3312391075625192E-2</v>
      </c>
      <c r="CJ28" s="260">
        <f t="shared" si="134"/>
        <v>2.3338314267882507E-2</v>
      </c>
      <c r="CK28" s="260">
        <f t="shared" ref="CK28:CL28" si="135">+CK27/CK32</f>
        <v>2.2553172413890609E-2</v>
      </c>
      <c r="CL28" s="260">
        <f t="shared" si="135"/>
        <v>2.2837881454320193E-2</v>
      </c>
      <c r="CM28" s="260">
        <f t="shared" ref="CM28:CN28" si="136">+CM27/CM32</f>
        <v>2.288766310287503E-2</v>
      </c>
      <c r="CN28" s="260">
        <f t="shared" si="136"/>
        <v>2.3095957551603229E-2</v>
      </c>
      <c r="CO28" s="260">
        <f t="shared" ref="CO28:CP28" si="137">+CO27/CO32</f>
        <v>2.4308395535242368E-2</v>
      </c>
      <c r="CP28" s="260">
        <f t="shared" si="137"/>
        <v>2.3987394675626779E-2</v>
      </c>
      <c r="CQ28" s="260">
        <f t="shared" ref="CQ28:CR28" si="138">+CQ27/CQ32</f>
        <v>2.5105603804618886E-2</v>
      </c>
      <c r="CR28" s="260">
        <f t="shared" si="138"/>
        <v>2.4819330917325896E-2</v>
      </c>
      <c r="CS28" s="260">
        <f t="shared" ref="CS28:CT28" si="139">+CS27/CS32</f>
        <v>2.5079937413029808E-2</v>
      </c>
      <c r="CT28" s="260">
        <f t="shared" si="139"/>
        <v>2.4597058470805701E-2</v>
      </c>
      <c r="CU28" s="260">
        <f t="shared" ref="CU28:CZ28" si="140">+CU27/CU32</f>
        <v>2.4817518913886755E-2</v>
      </c>
      <c r="CV28" s="260">
        <f t="shared" si="140"/>
        <v>2.4895417468531317E-2</v>
      </c>
      <c r="CW28" s="260">
        <f t="shared" si="140"/>
        <v>2.4677841379556149E-2</v>
      </c>
      <c r="CX28" s="260">
        <f t="shared" si="140"/>
        <v>2.3253594050607382E-2</v>
      </c>
      <c r="CY28" s="260">
        <f t="shared" si="140"/>
        <v>2.1952867281210004E-2</v>
      </c>
      <c r="CZ28" s="260">
        <f t="shared" si="140"/>
        <v>2.1899399953708057E-2</v>
      </c>
      <c r="DA28" s="260">
        <f t="shared" ref="DA28:DE28" si="141">+DA27/DA32</f>
        <v>2.2624195368980506E-2</v>
      </c>
      <c r="DB28" s="260">
        <f t="shared" si="141"/>
        <v>2.2757408435077304E-2</v>
      </c>
      <c r="DC28" s="260">
        <f t="shared" si="141"/>
        <v>2.191145079372904E-2</v>
      </c>
      <c r="DD28" s="260">
        <f t="shared" si="141"/>
        <v>2.0699346175722975E-2</v>
      </c>
      <c r="DE28" s="260">
        <f t="shared" si="141"/>
        <v>2.077593067458831E-2</v>
      </c>
      <c r="DF28" s="260">
        <f>+DF27/DF32</f>
        <v>1.9689386971771146E-2</v>
      </c>
      <c r="DG28" s="260">
        <f>+DG27/DG32</f>
        <v>2.0490245394679113E-2</v>
      </c>
    </row>
    <row r="29" spans="1:112" ht="25.5" customHeight="1">
      <c r="A29" s="773"/>
      <c r="B29" s="774"/>
      <c r="C29" s="149" t="s">
        <v>59</v>
      </c>
      <c r="D29" s="150">
        <f t="shared" ref="D29:Q30" si="142">+D38+D50</f>
        <v>915019.54244999995</v>
      </c>
      <c r="E29" s="150">
        <f t="shared" si="142"/>
        <v>917104.65898999979</v>
      </c>
      <c r="F29" s="150">
        <f t="shared" si="142"/>
        <v>922189.15385999985</v>
      </c>
      <c r="G29" s="150">
        <f t="shared" si="142"/>
        <v>912486.29295999999</v>
      </c>
      <c r="H29" s="150">
        <f t="shared" si="142"/>
        <v>910479.60719999997</v>
      </c>
      <c r="I29" s="150">
        <f t="shared" si="142"/>
        <v>909032.32520000008</v>
      </c>
      <c r="J29" s="150">
        <f t="shared" si="142"/>
        <v>917842.09853999992</v>
      </c>
      <c r="K29" s="151">
        <f t="shared" si="142"/>
        <v>914439.46432000003</v>
      </c>
      <c r="L29" s="151">
        <f t="shared" si="142"/>
        <v>931093.74131999991</v>
      </c>
      <c r="M29" s="151">
        <f t="shared" si="142"/>
        <v>961016.53232000023</v>
      </c>
      <c r="N29" s="151">
        <f t="shared" si="142"/>
        <v>977380.60973999975</v>
      </c>
      <c r="O29" s="151">
        <f t="shared" si="142"/>
        <v>1004800.4017700001</v>
      </c>
      <c r="P29" s="151">
        <f t="shared" si="142"/>
        <v>1031253.2005500001</v>
      </c>
      <c r="Q29" s="151">
        <f t="shared" si="142"/>
        <v>1055701.57996</v>
      </c>
      <c r="R29" s="151">
        <f t="shared" ref="R29:T30" si="143">+R38+R50</f>
        <v>1075349.4717000001</v>
      </c>
      <c r="S29" s="151">
        <f t="shared" si="143"/>
        <v>1085149.48765</v>
      </c>
      <c r="T29" s="151">
        <f t="shared" si="143"/>
        <v>1113358.6610599998</v>
      </c>
      <c r="U29" s="255">
        <f t="shared" ref="U29:W30" si="144">+U38+U50</f>
        <v>1149491.2423</v>
      </c>
      <c r="V29" s="255">
        <f t="shared" si="144"/>
        <v>1181954.5533499997</v>
      </c>
      <c r="W29" s="255">
        <f t="shared" si="144"/>
        <v>1212295.40588</v>
      </c>
      <c r="X29" s="255">
        <f t="shared" ref="X29:Z30" si="145">+X38+X50</f>
        <v>1259730.7669800001</v>
      </c>
      <c r="Y29" s="255">
        <f t="shared" si="145"/>
        <v>1302234.4915100001</v>
      </c>
      <c r="Z29" s="255">
        <f t="shared" si="145"/>
        <v>1322903.7461999999</v>
      </c>
      <c r="AA29" s="255">
        <f t="shared" ref="AA29:AC30" si="146">+AA38+AA50</f>
        <v>1355521.0900300001</v>
      </c>
      <c r="AB29" s="255">
        <f t="shared" si="146"/>
        <v>1380262.8125299998</v>
      </c>
      <c r="AC29" s="255">
        <f t="shared" si="146"/>
        <v>1410503.32779</v>
      </c>
      <c r="AD29" s="255">
        <f t="shared" ref="AD29:AF30" si="147">+AD38+AD50</f>
        <v>1439239.41692</v>
      </c>
      <c r="AE29" s="255">
        <f t="shared" si="147"/>
        <v>1477331.79473</v>
      </c>
      <c r="AF29" s="255">
        <f t="shared" si="147"/>
        <v>1531871.9641100003</v>
      </c>
      <c r="AG29" s="255">
        <f t="shared" ref="AG29:AI30" si="148">+AG38+AG50</f>
        <v>1581915.1016300002</v>
      </c>
      <c r="AH29" s="255">
        <f t="shared" si="148"/>
        <v>1648447.5077199999</v>
      </c>
      <c r="AI29" s="255">
        <f t="shared" si="148"/>
        <v>1711199.2546899999</v>
      </c>
      <c r="AJ29" s="255">
        <f t="shared" ref="AJ29:AN30" si="149">+AJ38+AJ50</f>
        <v>1795911.1565700001</v>
      </c>
      <c r="AK29" s="255">
        <f t="shared" si="149"/>
        <v>1873066.43239</v>
      </c>
      <c r="AL29" s="255">
        <f t="shared" si="149"/>
        <v>1946680.8883499999</v>
      </c>
      <c r="AM29" s="255">
        <f t="shared" si="149"/>
        <v>2029217.5958400001</v>
      </c>
      <c r="AN29" s="255">
        <f t="shared" si="149"/>
        <v>2098189.7286399999</v>
      </c>
      <c r="AO29" s="255">
        <f t="shared" ref="AO29:AS30" si="150">+AO38+AO50</f>
        <v>2187079.8684800002</v>
      </c>
      <c r="AP29" s="255">
        <f t="shared" si="150"/>
        <v>2278638.87989</v>
      </c>
      <c r="AQ29" s="255">
        <f t="shared" si="150"/>
        <v>2348474.0025800001</v>
      </c>
      <c r="AR29" s="255">
        <f t="shared" si="150"/>
        <v>2473920.6344999997</v>
      </c>
      <c r="AS29" s="255">
        <f t="shared" si="150"/>
        <v>2581715.0257300008</v>
      </c>
      <c r="AT29" s="255">
        <f t="shared" ref="AT29:AV30" si="151">+AT38+AT50</f>
        <v>2711270.5717200004</v>
      </c>
      <c r="AU29" s="255">
        <f t="shared" si="151"/>
        <v>2853895.7620399999</v>
      </c>
      <c r="AV29" s="255">
        <f t="shared" si="151"/>
        <v>2967787.8083000001</v>
      </c>
      <c r="AW29" s="255">
        <f t="shared" ref="AW29:AY30" si="152">+AW38+AW50</f>
        <v>3072339.4390599998</v>
      </c>
      <c r="AX29" s="255">
        <f t="shared" si="152"/>
        <v>3170580.37317</v>
      </c>
      <c r="AY29" s="255">
        <f t="shared" si="152"/>
        <v>3273412.2179700001</v>
      </c>
      <c r="AZ29" s="255">
        <f t="shared" ref="AZ29:BB30" si="153">+AZ38+AZ50</f>
        <v>3372864.9701299998</v>
      </c>
      <c r="BA29" s="255">
        <f t="shared" si="153"/>
        <v>3439258.4741599998</v>
      </c>
      <c r="BB29" s="255">
        <f t="shared" si="153"/>
        <v>3491374.6339500002</v>
      </c>
      <c r="BC29" s="255">
        <f t="shared" ref="BC29:BE30" si="154">+BC38+BC50</f>
        <v>3553386.3580899998</v>
      </c>
      <c r="BD29" s="255">
        <f t="shared" si="154"/>
        <v>3663972.2949300008</v>
      </c>
      <c r="BE29" s="255">
        <f t="shared" si="154"/>
        <v>3746036.0565599999</v>
      </c>
      <c r="BF29" s="255">
        <f t="shared" ref="BF29:BH30" si="155">+BF38+BF50</f>
        <v>3836295.23367</v>
      </c>
      <c r="BG29" s="255">
        <f t="shared" si="155"/>
        <v>3931048.5929800002</v>
      </c>
      <c r="BH29" s="255">
        <f t="shared" si="155"/>
        <v>4020374.7696300009</v>
      </c>
      <c r="BI29" s="255">
        <f t="shared" ref="BI29:BK30" si="156">+BI38+BI50</f>
        <v>4098886.6505899997</v>
      </c>
      <c r="BJ29" s="255">
        <f t="shared" si="156"/>
        <v>4167313.5686699999</v>
      </c>
      <c r="BK29" s="255">
        <f t="shared" si="156"/>
        <v>4264916.4293999998</v>
      </c>
      <c r="BL29" s="255">
        <f t="shared" ref="BL29:BN30" si="157">+BL38+BL50</f>
        <v>4339767.6534999991</v>
      </c>
      <c r="BM29" s="255">
        <f t="shared" si="157"/>
        <v>4399285.0981899993</v>
      </c>
      <c r="BN29" s="255">
        <f t="shared" si="157"/>
        <v>4399216.6459499998</v>
      </c>
      <c r="BO29" s="255">
        <f t="shared" ref="BO29:BQ30" si="158">+BO38+BO50</f>
        <v>4413132.0986099998</v>
      </c>
      <c r="BP29" s="255">
        <f t="shared" si="158"/>
        <v>4502969.9708899995</v>
      </c>
      <c r="BQ29" s="255">
        <f t="shared" si="158"/>
        <v>4541114.0338499993</v>
      </c>
      <c r="BR29" s="255">
        <f t="shared" ref="BR29:BT30" si="159">+BR38+BR50</f>
        <v>4625375.6483599991</v>
      </c>
      <c r="BS29" s="255">
        <f t="shared" si="159"/>
        <v>4706246.4083399996</v>
      </c>
      <c r="BT29" s="255">
        <f t="shared" si="159"/>
        <v>4775749.6981300004</v>
      </c>
      <c r="BU29" s="255">
        <f t="shared" ref="BU29:BW30" si="160">+BU38+BU50</f>
        <v>4866816.91371</v>
      </c>
      <c r="BV29" s="255">
        <f t="shared" si="160"/>
        <v>4928609.0918399999</v>
      </c>
      <c r="BW29" s="255">
        <f t="shared" si="160"/>
        <v>5027886.1191100003</v>
      </c>
      <c r="BX29" s="255">
        <f t="shared" ref="BX29:BZ30" si="161">+BX38+BX50</f>
        <v>5058704.0532999998</v>
      </c>
      <c r="BY29" s="286">
        <f>+BY38+BY50</f>
        <v>5185384.8024199996</v>
      </c>
      <c r="BZ29" s="255">
        <f t="shared" si="161"/>
        <v>5277886.6183700003</v>
      </c>
      <c r="CA29" s="255">
        <f t="shared" ref="CA29:CC30" si="162">+CA38+CA50</f>
        <v>5335256.2291299999</v>
      </c>
      <c r="CB29" s="255">
        <f t="shared" si="162"/>
        <v>5418748.8715999993</v>
      </c>
      <c r="CC29" s="255">
        <f t="shared" si="162"/>
        <v>5499348.3040700015</v>
      </c>
      <c r="CD29" s="255">
        <f t="shared" ref="CD29:CE29" si="163">+CD38+CD50</f>
        <v>5592058.8479699995</v>
      </c>
      <c r="CE29" s="255">
        <f t="shared" si="163"/>
        <v>5663128.9395299992</v>
      </c>
      <c r="CF29" s="255">
        <f t="shared" ref="CF29:CG29" si="164">+CF38+CF50</f>
        <v>5743879.1400000006</v>
      </c>
      <c r="CG29" s="255">
        <f t="shared" si="164"/>
        <v>5917683.5996899996</v>
      </c>
      <c r="CH29" s="255">
        <f t="shared" ref="CH29:CI29" si="165">+CH38+CH50</f>
        <v>5910920.8183899997</v>
      </c>
      <c r="CI29" s="255">
        <f t="shared" si="165"/>
        <v>6038350.5558900004</v>
      </c>
      <c r="CJ29" s="255">
        <f t="shared" ref="CJ29:CK29" si="166">+CJ38+CJ50</f>
        <v>6110083.4711900009</v>
      </c>
      <c r="CK29" s="255">
        <f t="shared" si="166"/>
        <v>6181914.0187099995</v>
      </c>
      <c r="CL29" s="255">
        <f t="shared" ref="CL29:CM29" si="167">+CL38+CL50</f>
        <v>6258638.6270899996</v>
      </c>
      <c r="CM29" s="255">
        <f t="shared" si="167"/>
        <v>6299893.8693300001</v>
      </c>
      <c r="CN29" s="255">
        <f t="shared" ref="CN29:CO29" si="168">+CN38+CN50</f>
        <v>6407218.40099</v>
      </c>
      <c r="CO29" s="255">
        <f t="shared" si="168"/>
        <v>6457150.8812299995</v>
      </c>
      <c r="CP29" s="255">
        <f t="shared" ref="CP29:CQ29" si="169">+CP38+CP50</f>
        <v>6570095.5630200002</v>
      </c>
      <c r="CQ29" s="255">
        <f t="shared" si="169"/>
        <v>6618465.8110900009</v>
      </c>
      <c r="CR29" s="255">
        <f t="shared" ref="CR29:CS29" si="170">+CR38+CR50</f>
        <v>6693970.9424900003</v>
      </c>
      <c r="CS29" s="255">
        <f t="shared" si="170"/>
        <v>6743843.3635199992</v>
      </c>
      <c r="CT29" s="255">
        <f t="shared" ref="CT29" si="171">+CT38+CT50</f>
        <v>6794183.3402699996</v>
      </c>
      <c r="CU29" s="255">
        <f t="shared" ref="CU29:CZ29" si="172">+CU38+CU50</f>
        <v>6868766.3968600007</v>
      </c>
      <c r="CV29" s="255">
        <f t="shared" si="172"/>
        <v>6884405.5043400005</v>
      </c>
      <c r="CW29" s="255">
        <f t="shared" si="172"/>
        <v>6871188.7433600016</v>
      </c>
      <c r="CX29" s="255">
        <f t="shared" si="172"/>
        <v>6924971.1488999994</v>
      </c>
      <c r="CY29" s="255">
        <f t="shared" si="172"/>
        <v>6942059.6523399996</v>
      </c>
      <c r="CZ29" s="255">
        <f t="shared" si="172"/>
        <v>7012142.4252399988</v>
      </c>
      <c r="DA29" s="255">
        <f t="shared" ref="DA29" si="173">+DA38+DA50</f>
        <v>7075604.0133600011</v>
      </c>
      <c r="DB29" s="255">
        <f t="shared" ref="DB29:DG29" si="174">+DB38+DB50</f>
        <v>7124307.5570800006</v>
      </c>
      <c r="DC29" s="255">
        <f t="shared" si="174"/>
        <v>7152758.557190001</v>
      </c>
      <c r="DD29" s="255">
        <f t="shared" si="174"/>
        <v>7280983.2690500002</v>
      </c>
      <c r="DE29" s="255">
        <f t="shared" si="174"/>
        <v>7418614.4448100002</v>
      </c>
      <c r="DF29" s="255">
        <f t="shared" si="174"/>
        <v>7533098.7528800005</v>
      </c>
      <c r="DG29" s="255">
        <f t="shared" si="174"/>
        <v>7725305.5665999986</v>
      </c>
    </row>
    <row r="30" spans="1:112" s="113" customFormat="1" ht="25.5" customHeight="1">
      <c r="A30" s="773"/>
      <c r="B30" s="774"/>
      <c r="C30" s="152" t="s">
        <v>66</v>
      </c>
      <c r="D30" s="153">
        <f t="shared" si="142"/>
        <v>37611.230689999211</v>
      </c>
      <c r="E30" s="153">
        <f t="shared" si="142"/>
        <v>44531.366240000207</v>
      </c>
      <c r="F30" s="153">
        <f t="shared" si="142"/>
        <v>38143.410489999282</v>
      </c>
      <c r="G30" s="153">
        <f t="shared" si="142"/>
        <v>40271.973129998922</v>
      </c>
      <c r="H30" s="153">
        <f t="shared" si="142"/>
        <v>34160.322219999973</v>
      </c>
      <c r="I30" s="153">
        <f t="shared" si="142"/>
        <v>35895.468930000061</v>
      </c>
      <c r="J30" s="153">
        <f t="shared" si="142"/>
        <v>35171.692260000098</v>
      </c>
      <c r="K30" s="154">
        <f t="shared" si="142"/>
        <v>47295.180490000115</v>
      </c>
      <c r="L30" s="154">
        <f t="shared" si="142"/>
        <v>51046.12914000015</v>
      </c>
      <c r="M30" s="154">
        <f t="shared" si="142"/>
        <v>41812.714849999815</v>
      </c>
      <c r="N30" s="154">
        <f t="shared" si="142"/>
        <v>50299.25884000017</v>
      </c>
      <c r="O30" s="154">
        <f t="shared" si="142"/>
        <v>49390.168749999895</v>
      </c>
      <c r="P30" s="154">
        <f t="shared" si="142"/>
        <v>53766.809129999892</v>
      </c>
      <c r="Q30" s="154">
        <f t="shared" si="142"/>
        <v>56818.324329999916</v>
      </c>
      <c r="R30" s="154">
        <f t="shared" si="143"/>
        <v>50556.622499999998</v>
      </c>
      <c r="S30" s="154">
        <f t="shared" si="143"/>
        <v>54977.190590000217</v>
      </c>
      <c r="T30" s="154">
        <f t="shared" si="143"/>
        <v>65850.361520000151</v>
      </c>
      <c r="U30" s="256">
        <f t="shared" si="144"/>
        <v>62222.603590000101</v>
      </c>
      <c r="V30" s="256">
        <f t="shared" si="144"/>
        <v>61291.298350000463</v>
      </c>
      <c r="W30" s="256">
        <f t="shared" si="144"/>
        <v>70766.312989999715</v>
      </c>
      <c r="X30" s="256">
        <f t="shared" si="145"/>
        <v>76521.531409999938</v>
      </c>
      <c r="Y30" s="256">
        <f t="shared" si="145"/>
        <v>69207.697490000166</v>
      </c>
      <c r="Z30" s="256">
        <f t="shared" si="145"/>
        <v>75272.447139999946</v>
      </c>
      <c r="AA30" s="256">
        <f t="shared" si="146"/>
        <v>69105.966049999755</v>
      </c>
      <c r="AB30" s="256">
        <f t="shared" si="146"/>
        <v>71645.671079999651</v>
      </c>
      <c r="AC30" s="256">
        <f t="shared" si="146"/>
        <v>77356.11176</v>
      </c>
      <c r="AD30" s="256">
        <f t="shared" si="147"/>
        <v>75128.106830000645</v>
      </c>
      <c r="AE30" s="256">
        <f t="shared" si="147"/>
        <v>83160.201020000095</v>
      </c>
      <c r="AF30" s="256">
        <f t="shared" si="147"/>
        <v>87340.383959999774</v>
      </c>
      <c r="AG30" s="256">
        <f t="shared" si="148"/>
        <v>96228.761179999972</v>
      </c>
      <c r="AH30" s="256">
        <f t="shared" si="148"/>
        <v>96772.010049999226</v>
      </c>
      <c r="AI30" s="256">
        <f t="shared" si="148"/>
        <v>97784.50220000057</v>
      </c>
      <c r="AJ30" s="256">
        <f t="shared" si="149"/>
        <v>91309.155869999842</v>
      </c>
      <c r="AK30" s="256">
        <f t="shared" si="149"/>
        <v>235607.48213000048</v>
      </c>
      <c r="AL30" s="256">
        <f t="shared" si="149"/>
        <v>97205.779480000143</v>
      </c>
      <c r="AM30" s="256">
        <f t="shared" si="149"/>
        <v>93077.468410000205</v>
      </c>
      <c r="AN30" s="256">
        <f t="shared" si="149"/>
        <v>108664.49618000002</v>
      </c>
      <c r="AO30" s="256">
        <f t="shared" si="150"/>
        <v>112330.95615999994</v>
      </c>
      <c r="AP30" s="256">
        <f t="shared" si="150"/>
        <v>108199.03608999966</v>
      </c>
      <c r="AQ30" s="256">
        <f t="shared" si="150"/>
        <v>122578.32646000042</v>
      </c>
      <c r="AR30" s="256">
        <f t="shared" si="150"/>
        <v>112340.40089000051</v>
      </c>
      <c r="AS30" s="256">
        <f t="shared" si="150"/>
        <v>126451.98986999865</v>
      </c>
      <c r="AT30" s="256">
        <f t="shared" si="151"/>
        <v>135161.30659000028</v>
      </c>
      <c r="AU30" s="256">
        <f t="shared" si="151"/>
        <v>124653.92540000001</v>
      </c>
      <c r="AV30" s="256">
        <f t="shared" si="151"/>
        <v>120343.64137000032</v>
      </c>
      <c r="AW30" s="256">
        <f t="shared" si="152"/>
        <v>123801.95185999916</v>
      </c>
      <c r="AX30" s="256">
        <f t="shared" si="152"/>
        <v>122113.33739999967</v>
      </c>
      <c r="AY30" s="256">
        <f t="shared" si="152"/>
        <v>142644.83741999994</v>
      </c>
      <c r="AZ30" s="256">
        <f t="shared" si="153"/>
        <v>133275.4149800007</v>
      </c>
      <c r="BA30" s="256">
        <f t="shared" si="153"/>
        <v>124472.71536000102</v>
      </c>
      <c r="BB30" s="256">
        <f t="shared" si="153"/>
        <v>143053.59568999987</v>
      </c>
      <c r="BC30" s="256">
        <f t="shared" si="154"/>
        <v>187848.81236532464</v>
      </c>
      <c r="BD30" s="256">
        <f t="shared" si="154"/>
        <v>178794.37535627373</v>
      </c>
      <c r="BE30" s="256">
        <f t="shared" si="154"/>
        <v>191345.10860566061</v>
      </c>
      <c r="BF30" s="256">
        <f t="shared" si="155"/>
        <v>210862.69604529499</v>
      </c>
      <c r="BG30" s="256">
        <f t="shared" si="155"/>
        <v>220596.6629391301</v>
      </c>
      <c r="BH30" s="256">
        <f t="shared" si="155"/>
        <v>214619.55438999995</v>
      </c>
      <c r="BI30" s="256">
        <f t="shared" si="156"/>
        <v>225483.99011092918</v>
      </c>
      <c r="BJ30" s="256">
        <f t="shared" si="156"/>
        <v>225240.56901999912</v>
      </c>
      <c r="BK30" s="256">
        <f t="shared" si="156"/>
        <v>232857.73017237883</v>
      </c>
      <c r="BL30" s="256">
        <f t="shared" si="157"/>
        <v>223751.41740000102</v>
      </c>
      <c r="BM30" s="256">
        <f t="shared" si="157"/>
        <v>220729.62005192484</v>
      </c>
      <c r="BN30" s="256">
        <f t="shared" si="157"/>
        <v>250371.93439006846</v>
      </c>
      <c r="BO30" s="256">
        <f t="shared" si="158"/>
        <v>306138.13906082953</v>
      </c>
      <c r="BP30" s="256">
        <f t="shared" si="158"/>
        <v>244903.57743000006</v>
      </c>
      <c r="BQ30" s="256">
        <f t="shared" si="158"/>
        <v>271302.07351740118</v>
      </c>
      <c r="BR30" s="256">
        <f t="shared" si="159"/>
        <v>270430.54349000013</v>
      </c>
      <c r="BS30" s="256">
        <f t="shared" si="159"/>
        <v>273658.09241324133</v>
      </c>
      <c r="BT30" s="256">
        <f t="shared" si="159"/>
        <v>274982.7898599999</v>
      </c>
      <c r="BU30" s="256">
        <f t="shared" si="160"/>
        <v>266846.53011000046</v>
      </c>
      <c r="BV30" s="256">
        <f t="shared" si="160"/>
        <v>288372.59207000077</v>
      </c>
      <c r="BW30" s="256">
        <f t="shared" si="160"/>
        <v>277113.72925000073</v>
      </c>
      <c r="BX30" s="256">
        <f t="shared" si="161"/>
        <v>339576.82306000026</v>
      </c>
      <c r="BY30" s="287">
        <f>+BY39+BY51</f>
        <v>283162.08340897178</v>
      </c>
      <c r="BZ30" s="256">
        <f t="shared" si="161"/>
        <v>264950.6704770283</v>
      </c>
      <c r="CA30" s="256">
        <f t="shared" si="162"/>
        <v>307898.73114000063</v>
      </c>
      <c r="CB30" s="256">
        <f t="shared" si="162"/>
        <v>313391.73463465349</v>
      </c>
      <c r="CC30" s="256">
        <f t="shared" si="162"/>
        <v>325366.78560558741</v>
      </c>
      <c r="CD30" s="256">
        <f t="shared" ref="CD30:CE30" si="175">+CD39+CD51</f>
        <v>323847.84013316344</v>
      </c>
      <c r="CE30" s="256">
        <f t="shared" si="175"/>
        <v>312151.15751293587</v>
      </c>
      <c r="CF30" s="256">
        <f t="shared" ref="CF30:CG30" si="176">+CF39+CF51</f>
        <v>325872.64959228475</v>
      </c>
      <c r="CG30" s="256">
        <f t="shared" si="176"/>
        <v>238120.93942291487</v>
      </c>
      <c r="CH30" s="256">
        <f t="shared" ref="CH30:CI30" si="177">+CH39+CH51</f>
        <v>347958.07052342361</v>
      </c>
      <c r="CI30" s="256">
        <f t="shared" si="177"/>
        <v>323327.96687057486</v>
      </c>
      <c r="CJ30" s="256">
        <f t="shared" ref="CJ30:CO30" si="178">+CJ39+CJ51</f>
        <v>324845.14517000009</v>
      </c>
      <c r="CK30" s="256">
        <f t="shared" si="178"/>
        <v>338329.61537093576</v>
      </c>
      <c r="CL30" s="256">
        <f t="shared" si="178"/>
        <v>332258.088573883</v>
      </c>
      <c r="CM30" s="256">
        <f t="shared" si="178"/>
        <v>384545.84574000037</v>
      </c>
      <c r="CN30" s="256">
        <f t="shared" si="178"/>
        <v>347470.07908000005</v>
      </c>
      <c r="CO30" s="256">
        <f t="shared" si="178"/>
        <v>374919.17330000078</v>
      </c>
      <c r="CP30" s="256">
        <f t="shared" ref="CP30:CQ30" si="179">+CP39+CP51</f>
        <v>341788.09346000088</v>
      </c>
      <c r="CQ30" s="256">
        <f t="shared" si="179"/>
        <v>355733.4060500015</v>
      </c>
      <c r="CR30" s="256">
        <f t="shared" ref="CR30:CS30" si="180">+CR39+CR51</f>
        <v>352790.58917999966</v>
      </c>
      <c r="CS30" s="256">
        <f t="shared" si="180"/>
        <v>345061.26539000106</v>
      </c>
      <c r="CT30" s="256">
        <f t="shared" ref="CT30:CU30" si="181">+CT39+CT51</f>
        <v>342025.3238000003</v>
      </c>
      <c r="CU30" s="256">
        <f t="shared" si="181"/>
        <v>334436.48979000037</v>
      </c>
      <c r="CV30" s="256">
        <f t="shared" ref="CV30" si="182">+CV39+CV51</f>
        <v>333863.85334999976</v>
      </c>
      <c r="CW30" s="256">
        <f t="shared" ref="CW30:DB30" si="183">+CW39+CW51</f>
        <v>408403.58065999945</v>
      </c>
      <c r="CX30" s="256">
        <f t="shared" si="183"/>
        <v>394159.22550999979</v>
      </c>
      <c r="CY30" s="256">
        <f t="shared" si="183"/>
        <v>438947.77754999982</v>
      </c>
      <c r="CZ30" s="256">
        <f>+CZ39+CZ51</f>
        <v>448392.12344000075</v>
      </c>
      <c r="DA30" s="256">
        <f t="shared" si="183"/>
        <v>432505.17061998916</v>
      </c>
      <c r="DB30" s="256">
        <f t="shared" si="183"/>
        <v>451098.81582998938</v>
      </c>
      <c r="DC30" s="256">
        <f t="shared" ref="DC30" si="184">+DC39+DC51</f>
        <v>547643.76615998906</v>
      </c>
      <c r="DD30" s="256">
        <f>+DD39+DD51</f>
        <v>574117.0770999894</v>
      </c>
      <c r="DE30" s="256">
        <f>+DE39+DE51</f>
        <v>567141.60908998968</v>
      </c>
      <c r="DF30" s="256">
        <f>+DF39+DF51</f>
        <v>633313.50568999036</v>
      </c>
      <c r="DG30" s="256">
        <f>+DG39+DG51</f>
        <v>587807.01789999031</v>
      </c>
    </row>
    <row r="31" spans="1:112" s="113" customFormat="1" ht="25.5" customHeight="1">
      <c r="A31" s="773"/>
      <c r="B31" s="774"/>
      <c r="C31" s="152" t="s">
        <v>181</v>
      </c>
      <c r="D31" s="153"/>
      <c r="E31" s="153"/>
      <c r="F31" s="153"/>
      <c r="G31" s="153"/>
      <c r="H31" s="153"/>
      <c r="I31" s="153"/>
      <c r="J31" s="153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>
        <f t="shared" ref="BC31:BH31" si="185">BC52</f>
        <v>26729.6515</v>
      </c>
      <c r="BD31" s="256">
        <f t="shared" si="185"/>
        <v>27696.897179999967</v>
      </c>
      <c r="BE31" s="256">
        <f t="shared" si="185"/>
        <v>28165.60090999979</v>
      </c>
      <c r="BF31" s="256">
        <f t="shared" si="185"/>
        <v>29274.370580000021</v>
      </c>
      <c r="BG31" s="256">
        <f t="shared" si="185"/>
        <v>28894.554370000002</v>
      </c>
      <c r="BH31" s="256">
        <f t="shared" si="185"/>
        <v>30344.262160000173</v>
      </c>
      <c r="BI31" s="256">
        <f t="shared" ref="BI31:BN31" si="186">BI52</f>
        <v>30555.831079999894</v>
      </c>
      <c r="BJ31" s="256">
        <f t="shared" si="186"/>
        <v>0</v>
      </c>
      <c r="BK31" s="256">
        <f t="shared" si="186"/>
        <v>0</v>
      </c>
      <c r="BL31" s="256">
        <f t="shared" si="186"/>
        <v>0</v>
      </c>
      <c r="BM31" s="256">
        <f t="shared" si="186"/>
        <v>0</v>
      </c>
      <c r="BN31" s="256">
        <f t="shared" si="186"/>
        <v>0</v>
      </c>
      <c r="BO31" s="256">
        <f t="shared" ref="BO31:BT31" si="187">BO52</f>
        <v>0</v>
      </c>
      <c r="BP31" s="256">
        <f t="shared" si="187"/>
        <v>0</v>
      </c>
      <c r="BQ31" s="256">
        <f t="shared" si="187"/>
        <v>0</v>
      </c>
      <c r="BR31" s="256">
        <f t="shared" si="187"/>
        <v>0</v>
      </c>
      <c r="BS31" s="256">
        <f t="shared" si="187"/>
        <v>0</v>
      </c>
      <c r="BT31" s="256">
        <f t="shared" si="187"/>
        <v>0</v>
      </c>
      <c r="BU31" s="256">
        <f t="shared" ref="BU31:BZ31" si="188">BU52</f>
        <v>0</v>
      </c>
      <c r="BV31" s="256">
        <f t="shared" si="188"/>
        <v>0</v>
      </c>
      <c r="BW31" s="256">
        <f t="shared" si="188"/>
        <v>0</v>
      </c>
      <c r="BX31" s="256">
        <f t="shared" si="188"/>
        <v>0</v>
      </c>
      <c r="BY31" s="287">
        <f>BY52</f>
        <v>0</v>
      </c>
      <c r="BZ31" s="256">
        <f t="shared" si="188"/>
        <v>0</v>
      </c>
      <c r="CA31" s="256">
        <f t="shared" ref="CA31:CF31" si="189">CA52</f>
        <v>0</v>
      </c>
      <c r="CB31" s="256">
        <f t="shared" si="189"/>
        <v>0</v>
      </c>
      <c r="CC31" s="256">
        <f t="shared" si="189"/>
        <v>0</v>
      </c>
      <c r="CD31" s="256">
        <f t="shared" si="189"/>
        <v>0</v>
      </c>
      <c r="CE31" s="256">
        <f t="shared" si="189"/>
        <v>0</v>
      </c>
      <c r="CF31" s="256">
        <f t="shared" si="189"/>
        <v>0</v>
      </c>
      <c r="CG31" s="256">
        <f t="shared" ref="CG31:CH31" si="190">CG52</f>
        <v>0</v>
      </c>
      <c r="CH31" s="256">
        <f t="shared" si="190"/>
        <v>0</v>
      </c>
      <c r="CI31" s="256">
        <f t="shared" ref="CI31:CJ31" si="191">CI52</f>
        <v>0</v>
      </c>
      <c r="CJ31" s="256">
        <f t="shared" si="191"/>
        <v>0</v>
      </c>
      <c r="CK31" s="256">
        <f t="shared" ref="CK31:CL31" si="192">CK52</f>
        <v>0</v>
      </c>
      <c r="CL31" s="256">
        <f t="shared" si="192"/>
        <v>0</v>
      </c>
      <c r="CM31" s="256">
        <f t="shared" ref="CM31:CN31" si="193">CM52</f>
        <v>0</v>
      </c>
      <c r="CN31" s="256">
        <f t="shared" si="193"/>
        <v>0</v>
      </c>
      <c r="CO31" s="256">
        <f t="shared" ref="CO31:CP31" si="194">CO52</f>
        <v>0</v>
      </c>
      <c r="CP31" s="256">
        <f t="shared" si="194"/>
        <v>0</v>
      </c>
      <c r="CQ31" s="256">
        <f t="shared" ref="CQ31:CR31" si="195">CQ52</f>
        <v>0</v>
      </c>
      <c r="CR31" s="256">
        <f t="shared" si="195"/>
        <v>0</v>
      </c>
      <c r="CS31" s="256">
        <f t="shared" ref="CS31:CT31" si="196">CS52</f>
        <v>0</v>
      </c>
      <c r="CT31" s="256">
        <f t="shared" si="196"/>
        <v>0</v>
      </c>
      <c r="CU31" s="256">
        <f t="shared" ref="CU31:CV31" si="197">CU52</f>
        <v>0</v>
      </c>
      <c r="CV31" s="256">
        <f t="shared" si="197"/>
        <v>0</v>
      </c>
      <c r="CW31" s="256">
        <f t="shared" ref="CW31:CX31" si="198">CW52</f>
        <v>0</v>
      </c>
      <c r="CX31" s="256">
        <f t="shared" si="198"/>
        <v>0</v>
      </c>
      <c r="CY31" s="256">
        <f t="shared" ref="CY31:CZ31" si="199">CY52</f>
        <v>0</v>
      </c>
      <c r="CZ31" s="256">
        <f t="shared" si="199"/>
        <v>0</v>
      </c>
      <c r="DA31" s="256">
        <f t="shared" ref="DA31:DB31" si="200">DA52</f>
        <v>0</v>
      </c>
      <c r="DB31" s="256">
        <f t="shared" si="200"/>
        <v>0</v>
      </c>
      <c r="DC31" s="256">
        <f t="shared" ref="DC31:DD31" si="201">DC52</f>
        <v>0</v>
      </c>
      <c r="DD31" s="256">
        <f t="shared" si="201"/>
        <v>0</v>
      </c>
      <c r="DE31" s="256">
        <f t="shared" ref="DE31:DF31" si="202">DE52</f>
        <v>0</v>
      </c>
      <c r="DF31" s="256">
        <f t="shared" si="202"/>
        <v>0</v>
      </c>
      <c r="DG31" s="256">
        <f t="shared" ref="DG31" si="203">DG52</f>
        <v>0</v>
      </c>
    </row>
    <row r="32" spans="1:112" ht="25.5" customHeight="1" thickBot="1">
      <c r="A32" s="775"/>
      <c r="B32" s="776"/>
      <c r="C32" s="155" t="s">
        <v>182</v>
      </c>
      <c r="D32" s="156">
        <f t="shared" ref="D32:O32" si="204">+D41+D53</f>
        <v>952630.77313999925</v>
      </c>
      <c r="E32" s="156">
        <f t="shared" si="204"/>
        <v>961636.02523000003</v>
      </c>
      <c r="F32" s="156">
        <f t="shared" si="204"/>
        <v>960332.56434999907</v>
      </c>
      <c r="G32" s="156">
        <f t="shared" si="204"/>
        <v>952758.26608999888</v>
      </c>
      <c r="H32" s="156">
        <f t="shared" si="204"/>
        <v>944639.92941999994</v>
      </c>
      <c r="I32" s="156">
        <f t="shared" si="204"/>
        <v>944927.79413000005</v>
      </c>
      <c r="J32" s="156">
        <f t="shared" si="204"/>
        <v>953013.79080000008</v>
      </c>
      <c r="K32" s="157">
        <f t="shared" si="204"/>
        <v>961734.6448100002</v>
      </c>
      <c r="L32" s="157">
        <f t="shared" si="204"/>
        <v>982139.87046000012</v>
      </c>
      <c r="M32" s="157">
        <f t="shared" si="204"/>
        <v>1002829.24717</v>
      </c>
      <c r="N32" s="157">
        <f t="shared" si="204"/>
        <v>1027679.86858</v>
      </c>
      <c r="O32" s="157">
        <f t="shared" si="204"/>
        <v>1054190.5705200001</v>
      </c>
      <c r="P32" s="157">
        <f t="shared" ref="P32:U32" si="205">+P41+P53</f>
        <v>1085020.0096799999</v>
      </c>
      <c r="Q32" s="157">
        <f t="shared" si="205"/>
        <v>1112519.90429</v>
      </c>
      <c r="R32" s="157">
        <f t="shared" si="205"/>
        <v>1125906.0941999999</v>
      </c>
      <c r="S32" s="157">
        <f t="shared" si="205"/>
        <v>1140126.6782400003</v>
      </c>
      <c r="T32" s="157">
        <f t="shared" si="205"/>
        <v>1179209.0225800001</v>
      </c>
      <c r="U32" s="257">
        <f t="shared" si="205"/>
        <v>1211713.84589</v>
      </c>
      <c r="V32" s="257">
        <f t="shared" ref="V32:AA32" si="206">+V41+V53</f>
        <v>1243245.8517000002</v>
      </c>
      <c r="W32" s="257">
        <f t="shared" si="206"/>
        <v>1283061.7188699997</v>
      </c>
      <c r="X32" s="257">
        <f t="shared" si="206"/>
        <v>1336252.2983900001</v>
      </c>
      <c r="Y32" s="257">
        <f t="shared" si="206"/>
        <v>1371442.1890000002</v>
      </c>
      <c r="Z32" s="257">
        <f t="shared" si="206"/>
        <v>1398176.19334</v>
      </c>
      <c r="AA32" s="257">
        <f t="shared" si="206"/>
        <v>1424627.05608</v>
      </c>
      <c r="AB32" s="257">
        <f t="shared" ref="AB32:AG32" si="207">+AB41+AB53</f>
        <v>1451908.4836099995</v>
      </c>
      <c r="AC32" s="257">
        <f t="shared" si="207"/>
        <v>1487859.43955</v>
      </c>
      <c r="AD32" s="257">
        <f t="shared" si="207"/>
        <v>1514367.5237500006</v>
      </c>
      <c r="AE32" s="257">
        <f t="shared" si="207"/>
        <v>1560491.99575</v>
      </c>
      <c r="AF32" s="257">
        <f t="shared" si="207"/>
        <v>1619212.3480700001</v>
      </c>
      <c r="AG32" s="257">
        <f t="shared" si="207"/>
        <v>1678143.8628100001</v>
      </c>
      <c r="AH32" s="257">
        <f t="shared" ref="AH32:AN32" si="208">+AH41+AH53</f>
        <v>1745219.5177699991</v>
      </c>
      <c r="AI32" s="257">
        <f t="shared" si="208"/>
        <v>1808983.7568900005</v>
      </c>
      <c r="AJ32" s="257">
        <f>+AJ41+AJ53</f>
        <v>1887220.3124399998</v>
      </c>
      <c r="AK32" s="257">
        <f>+AK41+AK53</f>
        <v>2108673.9145200006</v>
      </c>
      <c r="AL32" s="257">
        <f t="shared" si="208"/>
        <v>2043886.6678300002</v>
      </c>
      <c r="AM32" s="257">
        <f t="shared" si="208"/>
        <v>2122295.0642500003</v>
      </c>
      <c r="AN32" s="257">
        <f t="shared" si="208"/>
        <v>2206854.2248199997</v>
      </c>
      <c r="AO32" s="257">
        <f t="shared" ref="AO32:AT32" si="209">+AO41+AO53</f>
        <v>2299410.8246400002</v>
      </c>
      <c r="AP32" s="257">
        <f t="shared" si="209"/>
        <v>2386837.9159799996</v>
      </c>
      <c r="AQ32" s="257">
        <f t="shared" si="209"/>
        <v>2471052.3290400002</v>
      </c>
      <c r="AR32" s="257">
        <f t="shared" si="209"/>
        <v>2586261.0353900003</v>
      </c>
      <c r="AS32" s="257">
        <f t="shared" si="209"/>
        <v>2708167.0155999991</v>
      </c>
      <c r="AT32" s="257">
        <f t="shared" si="209"/>
        <v>2846431.8783100005</v>
      </c>
      <c r="AU32" s="257">
        <f t="shared" ref="AU32:AZ32" si="210">+AU41+AU53</f>
        <v>2978549.68744</v>
      </c>
      <c r="AV32" s="257">
        <f t="shared" si="210"/>
        <v>3088131.4496700005</v>
      </c>
      <c r="AW32" s="257">
        <f t="shared" si="210"/>
        <v>3196141.3909199992</v>
      </c>
      <c r="AX32" s="257">
        <f t="shared" si="210"/>
        <v>3292693.7105699996</v>
      </c>
      <c r="AY32" s="257">
        <f t="shared" si="210"/>
        <v>3416057.0553900003</v>
      </c>
      <c r="AZ32" s="257">
        <f t="shared" si="210"/>
        <v>3506140.3851100006</v>
      </c>
      <c r="BA32" s="257">
        <f>+BA41+BA53</f>
        <v>3563731.1895200005</v>
      </c>
      <c r="BB32" s="257">
        <f>+BB41+BB53</f>
        <v>3634428.22964</v>
      </c>
      <c r="BC32" s="257">
        <f t="shared" ref="BC32:BH32" si="211">+BC41+BC53</f>
        <v>3741235.1704553245</v>
      </c>
      <c r="BD32" s="257">
        <f t="shared" si="211"/>
        <v>3842766.6702862745</v>
      </c>
      <c r="BE32" s="257">
        <f t="shared" si="211"/>
        <v>3937381.1651656604</v>
      </c>
      <c r="BF32" s="257">
        <f t="shared" si="211"/>
        <v>4047157.9297152953</v>
      </c>
      <c r="BG32" s="257">
        <f t="shared" si="211"/>
        <v>4151645.2559191305</v>
      </c>
      <c r="BH32" s="257">
        <f t="shared" si="211"/>
        <v>4234994.3240200002</v>
      </c>
      <c r="BI32" s="257">
        <f t="shared" ref="BI32:BN32" si="212">+BI41+BI53</f>
        <v>4324370.6407009289</v>
      </c>
      <c r="BJ32" s="257">
        <f t="shared" si="212"/>
        <v>4392554.1376899993</v>
      </c>
      <c r="BK32" s="257">
        <f t="shared" si="212"/>
        <v>4497774.1595723787</v>
      </c>
      <c r="BL32" s="257">
        <f t="shared" si="212"/>
        <v>4563519.0709000006</v>
      </c>
      <c r="BM32" s="257">
        <f t="shared" si="212"/>
        <v>4620014.7182419244</v>
      </c>
      <c r="BN32" s="257">
        <f t="shared" si="212"/>
        <v>4649588.5803400688</v>
      </c>
      <c r="BO32" s="257">
        <f t="shared" ref="BO32:BT32" si="213">+BO41+BO53</f>
        <v>4719270.2376708295</v>
      </c>
      <c r="BP32" s="257">
        <f t="shared" si="213"/>
        <v>4747873.5483200001</v>
      </c>
      <c r="BQ32" s="257">
        <f t="shared" si="213"/>
        <v>4812416.107367401</v>
      </c>
      <c r="BR32" s="257">
        <f t="shared" si="213"/>
        <v>4895806.1918499991</v>
      </c>
      <c r="BS32" s="257">
        <f t="shared" si="213"/>
        <v>4979904.5007532407</v>
      </c>
      <c r="BT32" s="257">
        <f t="shared" si="213"/>
        <v>5050732.4879900003</v>
      </c>
      <c r="BU32" s="257">
        <f t="shared" ref="BU32:BZ32" si="214">+BU41+BU53</f>
        <v>5133663.4438200006</v>
      </c>
      <c r="BV32" s="257">
        <f t="shared" si="214"/>
        <v>5216981.6839100011</v>
      </c>
      <c r="BW32" s="257">
        <f t="shared" si="214"/>
        <v>5304999.8483600002</v>
      </c>
      <c r="BX32" s="257">
        <f t="shared" si="214"/>
        <v>5398280.8763600001</v>
      </c>
      <c r="BY32" s="288">
        <f>+BY41+BY53</f>
        <v>5468546.8858289709</v>
      </c>
      <c r="BZ32" s="257">
        <f t="shared" si="214"/>
        <v>5542837.2888470283</v>
      </c>
      <c r="CA32" s="257">
        <f t="shared" ref="CA32:CF32" si="215">+CA41+CA53</f>
        <v>5643154.9602700006</v>
      </c>
      <c r="CB32" s="257">
        <f t="shared" si="215"/>
        <v>5732140.6062346539</v>
      </c>
      <c r="CC32" s="257">
        <f t="shared" si="215"/>
        <v>5824715.0896755885</v>
      </c>
      <c r="CD32" s="257">
        <f t="shared" si="215"/>
        <v>5915906.6881031627</v>
      </c>
      <c r="CE32" s="257">
        <f t="shared" si="215"/>
        <v>5975280.097042935</v>
      </c>
      <c r="CF32" s="257">
        <f t="shared" si="215"/>
        <v>6069751.7895922847</v>
      </c>
      <c r="CG32" s="257">
        <f t="shared" ref="CG32:CH32" si="216">+CG41+CG53</f>
        <v>6155804.5391129144</v>
      </c>
      <c r="CH32" s="257">
        <f t="shared" si="216"/>
        <v>6258878.8889134228</v>
      </c>
      <c r="CI32" s="257">
        <f t="shared" ref="CI32:CJ32" si="217">+CI41+CI53</f>
        <v>6361678.5227605756</v>
      </c>
      <c r="CJ32" s="257">
        <f t="shared" si="217"/>
        <v>6434928.6163600003</v>
      </c>
      <c r="CK32" s="257">
        <f t="shared" ref="CK32:CL32" si="218">+CK41+CK53</f>
        <v>6520243.6340809353</v>
      </c>
      <c r="CL32" s="257">
        <f t="shared" si="218"/>
        <v>6590896.7156638829</v>
      </c>
      <c r="CM32" s="257">
        <f t="shared" ref="CM32:CN32" si="219">+CM41+CM53</f>
        <v>6684439.7150700008</v>
      </c>
      <c r="CN32" s="257">
        <f t="shared" si="219"/>
        <v>6754688.4800700005</v>
      </c>
      <c r="CO32" s="257">
        <f t="shared" ref="CO32:CP32" si="220">+CO41+CO53</f>
        <v>6832070.0545300003</v>
      </c>
      <c r="CP32" s="257">
        <f t="shared" si="220"/>
        <v>6911883.6564800013</v>
      </c>
      <c r="CQ32" s="257">
        <f t="shared" ref="CQ32:CR32" si="221">+CQ41+CQ53</f>
        <v>6974199.2171400012</v>
      </c>
      <c r="CR32" s="257">
        <f t="shared" si="221"/>
        <v>7046761.5316700004</v>
      </c>
      <c r="CS32" s="257">
        <f t="shared" ref="CS32:CT32" si="222">+CS41+CS53</f>
        <v>7088904.6289100004</v>
      </c>
      <c r="CT32" s="257">
        <f t="shared" si="222"/>
        <v>7136208.6640699999</v>
      </c>
      <c r="CU32" s="257">
        <f t="shared" ref="CU32:CZ32" si="223">+CU41+CU53</f>
        <v>7203202.8866500007</v>
      </c>
      <c r="CV32" s="257">
        <f t="shared" si="223"/>
        <v>7218269.3576900009</v>
      </c>
      <c r="CW32" s="257">
        <f t="shared" si="223"/>
        <v>7279592.3240200002</v>
      </c>
      <c r="CX32" s="257">
        <f t="shared" si="223"/>
        <v>7319130.3744099997</v>
      </c>
      <c r="CY32" s="257">
        <f t="shared" si="223"/>
        <v>7381007.4298900003</v>
      </c>
      <c r="CZ32" s="257">
        <f t="shared" si="223"/>
        <v>7460534.54868</v>
      </c>
      <c r="DA32" s="257">
        <f t="shared" ref="DA32:DB32" si="224">+DA41+DA53</f>
        <v>7508109.18397999</v>
      </c>
      <c r="DB32" s="257">
        <f t="shared" si="224"/>
        <v>7575406.3729099901</v>
      </c>
      <c r="DC32" s="257">
        <f t="shared" ref="DC32:DD32" si="225">+DC41+DC53</f>
        <v>7700402.32334999</v>
      </c>
      <c r="DD32" s="257">
        <f t="shared" si="225"/>
        <v>7855100.3461499903</v>
      </c>
      <c r="DE32" s="257">
        <f t="shared" ref="DE32:DF32" si="226">+DE41+DE53</f>
        <v>7985756.0538999904</v>
      </c>
      <c r="DF32" s="257">
        <f t="shared" si="226"/>
        <v>8166412.2585699903</v>
      </c>
      <c r="DG32" s="257">
        <f t="shared" ref="DG32" si="227">+DG41+DG53</f>
        <v>8313112.5844999906</v>
      </c>
    </row>
    <row r="33" spans="1:111" ht="25.5" customHeight="1">
      <c r="A33" s="768" t="s">
        <v>2</v>
      </c>
      <c r="B33" s="768" t="s">
        <v>62</v>
      </c>
      <c r="C33" s="158" t="s">
        <v>1</v>
      </c>
      <c r="D33" s="159">
        <v>1150.93634</v>
      </c>
      <c r="E33" s="159">
        <v>1257.0322200000001</v>
      </c>
      <c r="F33" s="159">
        <v>1356.4075</v>
      </c>
      <c r="G33" s="159">
        <v>1151.16598</v>
      </c>
      <c r="H33" s="159">
        <v>1102.0606600000001</v>
      </c>
      <c r="I33" s="159">
        <v>1150.8154</v>
      </c>
      <c r="J33" s="159">
        <v>1200.0452499999999</v>
      </c>
      <c r="K33" s="160">
        <v>995.49659999999903</v>
      </c>
      <c r="L33" s="160">
        <v>998.82318999999995</v>
      </c>
      <c r="M33" s="160">
        <v>621.70363999999995</v>
      </c>
      <c r="N33" s="160">
        <v>742.47343000000001</v>
      </c>
      <c r="O33" s="160">
        <v>599.98964999999998</v>
      </c>
      <c r="P33" s="160">
        <v>599.99968000000001</v>
      </c>
      <c r="Q33" s="160">
        <v>600.05143999999996</v>
      </c>
      <c r="R33" s="160">
        <v>500.33015999999998</v>
      </c>
      <c r="S33" s="160">
        <v>758.38333999999998</v>
      </c>
      <c r="T33" s="160">
        <v>954.71942999999999</v>
      </c>
      <c r="U33" s="160">
        <v>960.58261000000095</v>
      </c>
      <c r="V33" s="160">
        <v>1000.42357</v>
      </c>
      <c r="W33" s="160">
        <v>897.71834999999999</v>
      </c>
      <c r="X33" s="160">
        <v>877.86756000000003</v>
      </c>
      <c r="Y33" s="160">
        <v>599.56939</v>
      </c>
      <c r="Z33" s="160">
        <v>809.86524999999995</v>
      </c>
      <c r="AA33" s="160">
        <v>1289.52458</v>
      </c>
      <c r="AB33" s="160">
        <v>1466.5644</v>
      </c>
      <c r="AC33" s="160">
        <v>1462.98137</v>
      </c>
      <c r="AD33" s="160">
        <v>1644.7923699999999</v>
      </c>
      <c r="AE33" s="160">
        <v>1623.1791000000001</v>
      </c>
      <c r="AF33" s="160">
        <v>1328.7442900000001</v>
      </c>
      <c r="AG33" s="160">
        <v>1298.3050599999999</v>
      </c>
      <c r="AH33" s="160">
        <v>1508.93652</v>
      </c>
      <c r="AI33" s="223">
        <v>1551.2098300000011</v>
      </c>
      <c r="AJ33" s="160">
        <v>1247.2607299999995</v>
      </c>
      <c r="AK33" s="160">
        <v>1004.0414599999999</v>
      </c>
      <c r="AL33" s="160">
        <v>1339.5553600000001</v>
      </c>
      <c r="AM33" s="160">
        <v>999.32527000000016</v>
      </c>
      <c r="AN33" s="160">
        <v>1422.8304500000004</v>
      </c>
      <c r="AO33" s="160">
        <v>1497.5774000000001</v>
      </c>
      <c r="AP33" s="160">
        <v>1322.8331900000001</v>
      </c>
      <c r="AQ33" s="160">
        <v>1427.5815700000001</v>
      </c>
      <c r="AR33" s="160">
        <v>1247.7580600000001</v>
      </c>
      <c r="AS33" s="160">
        <v>1311.7902100000001</v>
      </c>
      <c r="AT33" s="160">
        <v>1178.3519899999999</v>
      </c>
      <c r="AU33" s="160">
        <v>1417.5540100000001</v>
      </c>
      <c r="AV33" s="160">
        <v>1263.24208</v>
      </c>
      <c r="AW33" s="160">
        <v>1099.83474</v>
      </c>
      <c r="AX33" s="160">
        <v>1313.43075</v>
      </c>
      <c r="AY33" s="160">
        <v>1292.5080700000008</v>
      </c>
      <c r="AZ33" s="160">
        <v>1279.22182</v>
      </c>
      <c r="BA33" s="160">
        <v>1498.2891299999999</v>
      </c>
      <c r="BB33" s="160">
        <v>1497.71669</v>
      </c>
      <c r="BC33" s="160">
        <v>1564.05611</v>
      </c>
      <c r="BD33" s="160">
        <v>1252.3219599999991</v>
      </c>
      <c r="BE33" s="160">
        <v>1322.26126</v>
      </c>
      <c r="BF33" s="160">
        <v>1623.8624399999999</v>
      </c>
      <c r="BG33" s="160">
        <v>1600.26926</v>
      </c>
      <c r="BH33" s="160">
        <v>1008.12812</v>
      </c>
      <c r="BI33" s="160">
        <f>AKPK!CI36/1000</f>
        <v>656.78253999999993</v>
      </c>
      <c r="BJ33" s="160">
        <f>AKPK!CJ36/1000</f>
        <v>2002.17247</v>
      </c>
      <c r="BK33" s="160">
        <f>AKPK!CK36/1000</f>
        <v>1230.0982799999999</v>
      </c>
      <c r="BL33" s="160">
        <f>AKPK!CL36/1000</f>
        <v>2337.4678399999993</v>
      </c>
      <c r="BM33" s="160">
        <f>AKPK!CM36/1000</f>
        <v>2042.4209200000003</v>
      </c>
      <c r="BN33" s="160">
        <f>AKPK!CN36/1000</f>
        <v>1928.5018600000001</v>
      </c>
      <c r="BO33" s="160">
        <f>AKPK!CO36/1000</f>
        <v>1200.1120799999997</v>
      </c>
      <c r="BP33" s="160">
        <f>AKPK!CP36/1000</f>
        <v>1598.3434499999992</v>
      </c>
      <c r="BQ33" s="160">
        <f>AKPK!CQ36/1000</f>
        <v>1500.0191799999998</v>
      </c>
      <c r="BR33" s="160">
        <f>AKPK!CR36/1000</f>
        <v>1537.2153399999993</v>
      </c>
      <c r="BS33" s="160">
        <f>AKPK!CS36/1000</f>
        <v>1787.4102900000005</v>
      </c>
      <c r="BT33" s="160">
        <f>AKPK!CT36/1000</f>
        <v>1084.7351700000002</v>
      </c>
      <c r="BU33" s="160">
        <f>AKPK!CU36/1000</f>
        <v>2531.9929699999966</v>
      </c>
      <c r="BV33" s="160">
        <f>AKPK!CV36/1000</f>
        <v>1879.5320099999999</v>
      </c>
      <c r="BW33" s="160">
        <f>AKPK!CW36/1000</f>
        <v>2274.9744999999994</v>
      </c>
      <c r="BX33" s="160">
        <f>AKPK!CX36/1000</f>
        <v>2015.2403099999999</v>
      </c>
      <c r="BY33" s="160">
        <f>[1]AKPK!CY36/1000</f>
        <v>5271.0491799999972</v>
      </c>
      <c r="BZ33" s="160">
        <f>AKPK!CZ36/1000</f>
        <v>2595.2777400000032</v>
      </c>
      <c r="CA33" s="160">
        <f>AKPK!DA36/1000</f>
        <v>2057.5625199999999</v>
      </c>
      <c r="CB33" s="160">
        <f>AKPK!DB36/1000</f>
        <v>2923.3708500000002</v>
      </c>
      <c r="CC33" s="160">
        <f>AKPK!DC36/1000</f>
        <v>2268.14831</v>
      </c>
      <c r="CD33" s="160">
        <f>AKPK!DD36/1000</f>
        <v>2119.9630299999999</v>
      </c>
      <c r="CE33" s="160">
        <f>AKPK!DE36/1000</f>
        <v>1892.60769</v>
      </c>
      <c r="CF33" s="160">
        <f>AKPK!DF36/1000</f>
        <v>2092.8161299999997</v>
      </c>
      <c r="CG33" s="160">
        <f>AKPK!DG36/1000</f>
        <v>1991.16338</v>
      </c>
      <c r="CH33" s="160">
        <f>AKPK!DH36/1000</f>
        <v>2028.0582999999999</v>
      </c>
      <c r="CI33" s="160">
        <f>AKPK!DI36/1000</f>
        <v>2441.8784700000001</v>
      </c>
      <c r="CJ33" s="160">
        <f>AKPK!DJ36/1000</f>
        <v>2241.8694300000002</v>
      </c>
      <c r="CK33" s="160">
        <f>AKPK!DK36/1000</f>
        <v>3361.7272699999999</v>
      </c>
      <c r="CL33" s="160">
        <f>AKPK!DL36/1000</f>
        <v>2452.98092</v>
      </c>
      <c r="CM33" s="160">
        <f>AKPK!DM36/1000</f>
        <v>2547.43379</v>
      </c>
      <c r="CN33" s="160">
        <f>AKPK!DN36/1000</f>
        <v>2547.9291800000001</v>
      </c>
      <c r="CO33" s="160">
        <f>AKPK!DO36/1000</f>
        <v>2900.9484500000003</v>
      </c>
      <c r="CP33" s="160">
        <f>AKPK!DP36/1000</f>
        <v>2420.9761600000002</v>
      </c>
      <c r="CQ33" s="160">
        <f>AKPK!DQ36/1000</f>
        <v>2597.8316199999999</v>
      </c>
      <c r="CR33" s="160">
        <f>AKPK!DR36/1000</f>
        <v>2464.7560500000004</v>
      </c>
      <c r="CS33" s="160">
        <f>AKPK!DS36/1000</f>
        <v>2361.3480600000003</v>
      </c>
      <c r="CT33" s="160">
        <f>AKPK!DT36/1000</f>
        <v>2658.6487900000002</v>
      </c>
      <c r="CU33" s="160">
        <f>AKPK!DU36/1000</f>
        <v>3075.83673</v>
      </c>
      <c r="CV33" s="160">
        <f>AKPK!DV36/1000</f>
        <v>2980.0454300000001</v>
      </c>
      <c r="CW33" s="160">
        <f>AKPK!DW36/1000</f>
        <v>2721.6921600000001</v>
      </c>
      <c r="CX33" s="160">
        <f>AKPK!DX36/1000</f>
        <v>2329.6075900000001</v>
      </c>
      <c r="CY33" s="160">
        <f>AKPK!DY36/1000</f>
        <v>2598.6690699999999</v>
      </c>
      <c r="CZ33" s="160">
        <f>AKPK!DZ36/1000</f>
        <v>2348.68012</v>
      </c>
      <c r="DA33" s="160">
        <f>AKPK!EA36/1000</f>
        <v>2479.0108</v>
      </c>
      <c r="DB33" s="160">
        <f>AKPK!EB36/1000</f>
        <v>2050.9389099999999</v>
      </c>
      <c r="DC33" s="160">
        <f>AKPK!EC36/1000</f>
        <v>1854.5224600000006</v>
      </c>
      <c r="DD33" s="160">
        <f>AKPK!ED36/1000</f>
        <v>2005.6056200000016</v>
      </c>
      <c r="DE33" s="160">
        <f>AKPK!EE36/1000</f>
        <v>1940.4997900000001</v>
      </c>
      <c r="DF33" s="160">
        <f>AKPK!EF36/1000</f>
        <v>2354.7107599999999</v>
      </c>
      <c r="DG33" s="160">
        <f>AKPK!EG36/1000</f>
        <v>1779.3248800000001</v>
      </c>
    </row>
    <row r="34" spans="1:111" s="68" customFormat="1" ht="25.5" customHeight="1">
      <c r="A34" s="765"/>
      <c r="B34" s="765"/>
      <c r="C34" s="161" t="s">
        <v>6</v>
      </c>
      <c r="D34" s="162">
        <v>1428.63942</v>
      </c>
      <c r="E34" s="162">
        <v>1149.70019</v>
      </c>
      <c r="F34" s="162">
        <v>1135.9234799999999</v>
      </c>
      <c r="G34" s="162">
        <v>1121.6154100000001</v>
      </c>
      <c r="H34" s="162">
        <v>927.59843000000205</v>
      </c>
      <c r="I34" s="162">
        <v>933.30023999999503</v>
      </c>
      <c r="J34" s="162">
        <v>1126.9063900000071</v>
      </c>
      <c r="K34" s="163">
        <v>931.898459999995</v>
      </c>
      <c r="L34" s="163">
        <v>768.60603999999603</v>
      </c>
      <c r="M34" s="163">
        <v>655.24992000000395</v>
      </c>
      <c r="N34" s="163">
        <v>476.30238000002498</v>
      </c>
      <c r="O34" s="163">
        <v>726.03737999999805</v>
      </c>
      <c r="P34" s="163">
        <v>798.09050000000195</v>
      </c>
      <c r="Q34" s="163">
        <v>822.04088999999897</v>
      </c>
      <c r="R34" s="163">
        <f>+AKPK!AR38/1000</f>
        <v>841.11198000000138</v>
      </c>
      <c r="S34" s="163">
        <v>881.24810000000105</v>
      </c>
      <c r="T34" s="163">
        <v>829.21398999999599</v>
      </c>
      <c r="U34" s="163">
        <v>879.97448000000304</v>
      </c>
      <c r="V34" s="163">
        <v>659.93012000000795</v>
      </c>
      <c r="W34" s="163">
        <v>706.64577999998903</v>
      </c>
      <c r="X34" s="163">
        <v>828.94225000000199</v>
      </c>
      <c r="Y34" s="163">
        <v>1375.37745</v>
      </c>
      <c r="Z34" s="163">
        <v>1637.7502099999999</v>
      </c>
      <c r="AA34" s="163">
        <v>1965.0627300000001</v>
      </c>
      <c r="AB34" s="163">
        <v>1400.60798</v>
      </c>
      <c r="AC34" s="163">
        <v>1716.3450999999986</v>
      </c>
      <c r="AD34" s="163">
        <v>1844.9636700000001</v>
      </c>
      <c r="AE34" s="163">
        <v>1465.6924100000001</v>
      </c>
      <c r="AF34" s="163">
        <v>1458.36769</v>
      </c>
      <c r="AG34" s="163">
        <v>1391.93011</v>
      </c>
      <c r="AH34" s="163">
        <v>621.27036000000101</v>
      </c>
      <c r="AI34" s="224">
        <v>1064.2323500000061</v>
      </c>
      <c r="AJ34" s="163">
        <v>1078.563909999988</v>
      </c>
      <c r="AK34" s="163">
        <v>1397.5076900000061</v>
      </c>
      <c r="AL34" s="163">
        <v>1458.9045300000059</v>
      </c>
      <c r="AM34" s="163">
        <v>1491.1729499998921</v>
      </c>
      <c r="AN34" s="163">
        <v>1687.8068800001024</v>
      </c>
      <c r="AO34" s="163">
        <v>1158.2778799999971</v>
      </c>
      <c r="AP34" s="163">
        <v>1095.60592</v>
      </c>
      <c r="AQ34" s="163">
        <v>1379.9164300000016</v>
      </c>
      <c r="AR34" s="163">
        <v>1134.6006300000045</v>
      </c>
      <c r="AS34" s="163">
        <v>1458.679229999992</v>
      </c>
      <c r="AT34" s="163">
        <v>1371.8792100000001</v>
      </c>
      <c r="AU34" s="163">
        <v>1255.06556999999</v>
      </c>
      <c r="AV34" s="163">
        <v>1432.9188800000099</v>
      </c>
      <c r="AW34" s="163">
        <v>1295.4579099999901</v>
      </c>
      <c r="AX34" s="163">
        <v>1638.64887999999</v>
      </c>
      <c r="AY34" s="163">
        <v>1354.32033000004</v>
      </c>
      <c r="AZ34" s="163">
        <v>1970.32688999997</v>
      </c>
      <c r="BA34" s="163">
        <v>2279.0273900000502</v>
      </c>
      <c r="BB34" s="163">
        <v>1481.71107999999</v>
      </c>
      <c r="BC34" s="163">
        <v>808.16614999999695</v>
      </c>
      <c r="BD34" s="163">
        <v>1403.4249299999997</v>
      </c>
      <c r="BE34" s="163">
        <v>1417.40057</v>
      </c>
      <c r="BF34" s="163">
        <v>2623.8931899999998</v>
      </c>
      <c r="BG34" s="163">
        <v>1046.54062</v>
      </c>
      <c r="BH34" s="163">
        <v>985.48943999999801</v>
      </c>
      <c r="BI34" s="163">
        <f>AKPK!CI38/1000</f>
        <v>1845.941009999998</v>
      </c>
      <c r="BJ34" s="163">
        <f>AKPK!CJ38/1000</f>
        <v>1152.5476899999026</v>
      </c>
      <c r="BK34" s="163">
        <f>AKPK!CK38/1000</f>
        <v>2060.7751900000962</v>
      </c>
      <c r="BL34" s="163">
        <f>AKPK!CL38/1000</f>
        <v>1348.7513800000027</v>
      </c>
      <c r="BM34" s="163">
        <f>AKPK!CM38/1000</f>
        <v>1763.8353699999991</v>
      </c>
      <c r="BN34" s="163">
        <f>AKPK!CN38/1000</f>
        <v>1491.7284299999551</v>
      </c>
      <c r="BO34" s="163">
        <f>AKPK!CO38/1000</f>
        <v>2811.9533600000682</v>
      </c>
      <c r="BP34" s="163">
        <f>AKPK!CP38/1000</f>
        <v>2165.6677399999685</v>
      </c>
      <c r="BQ34" s="163">
        <f>AKPK!CQ38/1000</f>
        <v>2107.6986400000083</v>
      </c>
      <c r="BR34" s="163">
        <f>AKPK!CR38/1000</f>
        <v>1773.5452099999973</v>
      </c>
      <c r="BS34" s="163">
        <f>AKPK!CS38/1000</f>
        <v>1471.1761700000036</v>
      </c>
      <c r="BT34" s="163">
        <f>AKPK!CT38/1000</f>
        <v>1596.2111699999925</v>
      </c>
      <c r="BU34" s="163">
        <f>AKPK!CU38/1000</f>
        <v>1928.0316200000029</v>
      </c>
      <c r="BV34" s="163">
        <f>AKPK!CV38/1000</f>
        <v>2765.7670300000032</v>
      </c>
      <c r="BW34" s="163">
        <f>AKPK!CW38/1000</f>
        <v>2275.6487799999973</v>
      </c>
      <c r="BX34" s="163">
        <f>AKPK!CX38/1000</f>
        <v>1981.9878899999987</v>
      </c>
      <c r="BY34" s="163">
        <f>[1]AKPK!CY38/1000</f>
        <v>1648.6715299999937</v>
      </c>
      <c r="BZ34" s="163">
        <f>AKPK!CZ38/1000</f>
        <v>-90.619109999991949</v>
      </c>
      <c r="CA34" s="163">
        <f>AKPK!DA38/1000</f>
        <v>1771.2739499999955</v>
      </c>
      <c r="CB34" s="163">
        <f>AKPK!DB38/1000</f>
        <v>3105.7504300000128</v>
      </c>
      <c r="CC34" s="163">
        <f>AKPK!DC38/1000</f>
        <v>2103.1963200000059</v>
      </c>
      <c r="CD34" s="163">
        <f>AKPK!DD38/1000</f>
        <v>1965.855919999985</v>
      </c>
      <c r="CE34" s="163">
        <f>AKPK!DE38/1000</f>
        <v>2893.7845699999684</v>
      </c>
      <c r="CF34" s="163">
        <f>AKPK!DF38/1000</f>
        <v>2033.3133900000528</v>
      </c>
      <c r="CG34" s="163">
        <f>AKPK!DG38/1000</f>
        <v>2618.6933000000008</v>
      </c>
      <c r="CH34" s="163">
        <f>AKPK!DH38/1000</f>
        <v>2660.1312899999843</v>
      </c>
      <c r="CI34" s="163">
        <f>AKPK!DI38/1000</f>
        <v>1835.7472200000082</v>
      </c>
      <c r="CJ34" s="163">
        <f>AKPK!DJ38/1000</f>
        <v>2722.3441599999478</v>
      </c>
      <c r="CK34" s="163">
        <f>AKPK!DK38/1000</f>
        <v>3702.384260000013</v>
      </c>
      <c r="CL34" s="163">
        <f>AKPK!DL38/1000</f>
        <v>2371.4537200000082</v>
      </c>
      <c r="CM34" s="163">
        <f>AKPK!DM38/1000</f>
        <v>2675.282260000035</v>
      </c>
      <c r="CN34" s="163">
        <f>AKPK!DN38/1000</f>
        <v>2613.7916899999755</v>
      </c>
      <c r="CO34" s="163">
        <f>AKPK!DO38/1000</f>
        <v>2394.0748200000676</v>
      </c>
      <c r="CP34" s="163">
        <f>AKPK!DP38/1000</f>
        <v>2336.1496299999876</v>
      </c>
      <c r="CQ34" s="163">
        <f>AKPK!DQ38/1000</f>
        <v>2730.4836399999112</v>
      </c>
      <c r="CR34" s="163">
        <f>AKPK!DR38/1000</f>
        <v>2935.6909100000003</v>
      </c>
      <c r="CS34" s="163">
        <f>AKPK!DS38/1000</f>
        <v>2581.9379300000278</v>
      </c>
      <c r="CT34" s="163">
        <f>AKPK!DT38/1000</f>
        <v>2692.4418299999311</v>
      </c>
      <c r="CU34" s="163">
        <f>AKPK!DU38/1000</f>
        <v>2119.7254900000689</v>
      </c>
      <c r="CV34" s="163">
        <f>AKPK!DV38/1000</f>
        <v>2590.5450299999379</v>
      </c>
      <c r="CW34" s="163">
        <f>AKPK!DW38/1000</f>
        <v>2455.936950000033</v>
      </c>
      <c r="CX34" s="163">
        <f>AKPK!DX38/1000</f>
        <v>2099.4109800001161</v>
      </c>
      <c r="CY34" s="163">
        <f>AKPK!DY38/1000</f>
        <v>2189.9300199999475</v>
      </c>
      <c r="CZ34" s="163">
        <f>AKPK!DZ38/1000</f>
        <v>2095.1433399999773</v>
      </c>
      <c r="DA34" s="163">
        <f>AKPK!EA38/1000</f>
        <v>2173.0588299999872</v>
      </c>
      <c r="DB34" s="163">
        <f>AKPK!EB38/1000</f>
        <v>1905.7350300000533</v>
      </c>
      <c r="DC34" s="163">
        <f>AKPK!EC38/1000</f>
        <v>1248.1719399999938</v>
      </c>
      <c r="DD34" s="163">
        <f>AKPK!ED38/1000</f>
        <v>1439.4215999999278</v>
      </c>
      <c r="DE34" s="163">
        <f>AKPK!EE38/1000</f>
        <v>2306.2517000000448</v>
      </c>
      <c r="DF34" s="163">
        <f>AKPK!EF38/1000</f>
        <v>2086.132870000044</v>
      </c>
      <c r="DG34" s="163">
        <f>AKPK!EG38/1000</f>
        <v>1344.6749999999674</v>
      </c>
    </row>
    <row r="35" spans="1:111" s="115" customFormat="1" ht="25.5" customHeight="1">
      <c r="A35" s="765"/>
      <c r="B35" s="765"/>
      <c r="C35" s="164" t="s">
        <v>4</v>
      </c>
      <c r="D35" s="165">
        <v>218.75316000000001</v>
      </c>
      <c r="E35" s="165">
        <v>204.32141000000101</v>
      </c>
      <c r="F35" s="165">
        <v>298.72215999999497</v>
      </c>
      <c r="G35" s="165">
        <v>-7.4770000008866105E-2</v>
      </c>
      <c r="H35" s="165">
        <v>116.81253</v>
      </c>
      <c r="I35" s="165">
        <v>22.559620000005602</v>
      </c>
      <c r="J35" s="165">
        <v>126.11558999999333</v>
      </c>
      <c r="K35" s="166">
        <v>-52.691959999982203</v>
      </c>
      <c r="L35" s="166">
        <v>189.202649999984</v>
      </c>
      <c r="M35" s="166">
        <v>111.604469999996</v>
      </c>
      <c r="N35" s="166">
        <v>93.574700000001997</v>
      </c>
      <c r="O35" s="166">
        <v>44.050910000000101</v>
      </c>
      <c r="P35" s="166">
        <v>162.91310999999899</v>
      </c>
      <c r="Q35" s="166">
        <v>118.46960000000099</v>
      </c>
      <c r="R35" s="166">
        <v>201.20128</v>
      </c>
      <c r="S35" s="166">
        <v>67.377119999999195</v>
      </c>
      <c r="T35" s="166">
        <v>60.894550000002603</v>
      </c>
      <c r="U35" s="166">
        <v>95.371329999996306</v>
      </c>
      <c r="V35" s="166">
        <v>114.925659999994</v>
      </c>
      <c r="W35" s="166">
        <v>220.72083000000799</v>
      </c>
      <c r="X35" s="166">
        <v>168.56107</v>
      </c>
      <c r="Y35" s="166">
        <v>203.44977</v>
      </c>
      <c r="Z35" s="166">
        <v>-47.322049999999798</v>
      </c>
      <c r="AA35" s="166">
        <v>269.67289</v>
      </c>
      <c r="AB35" s="166">
        <v>232.78792999999999</v>
      </c>
      <c r="AC35" s="166">
        <v>145.11301000000165</v>
      </c>
      <c r="AD35" s="166">
        <v>158.732209999997</v>
      </c>
      <c r="AE35" s="166">
        <v>238.611220000001</v>
      </c>
      <c r="AF35" s="166">
        <v>250.31507999999999</v>
      </c>
      <c r="AG35" s="166">
        <v>231.09504000000101</v>
      </c>
      <c r="AH35" s="166">
        <v>318.090489999998</v>
      </c>
      <c r="AI35" s="166">
        <v>238.74540999999456</v>
      </c>
      <c r="AJ35" s="166">
        <v>228.2771700000111</v>
      </c>
      <c r="AK35" s="166">
        <v>211.04049999999629</v>
      </c>
      <c r="AL35" s="166">
        <v>24.94692999999225</v>
      </c>
      <c r="AM35" s="166">
        <v>214.87192000000738</v>
      </c>
      <c r="AN35" s="166">
        <v>204.03758000000008</v>
      </c>
      <c r="AO35" s="166">
        <v>227.36105000000074</v>
      </c>
      <c r="AP35" s="166">
        <v>187.11738</v>
      </c>
      <c r="AQ35" s="166">
        <v>168.65629000000098</v>
      </c>
      <c r="AR35" s="166">
        <v>196.61172999999673</v>
      </c>
      <c r="AS35" s="166">
        <v>156.59185000000522</v>
      </c>
      <c r="AT35" s="166">
        <v>182.06513000000001</v>
      </c>
      <c r="AU35" s="166">
        <v>148.90440000000601</v>
      </c>
      <c r="AV35" s="166">
        <v>190.08735999999001</v>
      </c>
      <c r="AW35" s="166">
        <v>200.09718000001499</v>
      </c>
      <c r="AX35" s="166">
        <v>187.328640000012</v>
      </c>
      <c r="AY35" s="166">
        <v>271.89575999996401</v>
      </c>
      <c r="AZ35" s="166">
        <v>298.35930000002901</v>
      </c>
      <c r="BA35" s="166">
        <v>270.14573999995702</v>
      </c>
      <c r="BB35" s="166">
        <v>353.32588000001402</v>
      </c>
      <c r="BC35" s="166">
        <v>1051.5771099999999</v>
      </c>
      <c r="BD35" s="166">
        <v>497.40665000000035</v>
      </c>
      <c r="BE35" s="166">
        <v>233.467299999999</v>
      </c>
      <c r="BF35" s="166">
        <v>304.57610999999901</v>
      </c>
      <c r="BG35" s="166">
        <v>333.91233999999997</v>
      </c>
      <c r="BH35" s="166">
        <v>431.58724000000001</v>
      </c>
      <c r="BI35" s="166">
        <f>AKPK!CI28/1000</f>
        <v>238.4122100000009</v>
      </c>
      <c r="BJ35" s="166">
        <f>AKPK!CJ28/1000</f>
        <v>348.20675999999793</v>
      </c>
      <c r="BK35" s="166">
        <f>AKPK!CK28/1000</f>
        <v>4.8208500000014904</v>
      </c>
      <c r="BL35" s="166">
        <f>AKPK!CL28/1000</f>
        <v>291.12560999999943</v>
      </c>
      <c r="BM35" s="166">
        <f>AKPK!CM28/1000</f>
        <v>10.919879999998956</v>
      </c>
      <c r="BN35" s="166">
        <f>AKPK!CN28/1000</f>
        <v>347.34381000004709</v>
      </c>
      <c r="BO35" s="166">
        <f>AKPK!CO28/1000</f>
        <v>-1107.1017200000697</v>
      </c>
      <c r="BP35" s="166">
        <f>AKPK!CP28/1000</f>
        <v>-93.746069999974225</v>
      </c>
      <c r="BQ35" s="166">
        <f>AKPK!CQ28/1000</f>
        <v>298.70479999999702</v>
      </c>
      <c r="BR35" s="166">
        <f>AKPK!CR28/1000</f>
        <v>-69.62886999999732</v>
      </c>
      <c r="BS35" s="166">
        <f>AKPK!CS28/1000</f>
        <v>162.69804999999701</v>
      </c>
      <c r="BT35" s="166">
        <f>AKPK!CT28/1000</f>
        <v>693.25968000000341</v>
      </c>
      <c r="BU35" s="166">
        <f>AKPK!CU28/1000</f>
        <v>242.10582999999821</v>
      </c>
      <c r="BV35" s="166">
        <f>AKPK!CV28/1000</f>
        <v>99.579969999998809</v>
      </c>
      <c r="BW35" s="166">
        <f>AKPK!CW28/1000</f>
        <v>9.3514299999997021</v>
      </c>
      <c r="BX35" s="166">
        <f>AKPK!CX28/1000</f>
        <v>521.1000300000012</v>
      </c>
      <c r="BY35" s="166">
        <f>[1]AKPK!CY28/1000</f>
        <v>-22.543009999997913</v>
      </c>
      <c r="BZ35" s="166">
        <f>AKPK!CZ28/1000</f>
        <v>211.81482999999449</v>
      </c>
      <c r="CA35" s="166">
        <f>AKPK!DA28/1000</f>
        <v>-135.79181999999284</v>
      </c>
      <c r="CB35" s="166">
        <f>AKPK!DB28/1000</f>
        <v>-464.37223000001535</v>
      </c>
      <c r="CC35" s="166">
        <f>AKPK!DC28/1000</f>
        <v>-69.211740000005818</v>
      </c>
      <c r="CD35" s="166">
        <f>AKPK!DD28/1000</f>
        <v>125.93200000001117</v>
      </c>
      <c r="CE35" s="166">
        <f>AKPK!DE28/1000</f>
        <v>-54.938549999963492</v>
      </c>
      <c r="CF35" s="166">
        <f>AKPK!DF28/1000</f>
        <v>113.47343999994173</v>
      </c>
      <c r="CG35" s="166">
        <f>AKPK!DG28/1000</f>
        <v>195.15875</v>
      </c>
      <c r="CH35" s="166">
        <f>AKPK!DH28/1000</f>
        <v>320.84491000001879</v>
      </c>
      <c r="CI35" s="166">
        <f>AKPK!DI28/1000</f>
        <v>539.50740999999266</v>
      </c>
      <c r="CJ35" s="166">
        <f>AKPK!DJ28/1000</f>
        <v>84.459200000047687</v>
      </c>
      <c r="CK35" s="166">
        <f>AKPK!DK28/1000</f>
        <v>-188.85012000001223</v>
      </c>
      <c r="CL35" s="166">
        <f>AKPK!DL28/1000</f>
        <v>674.53400999999417</v>
      </c>
      <c r="CM35" s="166">
        <f>AKPK!DM28/1000</f>
        <v>234.37133999996632</v>
      </c>
      <c r="CN35" s="166">
        <f>AKPK!DN28/1000</f>
        <v>603.89703000001987</v>
      </c>
      <c r="CO35" s="166">
        <f>AKPK!DO28/1000</f>
        <v>553.89810999993233</v>
      </c>
      <c r="CP35" s="166">
        <f>AKPK!DP28/1000</f>
        <v>313.66204000001773</v>
      </c>
      <c r="CQ35" s="166">
        <f>AKPK!DQ28/1000</f>
        <v>489.50717000008746</v>
      </c>
      <c r="CR35" s="166">
        <f>AKPK!DR28/1000</f>
        <v>845.36648000000048</v>
      </c>
      <c r="CS35" s="166">
        <f>AKPK!DS28/1000</f>
        <v>678.67140999997775</v>
      </c>
      <c r="CT35" s="166">
        <f>AKPK!DT28/1000</f>
        <v>677.22495000005881</v>
      </c>
      <c r="CU35" s="166">
        <f>AKPK!DU28/1000</f>
        <v>636.40007999992747</v>
      </c>
      <c r="CV35" s="166">
        <f>AKPK!DV28/1000</f>
        <v>853.46223000006751</v>
      </c>
      <c r="CW35" s="166">
        <f>AKPK!DW28/1000</f>
        <v>1086.8254499999694</v>
      </c>
      <c r="CX35" s="166">
        <f>AKPK!DX28/1000</f>
        <v>501.93001999988036</v>
      </c>
      <c r="CY35" s="166">
        <f>AKPK!DY28/1000</f>
        <v>622.86035000004995</v>
      </c>
      <c r="CZ35" s="166">
        <f>AKPK!DZ28/1000</f>
        <v>245.19120000001789</v>
      </c>
      <c r="DA35" s="166">
        <f>AKPK!EA28/1000</f>
        <v>477.94086000002176</v>
      </c>
      <c r="DB35" s="166">
        <f>AKPK!EB28/1000</f>
        <v>72.812819999944423</v>
      </c>
      <c r="DC35" s="166">
        <f>AKPK!EC28/1000</f>
        <v>304.19765000001712</v>
      </c>
      <c r="DD35" s="166">
        <f>AKPK!ED28/1000</f>
        <v>85.046730000067498</v>
      </c>
      <c r="DE35" s="166">
        <f>AKPK!EE28/1000</f>
        <v>446.64162999995426</v>
      </c>
      <c r="DF35" s="166">
        <f>AKPK!EF28/1000</f>
        <v>401.42818999996035</v>
      </c>
      <c r="DG35" s="166">
        <f>AKPK!EG28/1000</f>
        <v>-906.67926999997349</v>
      </c>
    </row>
    <row r="36" spans="1:111" s="68" customFormat="1" ht="25.5" customHeight="1">
      <c r="A36" s="765"/>
      <c r="B36" s="765"/>
      <c r="C36" s="167" t="s">
        <v>58</v>
      </c>
      <c r="D36" s="168">
        <v>4642.4076700000005</v>
      </c>
      <c r="E36" s="168">
        <v>4535.07564</v>
      </c>
      <c r="F36" s="168">
        <v>4314.5916200000001</v>
      </c>
      <c r="G36" s="168">
        <f>+F36+G34-G33</f>
        <v>4285.0410500000007</v>
      </c>
      <c r="H36" s="168">
        <f>+G36+H34-H33</f>
        <v>4110.5788200000025</v>
      </c>
      <c r="I36" s="168">
        <f>+H36+I34-I33</f>
        <v>3893.0636599999975</v>
      </c>
      <c r="J36" s="168">
        <f>+I36+J34-J33</f>
        <v>3819.9248000000043</v>
      </c>
      <c r="K36" s="169">
        <f t="shared" ref="K36:P36" si="228">+J36+K34-K33</f>
        <v>3756.3266600000002</v>
      </c>
      <c r="L36" s="169">
        <f t="shared" si="228"/>
        <v>3526.1095099999957</v>
      </c>
      <c r="M36" s="169">
        <f t="shared" si="228"/>
        <v>3559.6557899999998</v>
      </c>
      <c r="N36" s="169">
        <f t="shared" si="228"/>
        <v>3293.4847400000249</v>
      </c>
      <c r="O36" s="169">
        <f t="shared" si="228"/>
        <v>3419.5324700000228</v>
      </c>
      <c r="P36" s="169">
        <f t="shared" si="228"/>
        <v>3617.623290000025</v>
      </c>
      <c r="Q36" s="169">
        <f t="shared" ref="Q36:AP36" si="229">+P36+Q34-Q33</f>
        <v>3839.6127400000241</v>
      </c>
      <c r="R36" s="169">
        <f t="shared" si="229"/>
        <v>4180.3945600000261</v>
      </c>
      <c r="S36" s="169">
        <f t="shared" si="229"/>
        <v>4303.2593200000265</v>
      </c>
      <c r="T36" s="169">
        <f t="shared" si="229"/>
        <v>4177.753880000022</v>
      </c>
      <c r="U36" s="169">
        <f t="shared" si="229"/>
        <v>4097.1457500000233</v>
      </c>
      <c r="V36" s="169">
        <f t="shared" si="229"/>
        <v>3756.6523000000316</v>
      </c>
      <c r="W36" s="169">
        <f t="shared" si="229"/>
        <v>3565.5797300000204</v>
      </c>
      <c r="X36" s="169">
        <f t="shared" si="229"/>
        <v>3516.6544200000221</v>
      </c>
      <c r="Y36" s="169">
        <f t="shared" si="229"/>
        <v>4292.4624800000229</v>
      </c>
      <c r="Z36" s="169">
        <f t="shared" si="229"/>
        <v>5120.3474400000232</v>
      </c>
      <c r="AA36" s="169">
        <f t="shared" si="229"/>
        <v>5795.8855900000226</v>
      </c>
      <c r="AB36" s="169">
        <f t="shared" si="229"/>
        <v>5729.9291700000222</v>
      </c>
      <c r="AC36" s="169">
        <f t="shared" si="229"/>
        <v>5983.2929000000204</v>
      </c>
      <c r="AD36" s="169">
        <f t="shared" si="229"/>
        <v>6183.4642000000204</v>
      </c>
      <c r="AE36" s="169">
        <f t="shared" si="229"/>
        <v>6025.9775100000197</v>
      </c>
      <c r="AF36" s="169">
        <f t="shared" si="229"/>
        <v>6155.6009100000192</v>
      </c>
      <c r="AG36" s="169">
        <f t="shared" si="229"/>
        <v>6249.2259600000198</v>
      </c>
      <c r="AH36" s="169">
        <f t="shared" si="229"/>
        <v>5361.5598000000209</v>
      </c>
      <c r="AI36" s="169">
        <f t="shared" si="229"/>
        <v>4874.582320000025</v>
      </c>
      <c r="AJ36" s="169">
        <f t="shared" si="229"/>
        <v>4705.8855000000131</v>
      </c>
      <c r="AK36" s="169">
        <f t="shared" si="229"/>
        <v>5099.3517300000185</v>
      </c>
      <c r="AL36" s="169">
        <f t="shared" si="229"/>
        <v>5218.7009000000244</v>
      </c>
      <c r="AM36" s="169">
        <f t="shared" si="229"/>
        <v>5710.548579999916</v>
      </c>
      <c r="AN36" s="169">
        <f t="shared" si="229"/>
        <v>5975.5250100000185</v>
      </c>
      <c r="AO36" s="169">
        <f t="shared" si="229"/>
        <v>5636.2254900000153</v>
      </c>
      <c r="AP36" s="169">
        <f t="shared" si="229"/>
        <v>5408.998220000015</v>
      </c>
      <c r="AQ36" s="169">
        <f t="shared" ref="AQ36:BS36" si="230">+AP36+AQ34-AQ33</f>
        <v>5361.3330800000167</v>
      </c>
      <c r="AR36" s="169">
        <f t="shared" si="230"/>
        <v>5248.1756500000211</v>
      </c>
      <c r="AS36" s="169">
        <f t="shared" si="230"/>
        <v>5395.0646700000134</v>
      </c>
      <c r="AT36" s="169">
        <f t="shared" si="230"/>
        <v>5588.5918900000133</v>
      </c>
      <c r="AU36" s="169">
        <f t="shared" si="230"/>
        <v>5426.1034500000032</v>
      </c>
      <c r="AV36" s="169">
        <f t="shared" si="230"/>
        <v>5595.7802500000134</v>
      </c>
      <c r="AW36" s="169">
        <f t="shared" si="230"/>
        <v>5791.4034200000033</v>
      </c>
      <c r="AX36" s="169">
        <f t="shared" si="230"/>
        <v>6116.6215499999926</v>
      </c>
      <c r="AY36" s="169">
        <f t="shared" si="230"/>
        <v>6178.4338100000323</v>
      </c>
      <c r="AZ36" s="169">
        <f t="shared" si="230"/>
        <v>6869.5388800000028</v>
      </c>
      <c r="BA36" s="169">
        <f t="shared" si="230"/>
        <v>7650.2771400000538</v>
      </c>
      <c r="BB36" s="169">
        <f t="shared" si="230"/>
        <v>7634.2715300000427</v>
      </c>
      <c r="BC36" s="169">
        <f t="shared" si="230"/>
        <v>6878.3815700000396</v>
      </c>
      <c r="BD36" s="169">
        <f t="shared" si="230"/>
        <v>7029.4845400000395</v>
      </c>
      <c r="BE36" s="169">
        <f t="shared" si="230"/>
        <v>7124.6238500000391</v>
      </c>
      <c r="BF36" s="169">
        <f t="shared" si="230"/>
        <v>8124.654600000039</v>
      </c>
      <c r="BG36" s="169">
        <f t="shared" si="230"/>
        <v>7570.9259600000396</v>
      </c>
      <c r="BH36" s="169">
        <f t="shared" si="230"/>
        <v>7548.2872800000378</v>
      </c>
      <c r="BI36" s="169">
        <f t="shared" si="230"/>
        <v>8737.4457500000353</v>
      </c>
      <c r="BJ36" s="169">
        <f t="shared" si="230"/>
        <v>7887.8209699999388</v>
      </c>
      <c r="BK36" s="169">
        <f t="shared" si="230"/>
        <v>8718.4978800000354</v>
      </c>
      <c r="BL36" s="169">
        <f t="shared" si="230"/>
        <v>7729.7814200000394</v>
      </c>
      <c r="BM36" s="169">
        <f t="shared" si="230"/>
        <v>7451.1958700000378</v>
      </c>
      <c r="BN36" s="169">
        <f t="shared" si="230"/>
        <v>7014.422439999993</v>
      </c>
      <c r="BO36" s="169">
        <f t="shared" si="230"/>
        <v>8626.2637200000627</v>
      </c>
      <c r="BP36" s="169">
        <f t="shared" si="230"/>
        <v>9193.5880100000322</v>
      </c>
      <c r="BQ36" s="169">
        <f t="shared" si="230"/>
        <v>9801.2674700000407</v>
      </c>
      <c r="BR36" s="169">
        <f t="shared" si="230"/>
        <v>10037.597340000038</v>
      </c>
      <c r="BS36" s="169">
        <f t="shared" si="230"/>
        <v>9721.3632200000429</v>
      </c>
      <c r="BT36" s="169">
        <f t="shared" ref="BT36:CS36" si="231">+BS36+BT34-BT33</f>
        <v>10232.839220000036</v>
      </c>
      <c r="BU36" s="169">
        <f t="shared" si="231"/>
        <v>9628.8778700000439</v>
      </c>
      <c r="BV36" s="169">
        <f t="shared" si="231"/>
        <v>10515.112890000048</v>
      </c>
      <c r="BW36" s="169">
        <f t="shared" si="231"/>
        <v>10515.787170000047</v>
      </c>
      <c r="BX36" s="169">
        <f t="shared" si="231"/>
        <v>10482.534750000046</v>
      </c>
      <c r="BY36" s="169">
        <f t="shared" si="231"/>
        <v>6860.1571000000431</v>
      </c>
      <c r="BZ36" s="169">
        <v>6950.4990600000001</v>
      </c>
      <c r="CA36" s="169">
        <f t="shared" si="231"/>
        <v>6664.2104899999958</v>
      </c>
      <c r="CB36" s="169">
        <f t="shared" si="231"/>
        <v>6846.5900700000084</v>
      </c>
      <c r="CC36" s="169">
        <f t="shared" si="231"/>
        <v>6681.6380800000134</v>
      </c>
      <c r="CD36" s="169">
        <f t="shared" si="231"/>
        <v>6527.5309699999989</v>
      </c>
      <c r="CE36" s="169">
        <f t="shared" si="231"/>
        <v>7528.707849999967</v>
      </c>
      <c r="CF36" s="169">
        <f t="shared" si="231"/>
        <v>7469.2051100000208</v>
      </c>
      <c r="CG36" s="169">
        <f t="shared" si="231"/>
        <v>8096.7350300000217</v>
      </c>
      <c r="CH36" s="169">
        <f t="shared" si="231"/>
        <v>8728.8080200000059</v>
      </c>
      <c r="CI36" s="169">
        <f t="shared" si="231"/>
        <v>8122.6767700000146</v>
      </c>
      <c r="CJ36" s="169">
        <f t="shared" si="231"/>
        <v>8603.1514999999617</v>
      </c>
      <c r="CK36" s="169">
        <f t="shared" si="231"/>
        <v>8943.8084899999758</v>
      </c>
      <c r="CL36" s="169">
        <f t="shared" si="231"/>
        <v>8862.2812899999844</v>
      </c>
      <c r="CM36" s="169">
        <f t="shared" si="231"/>
        <v>8990.129760000018</v>
      </c>
      <c r="CN36" s="169">
        <f t="shared" si="231"/>
        <v>9055.9922699999952</v>
      </c>
      <c r="CO36" s="169">
        <f t="shared" si="231"/>
        <v>8549.1186400000624</v>
      </c>
      <c r="CP36" s="169">
        <f t="shared" si="231"/>
        <v>8464.2921100000494</v>
      </c>
      <c r="CQ36" s="169">
        <f t="shared" si="231"/>
        <v>8596.9441299999598</v>
      </c>
      <c r="CR36" s="169">
        <f t="shared" si="231"/>
        <v>9067.878989999961</v>
      </c>
      <c r="CS36" s="169">
        <f t="shared" si="231"/>
        <v>9288.4688599999881</v>
      </c>
      <c r="CT36" s="169">
        <f t="shared" ref="CT36:CY36" si="232">+CS36+CT34-CT33</f>
        <v>9322.2618999999177</v>
      </c>
      <c r="CU36" s="169">
        <f t="shared" si="232"/>
        <v>8366.1506599999884</v>
      </c>
      <c r="CV36" s="169">
        <f t="shared" si="232"/>
        <v>7976.6502599999258</v>
      </c>
      <c r="CW36" s="169">
        <f t="shared" si="232"/>
        <v>7710.8950499999573</v>
      </c>
      <c r="CX36" s="169">
        <f t="shared" si="232"/>
        <v>7480.6984400000729</v>
      </c>
      <c r="CY36" s="169">
        <f t="shared" si="232"/>
        <v>7071.95939000002</v>
      </c>
      <c r="CZ36" s="169">
        <f t="shared" ref="CZ36:DE36" si="233">+CY36+CZ34-CZ33</f>
        <v>6818.4226099999969</v>
      </c>
      <c r="DA36" s="169">
        <f t="shared" si="233"/>
        <v>6512.470639999985</v>
      </c>
      <c r="DB36" s="169">
        <f t="shared" si="233"/>
        <v>6367.2667600000377</v>
      </c>
      <c r="DC36" s="169">
        <f t="shared" si="233"/>
        <v>5760.9162400000314</v>
      </c>
      <c r="DD36" s="169">
        <f t="shared" si="233"/>
        <v>5194.732219999958</v>
      </c>
      <c r="DE36" s="169">
        <f t="shared" si="233"/>
        <v>5560.4841300000026</v>
      </c>
      <c r="DF36" s="169">
        <f>+DE36+DF34-DF33</f>
        <v>5291.9062400000466</v>
      </c>
      <c r="DG36" s="169">
        <f>+DF36+DG34-DG33</f>
        <v>4857.256360000014</v>
      </c>
    </row>
    <row r="37" spans="1:111" ht="25.5" customHeight="1">
      <c r="A37" s="765"/>
      <c r="B37" s="765"/>
      <c r="C37" s="261" t="s">
        <v>61</v>
      </c>
      <c r="D37" s="259">
        <v>2.5247922360486331E-2</v>
      </c>
      <c r="E37" s="259">
        <v>2.4888181149531532E-2</v>
      </c>
      <c r="F37" s="259">
        <v>2.360084629900102E-2</v>
      </c>
      <c r="G37" s="259">
        <f>+G36/G41</f>
        <v>2.4098651990358599E-2</v>
      </c>
      <c r="H37" s="259">
        <f>+H36/H41</f>
        <v>2.3132121240569577E-2</v>
      </c>
      <c r="I37" s="259">
        <f>+I36/I41</f>
        <v>2.1906075753071467E-2</v>
      </c>
      <c r="J37" s="259">
        <f t="shared" ref="J37:Q37" si="234">+J36/J41</f>
        <v>2.123888767353883E-2</v>
      </c>
      <c r="K37" s="260">
        <f t="shared" si="234"/>
        <v>2.0836199231066048E-2</v>
      </c>
      <c r="L37" s="260">
        <f t="shared" si="234"/>
        <v>1.9054724283347382E-2</v>
      </c>
      <c r="M37" s="260">
        <f t="shared" si="234"/>
        <v>1.8391776755293146E-2</v>
      </c>
      <c r="N37" s="260">
        <f t="shared" si="234"/>
        <v>1.6469348548523995E-2</v>
      </c>
      <c r="O37" s="260">
        <f t="shared" si="234"/>
        <v>1.6111802045979121E-2</v>
      </c>
      <c r="P37" s="260">
        <f t="shared" si="234"/>
        <v>1.5859173317919278E-2</v>
      </c>
      <c r="Q37" s="260">
        <f t="shared" si="234"/>
        <v>1.602482794832439E-2</v>
      </c>
      <c r="R37" s="260">
        <f t="shared" ref="R37:W37" si="235">+R36/R41</f>
        <v>1.7070742658612973E-2</v>
      </c>
      <c r="S37" s="260">
        <f t="shared" si="235"/>
        <v>1.7346876689384248E-2</v>
      </c>
      <c r="T37" s="260">
        <f t="shared" si="235"/>
        <v>1.5588270332468698E-2</v>
      </c>
      <c r="U37" s="260">
        <f t="shared" si="235"/>
        <v>1.4081264395200502E-2</v>
      </c>
      <c r="V37" s="260">
        <f t="shared" si="235"/>
        <v>1.2262334812833198E-2</v>
      </c>
      <c r="W37" s="260">
        <f t="shared" si="235"/>
        <v>1.0996875012543693E-2</v>
      </c>
      <c r="X37" s="260">
        <f t="shared" ref="X37:AC37" si="236">+X36/X41</f>
        <v>1.0373574641448589E-2</v>
      </c>
      <c r="Y37" s="260">
        <f t="shared" si="236"/>
        <v>1.2178687682237354E-2</v>
      </c>
      <c r="Z37" s="260">
        <f t="shared" si="236"/>
        <v>1.4402946953126737E-2</v>
      </c>
      <c r="AA37" s="260">
        <f t="shared" si="236"/>
        <v>1.6006313245877167E-2</v>
      </c>
      <c r="AB37" s="260">
        <f t="shared" si="236"/>
        <v>1.5572825047750519E-2</v>
      </c>
      <c r="AC37" s="260">
        <f t="shared" si="236"/>
        <v>1.5911782305912683E-2</v>
      </c>
      <c r="AD37" s="260">
        <f t="shared" ref="AD37:AI37" si="237">+AD36/AD41</f>
        <v>1.6615426952263906E-2</v>
      </c>
      <c r="AE37" s="260">
        <f t="shared" si="237"/>
        <v>1.6283319287232815E-2</v>
      </c>
      <c r="AF37" s="260">
        <f t="shared" si="237"/>
        <v>1.6499350322617533E-2</v>
      </c>
      <c r="AG37" s="260">
        <f t="shared" si="237"/>
        <v>1.6404793266559567E-2</v>
      </c>
      <c r="AH37" s="260">
        <f t="shared" si="237"/>
        <v>1.377177252653479E-2</v>
      </c>
      <c r="AI37" s="260">
        <f t="shared" si="237"/>
        <v>1.2324294241715097E-2</v>
      </c>
      <c r="AJ37" s="260">
        <f t="shared" ref="AJ37:AO37" si="238">+AJ36/AJ41</f>
        <v>1.1660753534116747E-2</v>
      </c>
      <c r="AK37" s="260">
        <f t="shared" si="238"/>
        <v>1.2437944571640118E-2</v>
      </c>
      <c r="AL37" s="260">
        <f t="shared" si="238"/>
        <v>1.2597434322023274E-2</v>
      </c>
      <c r="AM37" s="260">
        <f t="shared" si="238"/>
        <v>1.354955464293834E-2</v>
      </c>
      <c r="AN37" s="260">
        <f t="shared" si="238"/>
        <v>1.392058087133689E-2</v>
      </c>
      <c r="AO37" s="260">
        <f t="shared" si="238"/>
        <v>1.2915001967173571E-2</v>
      </c>
      <c r="AP37" s="260">
        <f t="shared" ref="AP37:AU37" si="239">+AP36/AP41</f>
        <v>1.2394015879432375E-2</v>
      </c>
      <c r="AQ37" s="260">
        <f t="shared" si="239"/>
        <v>1.2441638203286483E-2</v>
      </c>
      <c r="AR37" s="260">
        <f t="shared" si="239"/>
        <v>1.1988775319988994E-2</v>
      </c>
      <c r="AS37" s="260">
        <f t="shared" si="239"/>
        <v>1.2133584769247596E-2</v>
      </c>
      <c r="AT37" s="260">
        <f t="shared" si="239"/>
        <v>1.2258384208267458E-2</v>
      </c>
      <c r="AU37" s="260">
        <f t="shared" si="239"/>
        <v>1.1671495960059151E-2</v>
      </c>
      <c r="AV37" s="260">
        <f t="shared" ref="AV37:BB37" si="240">+AV36/AV41</f>
        <v>1.1668985216450465E-2</v>
      </c>
      <c r="AW37" s="260">
        <f t="shared" si="240"/>
        <v>1.1890162669810101E-2</v>
      </c>
      <c r="AX37" s="260">
        <f t="shared" si="240"/>
        <v>1.2475290290785741E-2</v>
      </c>
      <c r="AY37" s="260">
        <f t="shared" si="240"/>
        <v>1.2314502854497885E-2</v>
      </c>
      <c r="AZ37" s="260">
        <f t="shared" si="240"/>
        <v>1.3392440165688939E-2</v>
      </c>
      <c r="BA37" s="260">
        <f t="shared" si="240"/>
        <v>1.4678713673076892E-2</v>
      </c>
      <c r="BB37" s="260">
        <f t="shared" si="240"/>
        <v>1.4658786715503165E-2</v>
      </c>
      <c r="BC37" s="260">
        <f t="shared" ref="BC37:BI37" si="241">+BC36/BC41</f>
        <v>1.33135495477691E-2</v>
      </c>
      <c r="BD37" s="260">
        <f t="shared" si="241"/>
        <v>1.3462892131665091E-2</v>
      </c>
      <c r="BE37" s="260">
        <f t="shared" si="241"/>
        <v>1.3582058919537319E-2</v>
      </c>
      <c r="BF37" s="260">
        <f t="shared" si="241"/>
        <v>1.5278178047487736E-2</v>
      </c>
      <c r="BG37" s="260">
        <f t="shared" si="241"/>
        <v>1.4227634237412249E-2</v>
      </c>
      <c r="BH37" s="260">
        <f t="shared" si="241"/>
        <v>1.4129500285625653E-2</v>
      </c>
      <c r="BI37" s="260">
        <f t="shared" si="241"/>
        <v>1.6087677445147615E-2</v>
      </c>
      <c r="BJ37" s="260">
        <f t="shared" ref="BJ37:BO37" si="242">+BJ36/BJ41</f>
        <v>1.4653334239881997E-2</v>
      </c>
      <c r="BK37" s="260">
        <f t="shared" si="242"/>
        <v>1.6012458853447341E-2</v>
      </c>
      <c r="BL37" s="260">
        <f t="shared" si="242"/>
        <v>1.4111223681235522E-2</v>
      </c>
      <c r="BM37" s="260">
        <f t="shared" si="242"/>
        <v>1.3640606665772251E-2</v>
      </c>
      <c r="BN37" s="260">
        <f t="shared" si="242"/>
        <v>1.2966769422547016E-2</v>
      </c>
      <c r="BO37" s="260">
        <f t="shared" si="242"/>
        <v>1.6581070542012716E-2</v>
      </c>
      <c r="BP37" s="260">
        <f t="shared" ref="BP37:BU37" si="243">+BP36/BP41</f>
        <v>1.8052290110907164E-2</v>
      </c>
      <c r="BQ37" s="260">
        <f t="shared" si="243"/>
        <v>1.9216231246558239E-2</v>
      </c>
      <c r="BR37" s="260">
        <f t="shared" si="243"/>
        <v>1.926075234451315E-2</v>
      </c>
      <c r="BS37" s="260">
        <f t="shared" si="243"/>
        <v>1.8758446543071579E-2</v>
      </c>
      <c r="BT37" s="260">
        <f t="shared" si="243"/>
        <v>1.9645201112330146E-2</v>
      </c>
      <c r="BU37" s="260">
        <f t="shared" si="243"/>
        <v>1.8337153000784281E-2</v>
      </c>
      <c r="BV37" s="260">
        <f t="shared" ref="BV37:CA37" si="244">+BV36/BV41</f>
        <v>2.008304208600846E-2</v>
      </c>
      <c r="BW37" s="260">
        <f t="shared" si="244"/>
        <v>1.9800686560328611E-2</v>
      </c>
      <c r="BX37" s="260">
        <f t="shared" si="244"/>
        <v>1.954266391870205E-2</v>
      </c>
      <c r="BY37" s="285">
        <f t="shared" si="244"/>
        <v>1.2637921890800626E-2</v>
      </c>
      <c r="BZ37" s="260">
        <f t="shared" si="244"/>
        <v>1.2901242137494667E-2</v>
      </c>
      <c r="CA37" s="260">
        <f t="shared" si="244"/>
        <v>1.2421596378736596E-2</v>
      </c>
      <c r="CB37" s="260">
        <f t="shared" ref="CB37:CG37" si="245">+CB36/CB41</f>
        <v>1.272492969227508E-2</v>
      </c>
      <c r="CC37" s="260">
        <f t="shared" si="245"/>
        <v>1.2214940906233431E-2</v>
      </c>
      <c r="CD37" s="260">
        <f t="shared" si="245"/>
        <v>1.1807949262235214E-2</v>
      </c>
      <c r="CE37" s="260">
        <f t="shared" si="245"/>
        <v>1.3560922086114771E-2</v>
      </c>
      <c r="CF37" s="260">
        <f t="shared" si="245"/>
        <v>1.3284923264965937E-2</v>
      </c>
      <c r="CG37" s="260">
        <f t="shared" si="245"/>
        <v>1.4349615899268635E-2</v>
      </c>
      <c r="CH37" s="260">
        <f t="shared" ref="CH37:CI37" si="246">+CH36/CH41</f>
        <v>1.5327692870880101E-2</v>
      </c>
      <c r="CI37" s="260">
        <f t="shared" si="246"/>
        <v>1.4080048002211305E-2</v>
      </c>
      <c r="CJ37" s="260">
        <f t="shared" ref="CJ37:CK37" si="247">+CJ36/CJ41</f>
        <v>1.469394090774255E-2</v>
      </c>
      <c r="CK37" s="260">
        <f t="shared" si="247"/>
        <v>1.5095046869861821E-2</v>
      </c>
      <c r="CL37" s="260">
        <f t="shared" ref="CL37:CM37" si="248">+CL36/CL41</f>
        <v>1.5105816377036622E-2</v>
      </c>
      <c r="CM37" s="260">
        <f t="shared" si="248"/>
        <v>1.5490576751399192E-2</v>
      </c>
      <c r="CN37" s="260">
        <f t="shared" ref="CN37:CO37" si="249">+CN36/CN41</f>
        <v>1.5579651237107256E-2</v>
      </c>
      <c r="CO37" s="260">
        <f t="shared" si="249"/>
        <v>1.4687470247580253E-2</v>
      </c>
      <c r="CP37" s="260">
        <f t="shared" ref="CP37:CQ37" si="250">+CP36/CP41</f>
        <v>1.4409967272480685E-2</v>
      </c>
      <c r="CQ37" s="260">
        <f t="shared" si="250"/>
        <v>1.4618594156614447E-2</v>
      </c>
      <c r="CR37" s="260">
        <f t="shared" ref="CR37:CS37" si="251">+CR36/CR41</f>
        <v>1.5387593448948524E-2</v>
      </c>
      <c r="CS37" s="260">
        <f t="shared" si="251"/>
        <v>1.5635091127435233E-2</v>
      </c>
      <c r="CT37" s="260">
        <f t="shared" ref="CT37:CU37" si="252">+CT36/CT41</f>
        <v>1.5423982386797897E-2</v>
      </c>
      <c r="CU37" s="260">
        <f t="shared" si="252"/>
        <v>1.370032136595235E-2</v>
      </c>
      <c r="CV37" s="260">
        <f t="shared" ref="CV37:CW37" si="253">+CV36/CV41</f>
        <v>1.2778431892340148E-2</v>
      </c>
      <c r="CW37" s="260">
        <f t="shared" si="253"/>
        <v>1.2006113947821908E-2</v>
      </c>
      <c r="CX37" s="260">
        <f t="shared" ref="CX37:CY37" si="254">+CX36/CX41</f>
        <v>1.169060771235432E-2</v>
      </c>
      <c r="CY37" s="260">
        <f t="shared" si="254"/>
        <v>1.1242065244855831E-2</v>
      </c>
      <c r="CZ37" s="260">
        <f t="shared" ref="CZ37:DA37" si="255">+CZ36/CZ41</f>
        <v>1.0751658515735049E-2</v>
      </c>
      <c r="DA37" s="260">
        <f t="shared" si="255"/>
        <v>1.0244971685232921E-2</v>
      </c>
      <c r="DB37" s="260">
        <f t="shared" ref="DB37:DC37" si="256">+DB36/DB41</f>
        <v>9.8762741931905079E-3</v>
      </c>
      <c r="DC37" s="260">
        <f t="shared" si="256"/>
        <v>8.8390716534525234E-3</v>
      </c>
      <c r="DD37" s="260">
        <f t="shared" ref="DD37:DE37" si="257">+DD36/DD41</f>
        <v>7.8409481396944144E-3</v>
      </c>
      <c r="DE37" s="260">
        <f t="shared" si="257"/>
        <v>8.2240596384617285E-3</v>
      </c>
      <c r="DF37" s="260">
        <f>+DF36/DF41</f>
        <v>7.7506114657331388E-3</v>
      </c>
      <c r="DG37" s="260">
        <f>+DG36/DG41</f>
        <v>6.9225791943710877E-3</v>
      </c>
    </row>
    <row r="38" spans="1:111" s="68" customFormat="1" ht="25.5" customHeight="1">
      <c r="A38" s="765"/>
      <c r="B38" s="765"/>
      <c r="C38" s="170" t="s">
        <v>59</v>
      </c>
      <c r="D38" s="171">
        <v>167165.84693999999</v>
      </c>
      <c r="E38" s="171">
        <v>164831.65823999979</v>
      </c>
      <c r="F38" s="171">
        <v>166671.10328999997</v>
      </c>
      <c r="G38" s="171">
        <v>160734.36285999999</v>
      </c>
      <c r="H38" s="171">
        <v>160844.23318000001</v>
      </c>
      <c r="I38" s="171">
        <v>160028.52149999997</v>
      </c>
      <c r="J38" s="171">
        <v>161908.75671000002</v>
      </c>
      <c r="K38" s="172">
        <v>161436.78766999999</v>
      </c>
      <c r="L38" s="172">
        <v>165320.14856</v>
      </c>
      <c r="M38" s="172">
        <v>174502.07688000001</v>
      </c>
      <c r="N38" s="172">
        <v>176984.84584999998</v>
      </c>
      <c r="O38" s="172">
        <v>188522.91549000001</v>
      </c>
      <c r="P38" s="172">
        <v>200495.10079000003</v>
      </c>
      <c r="Q38" s="172">
        <v>212411.07925000001</v>
      </c>
      <c r="R38" s="172">
        <v>220066.51853</v>
      </c>
      <c r="S38" s="172">
        <v>220649.05703</v>
      </c>
      <c r="T38" s="172">
        <v>232162.79332</v>
      </c>
      <c r="U38" s="172">
        <v>257495.98275</v>
      </c>
      <c r="V38" s="172">
        <v>272973.89515</v>
      </c>
      <c r="W38" s="172">
        <v>288038.91128999996</v>
      </c>
      <c r="X38" s="172">
        <v>303030.04268000001</v>
      </c>
      <c r="Y38" s="172">
        <v>318177.26951999997</v>
      </c>
      <c r="Z38" s="172">
        <v>320800.11830000003</v>
      </c>
      <c r="AA38" s="172">
        <v>327880.80126000004</v>
      </c>
      <c r="AB38" s="172">
        <v>331430.92764000001</v>
      </c>
      <c r="AC38" s="172">
        <v>338265.82540999999</v>
      </c>
      <c r="AD38" s="172">
        <v>335613.25092000002</v>
      </c>
      <c r="AE38" s="172">
        <v>332402.74904999998</v>
      </c>
      <c r="AF38" s="172">
        <v>334610.68754000001</v>
      </c>
      <c r="AG38" s="172">
        <v>338562.05294000002</v>
      </c>
      <c r="AH38" s="172">
        <v>345262.56664999999</v>
      </c>
      <c r="AI38" s="172">
        <v>349033.79203000001</v>
      </c>
      <c r="AJ38" s="172">
        <v>355708.47086999996</v>
      </c>
      <c r="AK38" s="172">
        <v>363179.71824000002</v>
      </c>
      <c r="AL38" s="172">
        <v>366499.31068999995</v>
      </c>
      <c r="AM38" s="172">
        <v>373368.67968000006</v>
      </c>
      <c r="AN38" s="172">
        <v>377906.68238000001</v>
      </c>
      <c r="AO38" s="172">
        <v>385365.34104000003</v>
      </c>
      <c r="AP38" s="172">
        <v>390463.43128000002</v>
      </c>
      <c r="AQ38" s="172">
        <v>380827.70572000003</v>
      </c>
      <c r="AR38" s="172">
        <v>387571.35695999995</v>
      </c>
      <c r="AS38" s="172">
        <v>391586.18350000004</v>
      </c>
      <c r="AT38" s="172">
        <v>401761.45805000007</v>
      </c>
      <c r="AU38" s="172">
        <v>409453.92946999997</v>
      </c>
      <c r="AV38" s="172">
        <v>420409.97985000006</v>
      </c>
      <c r="AW38" s="172">
        <v>424710.8984200001</v>
      </c>
      <c r="AX38" s="172">
        <v>428803.55252999999</v>
      </c>
      <c r="AY38" s="172">
        <v>437069.39602000004</v>
      </c>
      <c r="AZ38" s="172">
        <v>444713.28912999987</v>
      </c>
      <c r="BA38" s="172">
        <v>452459.37537999998</v>
      </c>
      <c r="BB38" s="172">
        <v>453053.54090999998</v>
      </c>
      <c r="BC38" s="172">
        <v>446176.51012999995</v>
      </c>
      <c r="BD38" s="172">
        <v>448158.76954000001</v>
      </c>
      <c r="BE38" s="172">
        <v>449189.27439999999</v>
      </c>
      <c r="BF38" s="172">
        <v>452220.98853999993</v>
      </c>
      <c r="BG38" s="172">
        <v>451545.8677099999</v>
      </c>
      <c r="BH38" s="172">
        <v>453806.09630000009</v>
      </c>
      <c r="BI38" s="172">
        <v>454427.61703999998</v>
      </c>
      <c r="BJ38" s="172">
        <f>'By Product(Link)'!BJ25</f>
        <v>452084.09195999999</v>
      </c>
      <c r="BK38" s="172">
        <f>'By Product(Link)'!BK25</f>
        <v>454200.78694999998</v>
      </c>
      <c r="BL38" s="172">
        <f>'By Product(Link)'!BL25</f>
        <v>455861.02967999998</v>
      </c>
      <c r="BM38" s="172">
        <f>'By Product(Link)'!BM25</f>
        <v>457749.13882999995</v>
      </c>
      <c r="BN38" s="172">
        <f>'By Product(Link)'!BN25</f>
        <v>419835.32001999993</v>
      </c>
      <c r="BO38" s="172">
        <f>'By Product(Link)'!BO25</f>
        <v>401885.83159000002</v>
      </c>
      <c r="BP38" s="172">
        <f>'By Product(Link)'!BP25</f>
        <v>407666.27954999998</v>
      </c>
      <c r="BQ38" s="172">
        <f>'By Product(Link)'!BQ25</f>
        <v>404467.55527999997</v>
      </c>
      <c r="BR38" s="172">
        <f>'By Product(Link)'!BR25</f>
        <v>409279.27242999995</v>
      </c>
      <c r="BS38" s="172">
        <f>'By Product(Link)'!BS25</f>
        <v>408895.13529999997</v>
      </c>
      <c r="BT38" s="172">
        <f>'By Product(Link)'!BT25</f>
        <v>411581.09422000003</v>
      </c>
      <c r="BU38" s="172">
        <f>'By Product(Link)'!BU25</f>
        <v>415572.07245000004</v>
      </c>
      <c r="BV38" s="172">
        <f>'By Product(Link)'!BV25</f>
        <v>411686.25514999992</v>
      </c>
      <c r="BW38" s="172">
        <f>'By Product(Link)'!BW25</f>
        <v>422696.58456000005</v>
      </c>
      <c r="BX38" s="172">
        <f>'By Product(Link)'!BX25</f>
        <v>416362.45503000007</v>
      </c>
      <c r="BY38" s="289">
        <f>'[1]By Product(Link)'!BY25</f>
        <v>420831.78707999992</v>
      </c>
      <c r="BZ38" s="172">
        <f>'By Product(Link)'!BZ25</f>
        <v>432629.12614000007</v>
      </c>
      <c r="CA38" s="172">
        <f>'By Product(Link)'!CA25</f>
        <v>415292.46111999999</v>
      </c>
      <c r="CB38" s="172">
        <f>'By Product(Link)'!CB25</f>
        <v>417901.30411999993</v>
      </c>
      <c r="CC38" s="172">
        <f>'By Product(Link)'!CC25</f>
        <v>422362.58960000006</v>
      </c>
      <c r="CD38" s="172">
        <f>'By Product(Link)'!CD25</f>
        <v>422363.58960000001</v>
      </c>
      <c r="CE38" s="172">
        <f>'By Product(Link)'!CE25</f>
        <v>435408.86629999999</v>
      </c>
      <c r="CF38" s="172">
        <f>'By Product(Link)'!CF25</f>
        <v>436133</v>
      </c>
      <c r="CG38" s="172">
        <f>'By Product(Link)'!CG25</f>
        <v>443575.32267000002</v>
      </c>
      <c r="CH38" s="172">
        <f>'By Product(Link)'!CH25</f>
        <v>443496.09883000009</v>
      </c>
      <c r="CI38" s="172">
        <f>'By Product(Link)'!CI25</f>
        <v>451870.05654000002</v>
      </c>
      <c r="CJ38" s="172">
        <f>'By Product(Link)'!CJ25</f>
        <v>450543.87977000006</v>
      </c>
      <c r="CK38" s="172">
        <f>'By Product(Link)'!CK25</f>
        <v>461621.39382</v>
      </c>
      <c r="CL38" s="172">
        <f>'By Product(Link)'!CL25</f>
        <v>467914.6066099999</v>
      </c>
      <c r="CM38" s="172">
        <f>'By Product(Link)'!CM25</f>
        <v>452054.32022999995</v>
      </c>
      <c r="CN38" s="172">
        <f>'By Product(Link)'!CN25</f>
        <v>458805.43871999998</v>
      </c>
      <c r="CO38" s="172">
        <f>'By Product(Link)'!CO25</f>
        <v>458053.63804000005</v>
      </c>
      <c r="CP38" s="172">
        <f>'By Product(Link)'!CP25</f>
        <v>463368.21280999994</v>
      </c>
      <c r="CQ38" s="172">
        <f>'By Product(Link)'!CQ25</f>
        <v>465781.02743999998</v>
      </c>
      <c r="CR38" s="172">
        <f>'By Product(Link)'!CR25</f>
        <v>463461.70314999996</v>
      </c>
      <c r="CS38" s="172">
        <f>'By Product(Link)'!CS25</f>
        <v>476333.01393999998</v>
      </c>
      <c r="CT38" s="172">
        <f>'By Product(Link)'!CT25</f>
        <v>477662.38630999997</v>
      </c>
      <c r="CU38" s="172">
        <f>'By Product(Link)'!CU25</f>
        <v>483077.11223000003</v>
      </c>
      <c r="CV38" s="172">
        <f>'By Product(Link)'!CV25</f>
        <v>480648.80634000001</v>
      </c>
      <c r="CW38" s="172">
        <f>'By Product(Link)'!CW25</f>
        <v>502171.77146000002</v>
      </c>
      <c r="CX38" s="172">
        <f>'By Product(Link)'!CX25</f>
        <v>504056.51023999997</v>
      </c>
      <c r="CY38" s="172">
        <f>'By Product(Link)'!CY25</f>
        <v>495754.91352</v>
      </c>
      <c r="CZ38" s="172">
        <f>'By Product(Link)'!CZ25</f>
        <v>494710.22642000002</v>
      </c>
      <c r="DA38" s="172">
        <f>'By Product(Link)'!DA25</f>
        <v>485605.62637000001</v>
      </c>
      <c r="DB38" s="172">
        <f>'By Product(Link)'!DB25</f>
        <v>483971.50014000008</v>
      </c>
      <c r="DC38" s="172">
        <f>'By Product(Link)'!DC25</f>
        <v>477878.16492000001</v>
      </c>
      <c r="DD38" s="172">
        <f>'By Product(Link)'!DD25</f>
        <v>472221.18582999997</v>
      </c>
      <c r="DE38" s="172">
        <f>'By Product(Link)'!DE25</f>
        <v>485193.06310000003</v>
      </c>
      <c r="DF38" s="172">
        <f>'By Product(Link)'!DF25</f>
        <v>479227.18977999996</v>
      </c>
      <c r="DG38" s="172">
        <f>'By Product(Link)'!DG25</f>
        <v>482937.16700999998</v>
      </c>
    </row>
    <row r="39" spans="1:111" s="116" customFormat="1" ht="25.5" customHeight="1">
      <c r="A39" s="765"/>
      <c r="B39" s="765"/>
      <c r="C39" s="173" t="s">
        <v>66</v>
      </c>
      <c r="D39" s="174">
        <v>16707.012129999843</v>
      </c>
      <c r="E39" s="174">
        <v>17386.383840000228</v>
      </c>
      <c r="F39" s="174">
        <v>16144.019750000036</v>
      </c>
      <c r="G39" s="174">
        <f t="shared" ref="G39:M39" si="258">+G41-G38</f>
        <v>17078.116100000014</v>
      </c>
      <c r="H39" s="174">
        <f t="shared" si="258"/>
        <v>16855.804669999983</v>
      </c>
      <c r="I39" s="174">
        <f t="shared" si="258"/>
        <v>17687.638340000034</v>
      </c>
      <c r="J39" s="174">
        <f t="shared" si="258"/>
        <v>17946.462579999992</v>
      </c>
      <c r="K39" s="175">
        <f t="shared" si="258"/>
        <v>18842.092290000001</v>
      </c>
      <c r="L39" s="175">
        <f t="shared" si="258"/>
        <v>19731.571820000012</v>
      </c>
      <c r="M39" s="175">
        <f t="shared" si="258"/>
        <v>19043.975649999978</v>
      </c>
      <c r="N39" s="175">
        <f t="shared" ref="N39:S39" si="259">+N41-N38</f>
        <v>22991.779230000015</v>
      </c>
      <c r="O39" s="175">
        <f t="shared" si="259"/>
        <v>23714.825529999973</v>
      </c>
      <c r="P39" s="175">
        <f t="shared" si="259"/>
        <v>27614.096169999975</v>
      </c>
      <c r="Q39" s="175">
        <f t="shared" si="259"/>
        <v>27192.91227999999</v>
      </c>
      <c r="R39" s="175">
        <f t="shared" si="259"/>
        <v>24819.989549999998</v>
      </c>
      <c r="S39" s="175">
        <f t="shared" si="259"/>
        <v>27422.07399000015</v>
      </c>
      <c r="T39" s="175">
        <f t="shared" ref="T39:Y39" si="260">+T41-T38</f>
        <v>35843.456950000022</v>
      </c>
      <c r="U39" s="175">
        <f t="shared" si="260"/>
        <v>33468.35361999998</v>
      </c>
      <c r="V39" s="175">
        <f t="shared" si="260"/>
        <v>33383.120650000114</v>
      </c>
      <c r="W39" s="175">
        <f t="shared" si="260"/>
        <v>36196.812580000085</v>
      </c>
      <c r="X39" s="175">
        <f t="shared" si="260"/>
        <v>35971.173539999989</v>
      </c>
      <c r="Y39" s="175">
        <f t="shared" si="260"/>
        <v>34279.628299999982</v>
      </c>
      <c r="Z39" s="175">
        <f t="shared" ref="Z39:AE39" si="261">+Z41-Z38</f>
        <v>34706.810709999991</v>
      </c>
      <c r="AA39" s="175">
        <f t="shared" si="261"/>
        <v>34219.171479999961</v>
      </c>
      <c r="AB39" s="175">
        <f t="shared" si="261"/>
        <v>36513.177069999627</v>
      </c>
      <c r="AC39" s="175">
        <f t="shared" si="261"/>
        <v>37763.256999999983</v>
      </c>
      <c r="AD39" s="175">
        <f t="shared" si="261"/>
        <v>36538.738780000014</v>
      </c>
      <c r="AE39" s="175">
        <f t="shared" si="261"/>
        <v>37667.836910000129</v>
      </c>
      <c r="AF39" s="175">
        <f>+AF41-AF38</f>
        <v>38470.724129999988</v>
      </c>
      <c r="AG39" s="175">
        <f t="shared" ref="AG39:AN39" si="262">+AG41-AG38</f>
        <v>42376.97252999997</v>
      </c>
      <c r="AH39" s="175">
        <f t="shared" si="262"/>
        <v>44052.591559999855</v>
      </c>
      <c r="AI39" s="175">
        <f t="shared" si="262"/>
        <v>46492.493240000098</v>
      </c>
      <c r="AJ39" s="175">
        <f>+AJ41-AJ38</f>
        <v>47857.686859999958</v>
      </c>
      <c r="AK39" s="175">
        <f t="shared" si="262"/>
        <v>46803.756170000299</v>
      </c>
      <c r="AL39" s="175">
        <f t="shared" si="262"/>
        <v>47767.655629999819</v>
      </c>
      <c r="AM39" s="175">
        <f t="shared" si="262"/>
        <v>48087.872250000015</v>
      </c>
      <c r="AN39" s="175">
        <f t="shared" si="262"/>
        <v>51351.626969999634</v>
      </c>
      <c r="AO39" s="175">
        <f t="shared" ref="AO39:AU39" si="263">+AO41-AO38</f>
        <v>51043.844519999926</v>
      </c>
      <c r="AP39" s="175">
        <f t="shared" si="263"/>
        <v>45956.714749999868</v>
      </c>
      <c r="AQ39" s="175">
        <f t="shared" si="263"/>
        <v>50090.875289999938</v>
      </c>
      <c r="AR39" s="175">
        <f t="shared" si="263"/>
        <v>50186.087810000055</v>
      </c>
      <c r="AS39" s="175">
        <f t="shared" si="263"/>
        <v>53052.789449999924</v>
      </c>
      <c r="AT39" s="175">
        <f t="shared" si="263"/>
        <v>54138.095679999911</v>
      </c>
      <c r="AU39" s="175">
        <f t="shared" si="263"/>
        <v>55448.210630000045</v>
      </c>
      <c r="AV39" s="175">
        <f t="shared" ref="AV39:BB39" si="264">+AV41-AV38</f>
        <v>59133.026349999942</v>
      </c>
      <c r="AW39" s="175">
        <f t="shared" si="264"/>
        <v>62364.306589999876</v>
      </c>
      <c r="AX39" s="175">
        <f t="shared" si="264"/>
        <v>61495.382999999973</v>
      </c>
      <c r="AY39" s="175">
        <f t="shared" si="264"/>
        <v>64650.720739999961</v>
      </c>
      <c r="AZ39" s="175">
        <f t="shared" si="264"/>
        <v>68228.250650000176</v>
      </c>
      <c r="BA39" s="175">
        <f t="shared" si="264"/>
        <v>68722.337839999993</v>
      </c>
      <c r="BB39" s="175">
        <f t="shared" si="264"/>
        <v>67744.781500000041</v>
      </c>
      <c r="BC39" s="175">
        <f t="shared" ref="BC39:BI39" si="265">+BC41-BC38</f>
        <v>70468.697469999024</v>
      </c>
      <c r="BD39" s="175">
        <f t="shared" si="265"/>
        <v>73979.005260000005</v>
      </c>
      <c r="BE39" s="175">
        <f t="shared" si="265"/>
        <v>75372.126210000017</v>
      </c>
      <c r="BF39" s="175">
        <f t="shared" si="265"/>
        <v>79560.652880000067</v>
      </c>
      <c r="BG39" s="175">
        <f t="shared" si="265"/>
        <v>80582.371860000072</v>
      </c>
      <c r="BH39" s="175">
        <f t="shared" si="265"/>
        <v>80415.718160000863</v>
      </c>
      <c r="BI39" s="175">
        <f t="shared" si="265"/>
        <v>88686.563350000011</v>
      </c>
      <c r="BJ39" s="175">
        <f t="shared" ref="BJ39:BO39" si="266">+BJ41-BJ38</f>
        <v>86211.209359999048</v>
      </c>
      <c r="BK39" s="175">
        <f t="shared" si="266"/>
        <v>90281.354099999997</v>
      </c>
      <c r="BL39" s="175">
        <f t="shared" si="266"/>
        <v>91914.386159999704</v>
      </c>
      <c r="BM39" s="175">
        <f t="shared" si="266"/>
        <v>88501.922620000085</v>
      </c>
      <c r="BN39" s="175">
        <f t="shared" si="266"/>
        <v>121118.42192000098</v>
      </c>
      <c r="BO39" s="175">
        <f t="shared" si="266"/>
        <v>118361.8628</v>
      </c>
      <c r="BP39" s="175">
        <f t="shared" ref="BP39:BU39" si="267">+BP41-BP38</f>
        <v>101609.16160000023</v>
      </c>
      <c r="BQ39" s="175">
        <f t="shared" si="267"/>
        <v>105583.9394300002</v>
      </c>
      <c r="BR39" s="175">
        <f t="shared" si="267"/>
        <v>111863.26450000057</v>
      </c>
      <c r="BS39" s="175">
        <f t="shared" si="267"/>
        <v>109344.11215999949</v>
      </c>
      <c r="BT39" s="175">
        <f t="shared" si="267"/>
        <v>109301.2913299998</v>
      </c>
      <c r="BU39" s="175">
        <f t="shared" si="267"/>
        <v>109530.0450699997</v>
      </c>
      <c r="BV39" s="175">
        <f t="shared" ref="BV39:CA39" si="268">+BV41-BV38</f>
        <v>111895.42361000041</v>
      </c>
      <c r="BW39" s="175">
        <f t="shared" si="268"/>
        <v>108385.36242000043</v>
      </c>
      <c r="BX39" s="175">
        <f t="shared" si="268"/>
        <v>120029.86045000004</v>
      </c>
      <c r="BY39" s="290">
        <f t="shared" si="268"/>
        <v>121991.40484000056</v>
      </c>
      <c r="BZ39" s="175">
        <f t="shared" si="268"/>
        <v>106117.37484999991</v>
      </c>
      <c r="CA39" s="175">
        <f t="shared" si="268"/>
        <v>121209.47364000021</v>
      </c>
      <c r="CB39" s="175">
        <f t="shared" ref="CB39:CG39" si="269">+CB41-CB38</f>
        <v>120144.11032000015</v>
      </c>
      <c r="CC39" s="175">
        <f t="shared" si="269"/>
        <v>124642.76484999922</v>
      </c>
      <c r="CD39" s="175">
        <f t="shared" si="269"/>
        <v>130444.59284000093</v>
      </c>
      <c r="CE39" s="175">
        <f t="shared" si="269"/>
        <v>119767.82464999985</v>
      </c>
      <c r="CF39" s="175">
        <f t="shared" si="269"/>
        <v>126098.70891000039</v>
      </c>
      <c r="CG39" s="175">
        <f t="shared" si="269"/>
        <v>120672.18658999994</v>
      </c>
      <c r="CH39" s="175">
        <f t="shared" ref="CH39:CI39" si="270">+CH41-CH38</f>
        <v>125983.47604999988</v>
      </c>
      <c r="CI39" s="175">
        <f t="shared" si="270"/>
        <v>125022.63364999997</v>
      </c>
      <c r="CJ39" s="175">
        <f t="shared" ref="CJ39:CK39" si="271">+CJ41-CJ38</f>
        <v>134945.8505900001</v>
      </c>
      <c r="CK39" s="175">
        <f t="shared" si="271"/>
        <v>130878.15700000001</v>
      </c>
      <c r="CL39" s="175">
        <f t="shared" ref="CL39:CM39" si="272">+CL41-CL38</f>
        <v>118765.45548000012</v>
      </c>
      <c r="CM39" s="175">
        <f t="shared" si="272"/>
        <v>128306.88286000001</v>
      </c>
      <c r="CN39" s="175">
        <f t="shared" ref="CN39:CO39" si="273">+CN41-CN38</f>
        <v>122465.10014999995</v>
      </c>
      <c r="CO39" s="175">
        <f t="shared" si="273"/>
        <v>124015.19313999993</v>
      </c>
      <c r="CP39" s="175">
        <f t="shared" ref="CP39:CQ39" si="274">+CP41-CP38</f>
        <v>124023.27462000004</v>
      </c>
      <c r="CQ39" s="175">
        <f t="shared" si="274"/>
        <v>122301.79625000013</v>
      </c>
      <c r="CR39" s="175">
        <f t="shared" ref="CR39:CS39" si="275">+CR41-CR38</f>
        <v>125836.35831000004</v>
      </c>
      <c r="CS39" s="175">
        <f t="shared" si="275"/>
        <v>117745.31821000017</v>
      </c>
      <c r="CT39" s="175">
        <f t="shared" ref="CT39:CU39" si="276">+CT41-CT38</f>
        <v>126738.06399000005</v>
      </c>
      <c r="CU39" s="175">
        <f t="shared" si="276"/>
        <v>127576.49482999992</v>
      </c>
      <c r="CV39" s="175">
        <f t="shared" ref="CV39:CW39" si="277">+CV41-CV38</f>
        <v>143578.82403000002</v>
      </c>
      <c r="CW39" s="175">
        <f t="shared" si="277"/>
        <v>140075.59379999997</v>
      </c>
      <c r="CX39" s="175">
        <f t="shared" ref="CX39:CY39" si="278">+CX41-CX38</f>
        <v>135833.10235000006</v>
      </c>
      <c r="CY39" s="175">
        <f t="shared" si="278"/>
        <v>133307.38383999997</v>
      </c>
      <c r="CZ39" s="175">
        <f t="shared" ref="CZ39:DA39" si="279">+CZ41-CZ38</f>
        <v>139463.80356999993</v>
      </c>
      <c r="DA39" s="175">
        <f t="shared" si="279"/>
        <v>150069.20417999994</v>
      </c>
      <c r="DB39" s="175">
        <f>+DB41-DB38</f>
        <v>160731.81969999993</v>
      </c>
      <c r="DC39" s="175">
        <f t="shared" ref="DC39:DD39" si="280">+DC41-DC38</f>
        <v>173877.63771000004</v>
      </c>
      <c r="DD39" s="175">
        <f t="shared" si="280"/>
        <v>190292.08775000006</v>
      </c>
      <c r="DE39" s="175">
        <f t="shared" ref="DE39:DF39" si="281">+DE41-DE38</f>
        <v>190930.94066999992</v>
      </c>
      <c r="DF39" s="175">
        <f t="shared" si="281"/>
        <v>203545.5518800001</v>
      </c>
      <c r="DG39" s="175">
        <f t="shared" ref="DG39" si="282">+DG41-DG38</f>
        <v>218716.97426000005</v>
      </c>
    </row>
    <row r="40" spans="1:111" s="68" customFormat="1" ht="30" customHeight="1">
      <c r="A40" s="765"/>
      <c r="B40" s="765"/>
      <c r="C40" s="278" t="s">
        <v>181</v>
      </c>
      <c r="D40" s="279"/>
      <c r="E40" s="279"/>
      <c r="F40" s="279"/>
      <c r="G40" s="279"/>
      <c r="H40" s="279"/>
      <c r="I40" s="279"/>
      <c r="J40" s="279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80"/>
      <c r="BO40" s="280"/>
      <c r="BP40" s="280"/>
      <c r="BQ40" s="280"/>
      <c r="BR40" s="280"/>
      <c r="BS40" s="280"/>
      <c r="BT40" s="280"/>
      <c r="BU40" s="280"/>
      <c r="BV40" s="280"/>
      <c r="BW40" s="280"/>
      <c r="BX40" s="280"/>
      <c r="BY40" s="291"/>
      <c r="BZ40" s="280"/>
      <c r="CA40" s="280"/>
      <c r="CB40" s="280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80"/>
      <c r="CO40" s="280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80"/>
      <c r="DB40" s="280"/>
      <c r="DC40" s="280"/>
      <c r="DD40" s="280"/>
      <c r="DE40" s="280"/>
      <c r="DF40" s="280"/>
      <c r="DG40" s="280"/>
    </row>
    <row r="41" spans="1:111" s="68" customFormat="1" ht="25.5" customHeight="1" thickBot="1">
      <c r="A41" s="765"/>
      <c r="B41" s="767"/>
      <c r="C41" s="176" t="s">
        <v>60</v>
      </c>
      <c r="D41" s="177">
        <v>183872.85906999983</v>
      </c>
      <c r="E41" s="177">
        <v>182218.04208000001</v>
      </c>
      <c r="F41" s="177">
        <v>182815.12304000001</v>
      </c>
      <c r="G41" s="177">
        <v>177812.47896000001</v>
      </c>
      <c r="H41" s="177">
        <v>177700.03784999999</v>
      </c>
      <c r="I41" s="177">
        <v>177716.15984000001</v>
      </c>
      <c r="J41" s="177">
        <v>179855.21929000001</v>
      </c>
      <c r="K41" s="178">
        <v>180278.87995999999</v>
      </c>
      <c r="L41" s="178">
        <v>185051.72038000001</v>
      </c>
      <c r="M41" s="178">
        <v>193546.05252999999</v>
      </c>
      <c r="N41" s="178">
        <v>199976.62508</v>
      </c>
      <c r="O41" s="178">
        <v>212237.74101999999</v>
      </c>
      <c r="P41" s="178">
        <v>228109.19696</v>
      </c>
      <c r="Q41" s="178">
        <v>239603.99153</v>
      </c>
      <c r="R41" s="178">
        <v>244886.50808</v>
      </c>
      <c r="S41" s="178">
        <v>248071.13102000015</v>
      </c>
      <c r="T41" s="178">
        <v>268006.25027000002</v>
      </c>
      <c r="U41" s="178">
        <v>290964.33636999998</v>
      </c>
      <c r="V41" s="178">
        <v>306357.01580000011</v>
      </c>
      <c r="W41" s="178">
        <v>324235.72387000005</v>
      </c>
      <c r="X41" s="178">
        <v>339001.21622</v>
      </c>
      <c r="Y41" s="178">
        <v>352456.89781999995</v>
      </c>
      <c r="Z41" s="178">
        <v>355506.92901000002</v>
      </c>
      <c r="AA41" s="178">
        <v>362099.97274</v>
      </c>
      <c r="AB41" s="178">
        <v>367944.10470999964</v>
      </c>
      <c r="AC41" s="178">
        <v>376029.08240999997</v>
      </c>
      <c r="AD41" s="178">
        <v>372151.98970000003</v>
      </c>
      <c r="AE41" s="178">
        <v>370070.58596000011</v>
      </c>
      <c r="AF41" s="178">
        <v>373081.41167</v>
      </c>
      <c r="AG41" s="178">
        <v>380939.02546999999</v>
      </c>
      <c r="AH41" s="178">
        <v>389315.15820999985</v>
      </c>
      <c r="AI41" s="178">
        <v>395526.28527000011</v>
      </c>
      <c r="AJ41" s="178">
        <v>403566.15772999992</v>
      </c>
      <c r="AK41" s="178">
        <v>409983.47441000032</v>
      </c>
      <c r="AL41" s="178">
        <v>414266.96631999977</v>
      </c>
      <c r="AM41" s="178">
        <v>421456.55193000007</v>
      </c>
      <c r="AN41" s="178">
        <v>429258.30934999965</v>
      </c>
      <c r="AO41" s="178">
        <v>436409.18555999995</v>
      </c>
      <c r="AP41" s="178">
        <v>436420.14602999989</v>
      </c>
      <c r="AQ41" s="178">
        <v>430918.58100999997</v>
      </c>
      <c r="AR41" s="178">
        <v>437757.44477</v>
      </c>
      <c r="AS41" s="178">
        <v>444638.97294999997</v>
      </c>
      <c r="AT41" s="178">
        <v>455899.55372999999</v>
      </c>
      <c r="AU41" s="178">
        <v>464902.14010000002</v>
      </c>
      <c r="AV41" s="178">
        <v>479543.0062</v>
      </c>
      <c r="AW41" s="178">
        <v>487075.20500999998</v>
      </c>
      <c r="AX41" s="178">
        <v>490298.93552999996</v>
      </c>
      <c r="AY41" s="178">
        <v>501720.11676</v>
      </c>
      <c r="AZ41" s="178">
        <v>512941.53978000005</v>
      </c>
      <c r="BA41" s="178">
        <v>521181.71321999998</v>
      </c>
      <c r="BB41" s="178">
        <v>520798.32241000002</v>
      </c>
      <c r="BC41" s="178">
        <v>516645.20759999898</v>
      </c>
      <c r="BD41" s="178">
        <v>522137.77480000001</v>
      </c>
      <c r="BE41" s="178">
        <v>524561.40061000001</v>
      </c>
      <c r="BF41" s="178">
        <v>531781.64142</v>
      </c>
      <c r="BG41" s="178">
        <v>532128.23956999998</v>
      </c>
      <c r="BH41" s="178">
        <v>534221.81446000095</v>
      </c>
      <c r="BI41" s="178">
        <v>543114.18038999999</v>
      </c>
      <c r="BJ41" s="178">
        <f>'By Product(Link)'!BJ27</f>
        <v>538295.30131999904</v>
      </c>
      <c r="BK41" s="178">
        <f>'By Product(Link)'!BK27</f>
        <v>544482.14104999998</v>
      </c>
      <c r="BL41" s="178">
        <f>'By Product(Link)'!BL27</f>
        <v>547775.41583999968</v>
      </c>
      <c r="BM41" s="178">
        <f>'By Product(Link)'!BM27</f>
        <v>546251.06145000004</v>
      </c>
      <c r="BN41" s="178">
        <f>'By Product(Link)'!BN27</f>
        <v>540953.74194000091</v>
      </c>
      <c r="BO41" s="178">
        <f>'By Product(Link)'!BO27</f>
        <v>520247.69439000002</v>
      </c>
      <c r="BP41" s="178">
        <f>'By Product(Link)'!BP27</f>
        <v>509275.4411500002</v>
      </c>
      <c r="BQ41" s="178">
        <f>'By Product(Link)'!BQ27</f>
        <v>510051.49471000017</v>
      </c>
      <c r="BR41" s="178">
        <f>'By Product(Link)'!BR27</f>
        <v>521142.53693000053</v>
      </c>
      <c r="BS41" s="178">
        <f>'By Product(Link)'!BS27</f>
        <v>518239.24745999946</v>
      </c>
      <c r="BT41" s="178">
        <f>'By Product(Link)'!BT27</f>
        <v>520882.38554999983</v>
      </c>
      <c r="BU41" s="178">
        <f>'By Product(Link)'!BU27</f>
        <v>525102.11751999974</v>
      </c>
      <c r="BV41" s="178">
        <f>'By Product(Link)'!BV27</f>
        <v>523581.67876000033</v>
      </c>
      <c r="BW41" s="178">
        <f>'By Product(Link)'!BW27</f>
        <v>531081.94698000047</v>
      </c>
      <c r="BX41" s="178">
        <f>'By Product(Link)'!BX27</f>
        <v>536392.31548000011</v>
      </c>
      <c r="BY41" s="292">
        <f>'[1]By Product(Link)'!BY27</f>
        <v>542823.19192000048</v>
      </c>
      <c r="BZ41" s="178">
        <f>'By Product(Link)'!BZ27</f>
        <v>538746.50098999997</v>
      </c>
      <c r="CA41" s="178">
        <f>'By Product(Link)'!CA27</f>
        <v>536501.93476000021</v>
      </c>
      <c r="CB41" s="178">
        <f>'By Product(Link)'!CB27</f>
        <v>538045.41444000008</v>
      </c>
      <c r="CC41" s="178">
        <f>'By Product(Link)'!CC27</f>
        <v>547005.35444999929</v>
      </c>
      <c r="CD41" s="178">
        <f>'By Product(Link)'!CD27</f>
        <v>552808.18244000094</v>
      </c>
      <c r="CE41" s="178">
        <f>'By Product(Link)'!CE27</f>
        <v>555176.69094999984</v>
      </c>
      <c r="CF41" s="178">
        <f>'By Product(Link)'!CF27</f>
        <v>562231.70891000039</v>
      </c>
      <c r="CG41" s="178">
        <f>'By Product(Link)'!CG27</f>
        <v>564247.50925999996</v>
      </c>
      <c r="CH41" s="178">
        <f>'By Product(Link)'!CH27</f>
        <v>569479.57487999997</v>
      </c>
      <c r="CI41" s="178">
        <f>'By Product(Link)'!CI27</f>
        <v>576892.69018999999</v>
      </c>
      <c r="CJ41" s="178">
        <f>'By Product(Link)'!CJ27</f>
        <v>585489.73036000016</v>
      </c>
      <c r="CK41" s="178">
        <f>'By Product(Link)'!CK27</f>
        <v>592499.55082</v>
      </c>
      <c r="CL41" s="178">
        <f>'By Product(Link)'!CL27</f>
        <v>586680.06209000002</v>
      </c>
      <c r="CM41" s="178">
        <f>'By Product(Link)'!CM27</f>
        <v>580361.20308999997</v>
      </c>
      <c r="CN41" s="178">
        <f>'By Product(Link)'!CN27</f>
        <v>581270.53886999993</v>
      </c>
      <c r="CO41" s="178">
        <f>'By Product(Link)'!CO27</f>
        <v>582068.83117999998</v>
      </c>
      <c r="CP41" s="178">
        <f>'By Product(Link)'!CP27</f>
        <v>587391.48742999998</v>
      </c>
      <c r="CQ41" s="178">
        <f>'By Product(Link)'!CQ27</f>
        <v>588082.82369000011</v>
      </c>
      <c r="CR41" s="178">
        <f>'By Product(Link)'!CR27</f>
        <v>589298.06146</v>
      </c>
      <c r="CS41" s="178">
        <f>'By Product(Link)'!CS27</f>
        <v>594078.33215000015</v>
      </c>
      <c r="CT41" s="178">
        <f>'By Product(Link)'!CT27</f>
        <v>604400.45030000003</v>
      </c>
      <c r="CU41" s="178">
        <f>'By Product(Link)'!CU27</f>
        <v>610653.60705999995</v>
      </c>
      <c r="CV41" s="178">
        <f>'By Product(Link)'!CV27</f>
        <v>624227.63037000003</v>
      </c>
      <c r="CW41" s="178">
        <f>'By Product(Link)'!CW27</f>
        <v>642247.36525999999</v>
      </c>
      <c r="CX41" s="178">
        <f>'By Product(Link)'!CX27</f>
        <v>639889.61259000003</v>
      </c>
      <c r="CY41" s="178">
        <f>'By Product(Link)'!CY27</f>
        <v>629062.29735999997</v>
      </c>
      <c r="CZ41" s="178">
        <f>'By Product(Link)'!CZ27</f>
        <v>634174.02998999995</v>
      </c>
      <c r="DA41" s="178">
        <f>'By Product(Link)'!DA27</f>
        <v>635674.83054999996</v>
      </c>
      <c r="DB41" s="178">
        <f>'By Product(Link)'!DB27</f>
        <v>644703.31984000001</v>
      </c>
      <c r="DC41" s="178">
        <f>'By Product(Link)'!DC27</f>
        <v>651755.80263000005</v>
      </c>
      <c r="DD41" s="178">
        <f>'By Product(Link)'!DD27</f>
        <v>662513.27358000004</v>
      </c>
      <c r="DE41" s="178">
        <f>'By Product(Link)'!DE27</f>
        <v>676124.00376999995</v>
      </c>
      <c r="DF41" s="178">
        <f>'By Product(Link)'!DF27</f>
        <v>682772.74166000006</v>
      </c>
      <c r="DG41" s="178">
        <f>'By Product(Link)'!DG27</f>
        <v>701654.14127000002</v>
      </c>
    </row>
    <row r="42" spans="1:111" s="68" customFormat="1" ht="25.5" customHeight="1">
      <c r="A42" s="765"/>
      <c r="B42" s="765" t="s">
        <v>63</v>
      </c>
      <c r="C42" s="179" t="s">
        <v>64</v>
      </c>
      <c r="D42" s="180">
        <v>2.0177045093591393E-2</v>
      </c>
      <c r="E42" s="180">
        <v>2.0049166189424938E-2</v>
      </c>
      <c r="F42" s="180">
        <v>2.0415727146266813E-2</v>
      </c>
      <c r="G42" s="180">
        <v>2.0687136712924856E-2</v>
      </c>
      <c r="H42" s="180">
        <v>1.9691792749675096E-2</v>
      </c>
      <c r="I42" s="180">
        <v>2.0033036043324931E-2</v>
      </c>
      <c r="J42" s="180">
        <v>1.9268156014269445E-2</v>
      </c>
      <c r="K42" s="180">
        <v>1.8850223286719456E-2</v>
      </c>
      <c r="L42" s="180">
        <v>1.7989573379954361E-2</v>
      </c>
      <c r="M42" s="180">
        <v>1.8466659627108247E-2</v>
      </c>
      <c r="N42" s="180">
        <v>1.812666361478971E-2</v>
      </c>
      <c r="O42" s="180">
        <v>1.787897261621697E-2</v>
      </c>
      <c r="P42" s="180">
        <v>1.7220950045765206E-2</v>
      </c>
      <c r="Q42" s="180">
        <v>1.6976364224926755E-2</v>
      </c>
      <c r="R42" s="180">
        <v>1.7667063635744797E-2</v>
      </c>
      <c r="S42" s="180">
        <v>1.7455259388861024E-2</v>
      </c>
      <c r="T42" s="180">
        <v>1.6957542492557959E-2</v>
      </c>
      <c r="U42" s="180">
        <v>1.606698886073496E-2</v>
      </c>
      <c r="V42" s="180">
        <v>1.5601422161451748E-2</v>
      </c>
      <c r="W42" s="180">
        <v>1.5337176002015458E-2</v>
      </c>
      <c r="X42" s="180">
        <v>1.5465350451118539E-2</v>
      </c>
      <c r="Y42" s="180">
        <v>1.5970924805964792E-2</v>
      </c>
      <c r="Z42" s="180">
        <v>1.6363581520575442E-2</v>
      </c>
      <c r="AA42" s="180">
        <v>1.6230327136517959E-2</v>
      </c>
      <c r="AB42" s="180">
        <v>1.5788394884942911E-2</v>
      </c>
      <c r="AC42" s="180">
        <v>1.6038979870914596E-2</v>
      </c>
      <c r="AD42" s="180">
        <v>1.6294549976136573E-2</v>
      </c>
      <c r="AE42" s="180">
        <v>1.5640126961207999E-2</v>
      </c>
      <c r="AF42" s="180">
        <v>1.5928724890882703E-2</v>
      </c>
      <c r="AG42" s="180">
        <v>1.5621877900049923E-2</v>
      </c>
      <c r="AH42" s="229">
        <v>1.5224104694286433E-2</v>
      </c>
      <c r="AI42" s="229">
        <v>1.4946992993228894E-2</v>
      </c>
      <c r="AJ42" s="229">
        <v>1.4949152479725324E-2</v>
      </c>
      <c r="AK42" s="229">
        <v>1.3667911384738649E-2</v>
      </c>
      <c r="AL42" s="229">
        <v>1.352856394329904E-2</v>
      </c>
      <c r="AM42" s="229">
        <v>1.3540013104124662E-2</v>
      </c>
      <c r="AN42" s="229">
        <v>1.2870358118353038E-2</v>
      </c>
      <c r="AO42" s="229">
        <v>1.2867794620130659E-2</v>
      </c>
      <c r="AP42" s="229">
        <v>1.3085843605171222E-2</v>
      </c>
      <c r="AQ42" s="229">
        <v>1.3138679087921068E-2</v>
      </c>
      <c r="AR42" s="229">
        <v>1.3282320453954449E-2</v>
      </c>
      <c r="AS42" s="229">
        <v>1.3568693767663511E-2</v>
      </c>
      <c r="AT42" s="264">
        <v>1.2990905312418402E-2</v>
      </c>
      <c r="AU42" s="272">
        <v>1.25222777057576E-2</v>
      </c>
      <c r="AV42" s="272">
        <v>1.2401598894489153E-2</v>
      </c>
      <c r="AW42" s="272">
        <v>1.2102338072650355E-2</v>
      </c>
      <c r="AX42" s="272">
        <v>1.2496066235392055E-2</v>
      </c>
      <c r="AY42" s="272">
        <v>1.2887236292774829E-2</v>
      </c>
      <c r="AZ42" s="272">
        <v>1.2834031623968281E-2</v>
      </c>
      <c r="BA42" s="272">
        <v>1.2899213662859546E-2</v>
      </c>
      <c r="BB42" s="272">
        <v>1.2994696857268029E-2</v>
      </c>
      <c r="BC42" s="272">
        <v>1.3014997343603328E-2</v>
      </c>
      <c r="BD42" s="272">
        <v>1.1985708837814779E-2</v>
      </c>
      <c r="BE42" s="272">
        <v>1.2208557310240937E-2</v>
      </c>
      <c r="BF42" s="272">
        <v>1.1979816264111829E-2</v>
      </c>
      <c r="BG42" s="272">
        <v>1.1967792696313642E-2</v>
      </c>
      <c r="BH42" s="272">
        <v>1.1753511822260058E-2</v>
      </c>
      <c r="BI42" s="272">
        <v>1.082986807135336E-2</v>
      </c>
      <c r="BJ42" s="272">
        <v>9.9045843819393978E-3</v>
      </c>
      <c r="BK42" s="272">
        <v>9.7931810860733548E-3</v>
      </c>
      <c r="BL42" s="272">
        <v>9.6115585330768423E-3</v>
      </c>
      <c r="BM42" s="272">
        <v>9.7234613812064909E-3</v>
      </c>
      <c r="BN42" s="272">
        <v>1.0120835227283987E-2</v>
      </c>
      <c r="BO42" s="272">
        <v>9.7942955262307081E-3</v>
      </c>
      <c r="BP42" s="272">
        <v>9.7134754341831765E-3</v>
      </c>
      <c r="BQ42" s="272">
        <v>9.6845560971812964E-3</v>
      </c>
      <c r="BR42" s="272">
        <v>9.4533405936864726E-3</v>
      </c>
      <c r="BS42" s="272">
        <v>1.03585500626363E-2</v>
      </c>
      <c r="BT42" s="272">
        <v>1.0339237328527E-2</v>
      </c>
      <c r="BU42" s="272">
        <v>1.014689374916986E-2</v>
      </c>
      <c r="BV42" s="272">
        <v>1.0516580161883277E-2</v>
      </c>
      <c r="BW42" s="272">
        <v>1.0186900408821954E-2</v>
      </c>
      <c r="BX42" s="272">
        <v>9.9559641305673741E-3</v>
      </c>
      <c r="BY42" s="272">
        <v>1.00878734317233E-2</v>
      </c>
      <c r="BZ42" s="272">
        <v>1.0521809427690593E-2</v>
      </c>
      <c r="CA42" s="272">
        <v>1.0398529764186128E-2</v>
      </c>
      <c r="CB42" s="272">
        <v>1.0274464670315234E-2</v>
      </c>
      <c r="CC42" s="272">
        <v>1.0180247405965143E-2</v>
      </c>
      <c r="CD42" s="272">
        <v>9.9329885680873066E-3</v>
      </c>
      <c r="CE42" s="274">
        <v>1.0070178284137907E-2</v>
      </c>
      <c r="CF42" s="274">
        <v>1.0065353567466618E-2</v>
      </c>
      <c r="CG42" s="274">
        <v>1.0313639087228484E-2</v>
      </c>
      <c r="CH42" s="274">
        <v>1.0529418878450828E-2</v>
      </c>
      <c r="CI42" s="274">
        <v>1.0475075647115258E-2</v>
      </c>
      <c r="CJ42" s="274">
        <v>1.0472769536495105E-2</v>
      </c>
      <c r="CK42" s="274">
        <v>1.0511380688347349E-2</v>
      </c>
      <c r="CL42" s="274">
        <v>1.0846037344740073E-2</v>
      </c>
      <c r="CM42" s="274">
        <v>1.0630146886243627E-2</v>
      </c>
      <c r="CN42" s="274">
        <v>1.0390202804104832E-2</v>
      </c>
      <c r="CO42" s="274">
        <v>1.024698650608191E-2</v>
      </c>
      <c r="CP42" s="274">
        <v>1.0238601233419025E-2</v>
      </c>
      <c r="CQ42" s="274">
        <v>1.0139599636725526E-2</v>
      </c>
      <c r="CR42" s="274">
        <v>9.9913965228966145E-3</v>
      </c>
      <c r="CS42" s="274">
        <v>9.9505538068527938E-3</v>
      </c>
      <c r="CT42" s="274">
        <v>9.9245048741089196E-3</v>
      </c>
      <c r="CU42" s="274">
        <v>9.5183359035913503E-3</v>
      </c>
      <c r="CV42" s="274">
        <v>9.053993685098162E-3</v>
      </c>
      <c r="CW42" s="267">
        <v>8.9398055925331722E-3</v>
      </c>
      <c r="CX42" s="267">
        <v>9.1820134423654248E-3</v>
      </c>
      <c r="CY42" s="274">
        <v>9.026938033956584E-3</v>
      </c>
      <c r="CZ42" s="274">
        <v>8.6740340250727396E-3</v>
      </c>
      <c r="DA42" s="274">
        <v>8.606061224306804E-3</v>
      </c>
      <c r="DB42" s="274">
        <v>8.3513583704816121E-3</v>
      </c>
      <c r="DC42" s="274">
        <v>8.358833548228483E-3</v>
      </c>
      <c r="DD42" s="274">
        <v>7.9926722027729071E-3</v>
      </c>
      <c r="DE42" s="274">
        <v>8.3000000000000001E-3</v>
      </c>
      <c r="DF42" s="274">
        <v>8.1020352452464365E-3</v>
      </c>
      <c r="DG42" s="269"/>
    </row>
    <row r="43" spans="1:111" s="68" customFormat="1" ht="25.5" customHeight="1">
      <c r="A43" s="765"/>
      <c r="B43" s="765"/>
      <c r="C43" s="181" t="s">
        <v>67</v>
      </c>
      <c r="D43" s="182">
        <v>26701.333000000002</v>
      </c>
      <c r="E43" s="182">
        <v>27126.364999999998</v>
      </c>
      <c r="F43" s="182">
        <v>27455.941000000003</v>
      </c>
      <c r="G43" s="182">
        <v>26858.235999999997</v>
      </c>
      <c r="H43" s="182">
        <v>27132.522000000001</v>
      </c>
      <c r="I43" s="182">
        <v>27534.169000000002</v>
      </c>
      <c r="J43" s="182">
        <v>27952.596999999998</v>
      </c>
      <c r="K43" s="182">
        <v>28237.012999999999</v>
      </c>
      <c r="L43" s="182">
        <v>28901.407999999999</v>
      </c>
      <c r="M43" s="182">
        <v>29225.318000000003</v>
      </c>
      <c r="N43" s="182">
        <v>29350.243999999995</v>
      </c>
      <c r="O43" s="182">
        <v>30004.912</v>
      </c>
      <c r="P43" s="182">
        <v>30772.286</v>
      </c>
      <c r="Q43" s="182">
        <v>31012.353000000003</v>
      </c>
      <c r="R43" s="182">
        <v>30761.422000000002</v>
      </c>
      <c r="S43" s="182">
        <v>30454.546000000002</v>
      </c>
      <c r="T43" s="182">
        <v>30698.551999999996</v>
      </c>
      <c r="U43" s="182">
        <v>31082.302</v>
      </c>
      <c r="V43" s="182">
        <v>31430.468000000001</v>
      </c>
      <c r="W43" s="182">
        <v>31802.204000000002</v>
      </c>
      <c r="X43" s="182">
        <v>32192.093000000001</v>
      </c>
      <c r="Y43" s="182">
        <v>31998.960999999999</v>
      </c>
      <c r="Z43" s="182">
        <v>32290.485999999997</v>
      </c>
      <c r="AA43" s="182">
        <v>32739.451000000001</v>
      </c>
      <c r="AB43" s="182">
        <v>33443.614999999998</v>
      </c>
      <c r="AC43" s="182">
        <v>33471.019</v>
      </c>
      <c r="AD43" s="182">
        <v>32765.618000000002</v>
      </c>
      <c r="AE43" s="182">
        <v>32500.950999999997</v>
      </c>
      <c r="AF43" s="182">
        <v>32621.317999999999</v>
      </c>
      <c r="AG43" s="182">
        <v>32650.300000000003</v>
      </c>
      <c r="AH43" s="230">
        <v>32936.123999999996</v>
      </c>
      <c r="AI43" s="230">
        <v>32851.223000000005</v>
      </c>
      <c r="AJ43" s="230">
        <v>33006.821000000004</v>
      </c>
      <c r="AK43" s="230">
        <v>32989.531999999999</v>
      </c>
      <c r="AL43" s="230">
        <v>32769.11</v>
      </c>
      <c r="AM43" s="230">
        <v>33125.447999999997</v>
      </c>
      <c r="AN43" s="230">
        <v>34030.676999999996</v>
      </c>
      <c r="AO43" s="230">
        <v>33958.966000000008</v>
      </c>
      <c r="AP43" s="230">
        <v>33367.203000000001</v>
      </c>
      <c r="AQ43" s="230">
        <v>32954.911</v>
      </c>
      <c r="AR43" s="230">
        <v>33013.885000000002</v>
      </c>
      <c r="AS43" s="230">
        <v>32975.466</v>
      </c>
      <c r="AT43" s="265">
        <v>33495.818000000007</v>
      </c>
      <c r="AU43" s="273">
        <v>33573.923999999999</v>
      </c>
      <c r="AV43" s="273">
        <v>33787.095000000001</v>
      </c>
      <c r="AW43" s="273">
        <v>34078.539000000004</v>
      </c>
      <c r="AX43" s="273">
        <v>33952.845000000001</v>
      </c>
      <c r="AY43" s="273">
        <v>34645.287000000004</v>
      </c>
      <c r="AZ43" s="273">
        <v>35487.133999999998</v>
      </c>
      <c r="BA43" s="273">
        <v>35255.870000000003</v>
      </c>
      <c r="BB43" s="273">
        <v>34574.027000000002</v>
      </c>
      <c r="BC43" s="273">
        <v>34166.584000000003</v>
      </c>
      <c r="BD43" s="273">
        <v>34207.154999999999</v>
      </c>
      <c r="BE43" s="273">
        <v>34407.751000000004</v>
      </c>
      <c r="BF43" s="273">
        <v>34896.611999999994</v>
      </c>
      <c r="BG43" s="273">
        <v>34421.385000000002</v>
      </c>
      <c r="BH43" s="273">
        <v>34880.894000000008</v>
      </c>
      <c r="BI43" s="273">
        <v>35023.326000000001</v>
      </c>
      <c r="BJ43" s="273">
        <v>34961.853182999999</v>
      </c>
      <c r="BK43" s="273">
        <v>35670.292005196097</v>
      </c>
      <c r="BL43" s="273">
        <v>35678.181100378097</v>
      </c>
      <c r="BM43" s="273">
        <v>35900.307752000001</v>
      </c>
      <c r="BN43" s="273">
        <v>35983.760511999993</v>
      </c>
      <c r="BO43" s="273">
        <v>35997.397194700003</v>
      </c>
      <c r="BP43" s="273">
        <v>35020.287672000006</v>
      </c>
      <c r="BQ43" s="273">
        <v>34873.847558000001</v>
      </c>
      <c r="BR43" s="273">
        <v>35095.962290999996</v>
      </c>
      <c r="BS43" s="273">
        <v>34949.637431000003</v>
      </c>
      <c r="BT43" s="273">
        <v>35034.541958000002</v>
      </c>
      <c r="BU43" s="273">
        <v>34900.005336999995</v>
      </c>
      <c r="BV43" s="273">
        <v>34864.157393000001</v>
      </c>
      <c r="BW43" s="273">
        <v>35452.700675000007</v>
      </c>
      <c r="BX43" s="273">
        <v>36233.470135999989</v>
      </c>
      <c r="BY43" s="273">
        <v>36687.514931160003</v>
      </c>
      <c r="BZ43" s="273">
        <v>35854.751685310002</v>
      </c>
      <c r="CA43" s="273">
        <v>35383.866117999998</v>
      </c>
      <c r="CB43" s="273">
        <v>35476.876382000002</v>
      </c>
      <c r="CC43" s="273">
        <v>35574.257536000005</v>
      </c>
      <c r="CD43" s="273">
        <v>35766.674306000001</v>
      </c>
      <c r="CE43" s="192">
        <v>35836.598897999997</v>
      </c>
      <c r="CF43" s="192">
        <v>35843.024348999999</v>
      </c>
      <c r="CG43" s="192">
        <v>36046.793848000001</v>
      </c>
      <c r="CH43" s="192">
        <v>36143.492664999998</v>
      </c>
      <c r="CI43" s="192">
        <v>36565.474646999995</v>
      </c>
      <c r="CJ43" s="192">
        <v>37601.270000999997</v>
      </c>
      <c r="CK43" s="192">
        <v>37328.768088000004</v>
      </c>
      <c r="CL43" s="192">
        <v>36642.003006999999</v>
      </c>
      <c r="CM43" s="192">
        <v>36125.142211999999</v>
      </c>
      <c r="CN43" s="192">
        <v>36402.894931999996</v>
      </c>
      <c r="CO43" s="192">
        <v>36595.117577000005</v>
      </c>
      <c r="CP43" s="192">
        <v>36888.717060999996</v>
      </c>
      <c r="CQ43" s="192">
        <v>36776.6</v>
      </c>
      <c r="CR43" s="192">
        <v>36961.799999999996</v>
      </c>
      <c r="CS43" s="192">
        <v>37181.968580000001</v>
      </c>
      <c r="CT43" s="192">
        <v>36576.480499999998</v>
      </c>
      <c r="CU43" s="192">
        <v>37778.959435999997</v>
      </c>
      <c r="CV43" s="192">
        <v>38951.575543999999</v>
      </c>
      <c r="CW43" s="268">
        <v>38887.394519000001</v>
      </c>
      <c r="CX43" s="268">
        <v>38306.382822000007</v>
      </c>
      <c r="CY43" s="192">
        <v>37891.928106000007</v>
      </c>
      <c r="CZ43" s="192">
        <v>38030.653216999999</v>
      </c>
      <c r="DA43" s="192">
        <v>37570.793139000001</v>
      </c>
      <c r="DB43" s="192">
        <v>38369.768818999997</v>
      </c>
      <c r="DC43" s="192">
        <v>38142.063861000002</v>
      </c>
      <c r="DD43" s="192">
        <v>39025.522014000002</v>
      </c>
      <c r="DE43" s="192">
        <v>38998.349437999997</v>
      </c>
      <c r="DF43" s="192">
        <v>38499.085669</v>
      </c>
      <c r="DG43" s="270"/>
    </row>
    <row r="44" spans="1:111" s="68" customFormat="1" ht="25.5" customHeight="1" thickBot="1">
      <c r="A44" s="772"/>
      <c r="B44" s="772"/>
      <c r="C44" s="183" t="s">
        <v>65</v>
      </c>
      <c r="D44" s="184">
        <v>6.8862801370253622E-3</v>
      </c>
      <c r="E44" s="184">
        <v>6.7173778012645634E-3</v>
      </c>
      <c r="F44" s="184">
        <v>6.6584905263308942E-3</v>
      </c>
      <c r="G44" s="184">
        <f t="shared" ref="G44:N44" si="283">+(G41/1000)/G43</f>
        <v>6.6204079433958372E-3</v>
      </c>
      <c r="H44" s="184">
        <f t="shared" si="283"/>
        <v>6.5493372805520986E-3</v>
      </c>
      <c r="I44" s="184">
        <f t="shared" si="283"/>
        <v>6.4543861788601649E-3</v>
      </c>
      <c r="J44" s="184">
        <f t="shared" si="283"/>
        <v>6.4342937183976155E-3</v>
      </c>
      <c r="K44" s="184">
        <f t="shared" si="283"/>
        <v>6.3844883295552535E-3</v>
      </c>
      <c r="L44" s="184">
        <f t="shared" si="283"/>
        <v>6.402861769917923E-3</v>
      </c>
      <c r="M44" s="184">
        <f t="shared" si="283"/>
        <v>6.6225473587661213E-3</v>
      </c>
      <c r="N44" s="184">
        <f t="shared" si="283"/>
        <v>6.8134569879555349E-3</v>
      </c>
      <c r="O44" s="184">
        <f t="shared" ref="O44:T44" si="284">+(O41/1000)/O43</f>
        <v>7.0734332105356615E-3</v>
      </c>
      <c r="P44" s="184">
        <f t="shared" si="284"/>
        <v>7.412812845948461E-3</v>
      </c>
      <c r="Q44" s="184">
        <f t="shared" si="284"/>
        <v>7.7260822979152849E-3</v>
      </c>
      <c r="R44" s="184">
        <f t="shared" si="284"/>
        <v>7.9608318523116377E-3</v>
      </c>
      <c r="S44" s="184">
        <f t="shared" si="284"/>
        <v>8.1456190816307072E-3</v>
      </c>
      <c r="T44" s="184">
        <f t="shared" si="284"/>
        <v>8.7302570580527726E-3</v>
      </c>
      <c r="U44" s="184">
        <f t="shared" ref="U44:Z44" si="285">+(U41/1000)/U43</f>
        <v>9.3610935370874379E-3</v>
      </c>
      <c r="V44" s="184">
        <f t="shared" si="285"/>
        <v>9.7471350347058186E-3</v>
      </c>
      <c r="W44" s="184">
        <f t="shared" si="285"/>
        <v>1.0195385322036173E-2</v>
      </c>
      <c r="X44" s="184">
        <f t="shared" si="285"/>
        <v>1.0530573958642576E-2</v>
      </c>
      <c r="Y44" s="184">
        <f t="shared" si="285"/>
        <v>1.1014635688327504E-2</v>
      </c>
      <c r="Z44" s="184">
        <f t="shared" si="285"/>
        <v>1.1009649375051216E-2</v>
      </c>
      <c r="AA44" s="184">
        <f t="shared" ref="AA44:AF44" si="286">+(AA41/1000)/AA43</f>
        <v>1.1060050235417814E-2</v>
      </c>
      <c r="AB44" s="184">
        <f t="shared" si="286"/>
        <v>1.1001923826416482E-2</v>
      </c>
      <c r="AC44" s="184">
        <f t="shared" si="286"/>
        <v>1.1234467716982265E-2</v>
      </c>
      <c r="AD44" s="184">
        <f t="shared" si="286"/>
        <v>1.1358003065896698E-2</v>
      </c>
      <c r="AE44" s="184">
        <f t="shared" si="286"/>
        <v>1.1386454075143836E-2</v>
      </c>
      <c r="AF44" s="184">
        <f t="shared" si="286"/>
        <v>1.1436736298331049E-2</v>
      </c>
      <c r="AG44" s="184">
        <f t="shared" ref="AG44:AO44" si="287">+(AG41/1000)/AG43</f>
        <v>1.1667244266362023E-2</v>
      </c>
      <c r="AH44" s="184">
        <f t="shared" si="287"/>
        <v>1.1820308856318365E-2</v>
      </c>
      <c r="AI44" s="184">
        <f t="shared" si="287"/>
        <v>1.2039925736402571E-2</v>
      </c>
      <c r="AJ44" s="184">
        <f t="shared" si="287"/>
        <v>1.2226750274738664E-2</v>
      </c>
      <c r="AK44" s="184">
        <f t="shared" si="287"/>
        <v>1.2427683860747111E-2</v>
      </c>
      <c r="AL44" s="184">
        <f t="shared" si="287"/>
        <v>1.2641996267826614E-2</v>
      </c>
      <c r="AM44" s="184">
        <f t="shared" si="287"/>
        <v>1.272304458886111E-2</v>
      </c>
      <c r="AN44" s="184">
        <f>+(AN41/1000)/AN43</f>
        <v>1.2613863348942477E-2</v>
      </c>
      <c r="AO44" s="184">
        <f t="shared" si="287"/>
        <v>1.2851074015622263E-2</v>
      </c>
      <c r="AP44" s="184">
        <f t="shared" ref="AP44:AU44" si="288">+(AP41/1000)/AP43</f>
        <v>1.3079314620107651E-2</v>
      </c>
      <c r="AQ44" s="184">
        <f t="shared" si="288"/>
        <v>1.3076004999983157E-2</v>
      </c>
      <c r="AR44" s="184">
        <f t="shared" si="288"/>
        <v>1.3259797953800348E-2</v>
      </c>
      <c r="AS44" s="184">
        <f t="shared" si="288"/>
        <v>1.3483932962463668E-2</v>
      </c>
      <c r="AT44" s="266">
        <f t="shared" si="288"/>
        <v>1.3610640997929947E-2</v>
      </c>
      <c r="AU44" s="266">
        <f t="shared" si="288"/>
        <v>1.3847119571129071E-2</v>
      </c>
      <c r="AV44" s="266">
        <f t="shared" ref="AV44:BB44" si="289">+(AV41/1000)/AV43</f>
        <v>1.419308189117768E-2</v>
      </c>
      <c r="AW44" s="266">
        <f t="shared" si="289"/>
        <v>1.4292725548181508E-2</v>
      </c>
      <c r="AX44" s="266">
        <f t="shared" si="289"/>
        <v>1.4440584744223935E-2</v>
      </c>
      <c r="AY44" s="266">
        <f t="shared" si="289"/>
        <v>1.4481626801359733E-2</v>
      </c>
      <c r="AZ44" s="266">
        <f t="shared" si="289"/>
        <v>1.445429602120025E-2</v>
      </c>
      <c r="BA44" s="266">
        <f t="shared" si="289"/>
        <v>1.4782835119938892E-2</v>
      </c>
      <c r="BB44" s="266">
        <f t="shared" si="289"/>
        <v>1.506328211087473E-2</v>
      </c>
      <c r="BC44" s="266">
        <f t="shared" ref="BC44:BI44" si="290">+(BC41/1000)/BC43</f>
        <v>1.5121359735582551E-2</v>
      </c>
      <c r="BD44" s="266">
        <f t="shared" si="290"/>
        <v>1.526399300964959E-2</v>
      </c>
      <c r="BE44" s="266">
        <f t="shared" si="290"/>
        <v>1.5245442825077405E-2</v>
      </c>
      <c r="BF44" s="266">
        <f t="shared" si="290"/>
        <v>1.5238775655929009E-2</v>
      </c>
      <c r="BG44" s="266">
        <f t="shared" si="290"/>
        <v>1.5459233832979119E-2</v>
      </c>
      <c r="BH44" s="266">
        <f t="shared" si="290"/>
        <v>1.5315599836976678E-2</v>
      </c>
      <c r="BI44" s="266">
        <f t="shared" si="290"/>
        <v>1.5507213118194429E-2</v>
      </c>
      <c r="BJ44" s="266">
        <f t="shared" ref="BJ44:BO44" si="291">+(BJ41/1000)/BJ43</f>
        <v>1.5396646696684316E-2</v>
      </c>
      <c r="BK44" s="266">
        <f t="shared" si="291"/>
        <v>1.5264302881812271E-2</v>
      </c>
      <c r="BL44" s="266">
        <f t="shared" si="291"/>
        <v>1.5353232674582582E-2</v>
      </c>
      <c r="BM44" s="266">
        <f t="shared" si="291"/>
        <v>1.5215776567251531E-2</v>
      </c>
      <c r="BN44" s="266">
        <f t="shared" si="291"/>
        <v>1.503327429493095E-2</v>
      </c>
      <c r="BO44" s="266">
        <f t="shared" si="291"/>
        <v>1.4452369752627489E-2</v>
      </c>
      <c r="BP44" s="266">
        <f t="shared" ref="BP44:BU44" si="292">+(BP41/1000)/BP43</f>
        <v>1.4542297479674457E-2</v>
      </c>
      <c r="BQ44" s="266">
        <f t="shared" si="292"/>
        <v>1.4625615767279892E-2</v>
      </c>
      <c r="BR44" s="266">
        <f t="shared" si="292"/>
        <v>1.4849073879465682E-2</v>
      </c>
      <c r="BS44" s="266">
        <f t="shared" si="292"/>
        <v>1.4828172351806031E-2</v>
      </c>
      <c r="BT44" s="266">
        <f t="shared" si="292"/>
        <v>1.486768076415677E-2</v>
      </c>
      <c r="BU44" s="266">
        <f t="shared" si="292"/>
        <v>1.5045903645272552E-2</v>
      </c>
      <c r="BV44" s="266">
        <f t="shared" ref="BV44:CA44" si="293">+(BV41/1000)/BV43</f>
        <v>1.5017763741082832E-2</v>
      </c>
      <c r="BW44" s="266">
        <f t="shared" si="293"/>
        <v>1.4980013845729409E-2</v>
      </c>
      <c r="BX44" s="266">
        <f t="shared" si="293"/>
        <v>1.4803779860628479E-2</v>
      </c>
      <c r="BY44" s="266">
        <f t="shared" si="293"/>
        <v>1.479585610904819E-2</v>
      </c>
      <c r="BZ44" s="266">
        <f t="shared" si="293"/>
        <v>1.5025804828282467E-2</v>
      </c>
      <c r="CA44" s="266">
        <f t="shared" si="293"/>
        <v>1.5162332261004068E-2</v>
      </c>
      <c r="CB44" s="266">
        <f t="shared" ref="CB44:CG44" si="294">+(CB41/1000)/CB43</f>
        <v>1.5166087584672184E-2</v>
      </c>
      <c r="CC44" s="266">
        <f t="shared" si="294"/>
        <v>1.5376437692239885E-2</v>
      </c>
      <c r="CD44" s="266">
        <f t="shared" si="294"/>
        <v>1.545595706524118E-2</v>
      </c>
      <c r="CE44" s="197">
        <f t="shared" si="294"/>
        <v>1.5491891195650927E-2</v>
      </c>
      <c r="CF44" s="197">
        <f t="shared" si="294"/>
        <v>1.5685945009427934E-2</v>
      </c>
      <c r="CG44" s="197">
        <f t="shared" si="294"/>
        <v>1.5653195444767867E-2</v>
      </c>
      <c r="CH44" s="197">
        <f t="shared" ref="CH44:CI44" si="295">+(CH41/1000)/CH43</f>
        <v>1.5756074825371336E-2</v>
      </c>
      <c r="CI44" s="197">
        <f t="shared" si="295"/>
        <v>1.577697803075916E-2</v>
      </c>
      <c r="CJ44" s="197">
        <f t="shared" ref="CJ44:CK44" si="296">+(CJ41/1000)/CJ43</f>
        <v>1.557100944580939E-2</v>
      </c>
      <c r="CK44" s="197">
        <f t="shared" si="296"/>
        <v>1.587246462093855E-2</v>
      </c>
      <c r="CL44" s="197">
        <f t="shared" ref="CL44:CM44" si="297">+(CL41/1000)/CL43</f>
        <v>1.6011135143947291E-2</v>
      </c>
      <c r="CM44" s="197">
        <f t="shared" si="297"/>
        <v>1.6065298779563461E-2</v>
      </c>
      <c r="CN44" s="197">
        <f t="shared" ref="CN44:CO44" si="298">+(CN41/1000)/CN43</f>
        <v>1.5967700919275889E-2</v>
      </c>
      <c r="CO44" s="197">
        <f t="shared" si="298"/>
        <v>1.5905641782821587E-2</v>
      </c>
      <c r="CP44" s="197">
        <f t="shared" ref="CP44:CQ44" si="299">+(CP41/1000)/CP43</f>
        <v>1.5923337384129582E-2</v>
      </c>
      <c r="CQ44" s="197">
        <f t="shared" si="299"/>
        <v>1.5990679499736246E-2</v>
      </c>
      <c r="CR44" s="197">
        <f t="shared" ref="CR44" si="300">+(CR41/1000)/CR43</f>
        <v>1.5943435153591007E-2</v>
      </c>
      <c r="CS44" s="197">
        <f>+(CS41/1000)/CS43</f>
        <v>1.5977592226506049E-2</v>
      </c>
      <c r="CT44" s="197">
        <f>+(CT41/1000)/CT43</f>
        <v>1.652429216911671E-2</v>
      </c>
      <c r="CU44" s="197">
        <f t="shared" ref="CU44:CV44" si="301">+(CU41/1000)/CU43</f>
        <v>1.6163854594631877E-2</v>
      </c>
      <c r="CV44" s="197">
        <f t="shared" si="301"/>
        <v>1.6025735073665191E-2</v>
      </c>
      <c r="CW44" s="316">
        <f t="shared" ref="CW44:CX44" si="302">+(CW41/1000)/CW43</f>
        <v>1.6515566887521978E-2</v>
      </c>
      <c r="CX44" s="316">
        <f t="shared" si="302"/>
        <v>1.6704516726713768E-2</v>
      </c>
      <c r="CY44" s="197">
        <f t="shared" ref="CY44:CZ44" si="303">+(CY41/1000)/CY43</f>
        <v>1.6601485561786204E-2</v>
      </c>
      <c r="CZ44" s="197">
        <f t="shared" si="303"/>
        <v>1.6675338873919716E-2</v>
      </c>
      <c r="DA44" s="197">
        <f t="shared" ref="DA44:DB44" si="304">+(DA41/1000)/DA43</f>
        <v>1.6919388105494738E-2</v>
      </c>
      <c r="DB44" s="197">
        <f t="shared" si="304"/>
        <v>1.6802376967169918E-2</v>
      </c>
      <c r="DC44" s="197">
        <f t="shared" ref="DC44:DD44" si="305">+(DC41/1000)/DC43</f>
        <v>1.7087586162226946E-2</v>
      </c>
      <c r="DD44" s="197">
        <f t="shared" si="305"/>
        <v>1.6976410292278223E-2</v>
      </c>
      <c r="DE44" s="197">
        <f t="shared" ref="DE44:DF44" si="306">+(DE41/1000)/DE43</f>
        <v>1.733724666591106E-2</v>
      </c>
      <c r="DF44" s="197">
        <f t="shared" si="306"/>
        <v>1.773477810694549E-2</v>
      </c>
      <c r="DG44" s="271" t="e">
        <f t="shared" ref="DG44" si="307">+(DG41/1000)/DG43</f>
        <v>#DIV/0!</v>
      </c>
    </row>
    <row r="45" spans="1:111" ht="25.5" customHeight="1" thickTop="1">
      <c r="A45" s="764" t="s">
        <v>3</v>
      </c>
      <c r="B45" s="764" t="s">
        <v>62</v>
      </c>
      <c r="C45" s="185" t="s">
        <v>1</v>
      </c>
      <c r="D45" s="186">
        <v>3249.8372899999999</v>
      </c>
      <c r="E45" s="186">
        <v>3175.76692</v>
      </c>
      <c r="F45" s="186">
        <v>2793.44589</v>
      </c>
      <c r="G45" s="186">
        <v>3126.1170400000001</v>
      </c>
      <c r="H45" s="186">
        <v>3203.5201499999998</v>
      </c>
      <c r="I45" s="186">
        <v>3509.1290600000002</v>
      </c>
      <c r="J45" s="186">
        <v>3266.9955500000001</v>
      </c>
      <c r="K45" s="187">
        <v>3223.3586300000002</v>
      </c>
      <c r="L45" s="187">
        <v>3620.03458</v>
      </c>
      <c r="M45" s="187">
        <v>2741.6463699999999</v>
      </c>
      <c r="N45" s="187">
        <v>3426.88301</v>
      </c>
      <c r="O45" s="187">
        <v>3279.84166</v>
      </c>
      <c r="P45" s="187">
        <v>3358.6027899999999</v>
      </c>
      <c r="Q45" s="187">
        <v>3329.9630000000002</v>
      </c>
      <c r="R45" s="187">
        <f>+AKPK!AR52/1000</f>
        <v>3704.4749200000001</v>
      </c>
      <c r="S45" s="187">
        <v>3420.2690899999998</v>
      </c>
      <c r="T45" s="187">
        <v>3465.0944</v>
      </c>
      <c r="U45" s="187">
        <v>3383.0930499999999</v>
      </c>
      <c r="V45" s="187">
        <v>3478.7266300000001</v>
      </c>
      <c r="W45" s="187">
        <v>3385.9711400000001</v>
      </c>
      <c r="X45" s="187">
        <v>3571.8678799999998</v>
      </c>
      <c r="Y45" s="187">
        <v>2707.1406999999999</v>
      </c>
      <c r="Z45" s="187">
        <v>3759.7179799999999</v>
      </c>
      <c r="AA45" s="187">
        <v>4002.8227499999998</v>
      </c>
      <c r="AB45" s="187">
        <v>4340.0081300000002</v>
      </c>
      <c r="AC45" s="187">
        <v>4057.3434099999999</v>
      </c>
      <c r="AD45" s="187">
        <v>4196.6373999999996</v>
      </c>
      <c r="AE45" s="187">
        <v>4181.7390599999999</v>
      </c>
      <c r="AF45" s="187">
        <v>4210.6684699999996</v>
      </c>
      <c r="AG45" s="187">
        <v>4131.7134299999998</v>
      </c>
      <c r="AH45" s="187">
        <v>4308.0567499999997</v>
      </c>
      <c r="AI45" s="226">
        <v>4526.5159199999998</v>
      </c>
      <c r="AJ45" s="187">
        <v>4621.6450500000001</v>
      </c>
      <c r="AK45" s="187">
        <v>4108.5230600000004</v>
      </c>
      <c r="AL45" s="187">
        <v>4994.5265999999992</v>
      </c>
      <c r="AM45" s="187">
        <v>3831.6728599999997</v>
      </c>
      <c r="AN45" s="187">
        <v>4780.1138899999996</v>
      </c>
      <c r="AO45" s="187">
        <v>5007.9906300000002</v>
      </c>
      <c r="AP45" s="187">
        <v>6540.7803999999996</v>
      </c>
      <c r="AQ45" s="187">
        <v>6519.2358700000004</v>
      </c>
      <c r="AR45" s="187">
        <v>5798.1835299999993</v>
      </c>
      <c r="AS45" s="187">
        <v>6510.0637100000004</v>
      </c>
      <c r="AT45" s="187">
        <v>5913.4297200000001</v>
      </c>
      <c r="AU45" s="187">
        <v>6587.46155</v>
      </c>
      <c r="AV45" s="187">
        <v>7573.97811</v>
      </c>
      <c r="AW45" s="187">
        <v>7011.57305</v>
      </c>
      <c r="AX45" s="187">
        <v>7503.9890800000003</v>
      </c>
      <c r="AY45" s="187">
        <v>7552.2052400000002</v>
      </c>
      <c r="AZ45" s="187">
        <v>9701.5781299999999</v>
      </c>
      <c r="BA45" s="187">
        <v>10037.235849999999</v>
      </c>
      <c r="BB45" s="187">
        <v>11492.105680000001</v>
      </c>
      <c r="BC45" s="187">
        <v>10857.46992</v>
      </c>
      <c r="BD45" s="187">
        <v>15526.25849</v>
      </c>
      <c r="BE45" s="187">
        <v>9737.6321800000005</v>
      </c>
      <c r="BF45" s="187">
        <v>10287.046129999999</v>
      </c>
      <c r="BG45" s="187">
        <v>11624.89617</v>
      </c>
      <c r="BH45" s="187">
        <v>10007.90524</v>
      </c>
      <c r="BI45" s="187">
        <f>AKPK!CI52/1000</f>
        <v>9204.47775</v>
      </c>
      <c r="BJ45" s="187">
        <f>AKPK!CJ52/1000</f>
        <v>12763.256710000001</v>
      </c>
      <c r="BK45" s="187">
        <f>AKPK!CK52/1000</f>
        <v>12783.2642</v>
      </c>
      <c r="BL45" s="187">
        <f>AKPK!CL52/1000</f>
        <v>17689.825490000003</v>
      </c>
      <c r="BM45" s="187">
        <f>AKPK!CM52/1000</f>
        <v>20927.213920000002</v>
      </c>
      <c r="BN45" s="187">
        <f>AKPK!CN52/1000</f>
        <v>21089.252079999998</v>
      </c>
      <c r="BO45" s="187">
        <f>AKPK!CO52/1000</f>
        <v>21877.144789999998</v>
      </c>
      <c r="BP45" s="187">
        <f>AKPK!CP52/1000</f>
        <v>19414.373630000002</v>
      </c>
      <c r="BQ45" s="187">
        <f>AKPK!CQ52/1000</f>
        <v>21500.589310000003</v>
      </c>
      <c r="BR45" s="187">
        <f>AKPK!CR52/1000</f>
        <v>21532.685219999999</v>
      </c>
      <c r="BS45" s="187">
        <f>AKPK!CS52/1000</f>
        <v>21370.395169999985</v>
      </c>
      <c r="BT45" s="187">
        <f>AKPK!CT52/1000</f>
        <v>21895.585669999993</v>
      </c>
      <c r="BU45" s="187">
        <f>AKPK!CU52/1000</f>
        <v>16906.764140000003</v>
      </c>
      <c r="BV45" s="187">
        <f>AKPK!CV52/1000</f>
        <v>21378.431189999967</v>
      </c>
      <c r="BW45" s="187">
        <f>AKPK!CW52/1000</f>
        <v>19405.73934</v>
      </c>
      <c r="BX45" s="187">
        <f>AKPK!CX52/1000</f>
        <v>17852.479199999976</v>
      </c>
      <c r="BY45" s="187">
        <f>[1]AKPK!CY52/1000</f>
        <v>43447.68578</v>
      </c>
      <c r="BZ45" s="187">
        <f>AKPK!CZ52/1000</f>
        <v>9857.737919999985</v>
      </c>
      <c r="CA45" s="187">
        <f>AKPK!DA52/1000</f>
        <v>20324.751649999947</v>
      </c>
      <c r="CB45" s="187">
        <f>AKPK!DB52/1000</f>
        <v>20322.904639999957</v>
      </c>
      <c r="CC45" s="187">
        <f>AKPK!DC52/1000</f>
        <v>19370.179349999966</v>
      </c>
      <c r="CD45" s="187">
        <f>AKPK!DD52/1000</f>
        <v>22363.512989999941</v>
      </c>
      <c r="CE45" s="187">
        <f>AKPK!DE52/1000</f>
        <v>23928.940969999931</v>
      </c>
      <c r="CF45" s="187">
        <f>AKPK!DF52/1000</f>
        <v>23027.177519999943</v>
      </c>
      <c r="CG45" s="187">
        <f>AKPK!DG52/1000</f>
        <v>21911.259139999969</v>
      </c>
      <c r="CH45" s="187">
        <f>AKPK!DH52/1000</f>
        <v>22808.522039999956</v>
      </c>
      <c r="CI45" s="187">
        <f>AKPK!DI52/1000</f>
        <v>23832.780259999952</v>
      </c>
      <c r="CJ45" s="187">
        <f>AKPK!DJ52/1000</f>
        <v>21837.11097999995</v>
      </c>
      <c r="CK45" s="187">
        <f>AKPK!DK52/1000</f>
        <v>22008.670499999953</v>
      </c>
      <c r="CL45" s="187">
        <f>AKPK!DL52/1000</f>
        <v>22644.705199999949</v>
      </c>
      <c r="CM45" s="187">
        <f>AKPK!DM52/1000</f>
        <v>21053.215129999968</v>
      </c>
      <c r="CN45" s="187">
        <f>AKPK!DN52/1000</f>
        <v>21502.433319999971</v>
      </c>
      <c r="CO45" s="187">
        <f>AKPK!DO52/1000</f>
        <v>21957.84407999997</v>
      </c>
      <c r="CP45" s="187">
        <f>AKPK!DP52/1000</f>
        <v>23656.183399999976</v>
      </c>
      <c r="CQ45" s="187">
        <f>AKPK!DQ52/1000</f>
        <v>23346.470059999941</v>
      </c>
      <c r="CR45" s="187">
        <f>AKPK!DR52/1000</f>
        <v>23944.027959999985</v>
      </c>
      <c r="CS45" s="187">
        <f>AKPK!DS52/1000</f>
        <v>25301.736579999968</v>
      </c>
      <c r="CT45" s="187">
        <f>AKPK!DT52/1000</f>
        <v>27188.910149999967</v>
      </c>
      <c r="CU45" s="187">
        <f>AKPK!DU52/1000</f>
        <v>25605.343129999994</v>
      </c>
      <c r="CV45" s="187">
        <f>AKPK!DV52/1000</f>
        <v>25819.89979999993</v>
      </c>
      <c r="CW45" s="187">
        <f>AKPK!DW52/1000</f>
        <v>27066.275459999972</v>
      </c>
      <c r="CX45" s="187">
        <f>AKPK!DX52/1000</f>
        <v>27209.672049999983</v>
      </c>
      <c r="CY45" s="187">
        <f>AKPK!DY52/1000</f>
        <v>26467.684120000031</v>
      </c>
      <c r="CZ45" s="187">
        <f>AKPK!DZ52/1000</f>
        <v>24962.924009999999</v>
      </c>
      <c r="DA45" s="187">
        <f>AKPK!EA52/1000</f>
        <v>26067.74032999999</v>
      </c>
      <c r="DB45" s="187">
        <f>AKPK!EB52/1000</f>
        <v>24954.809229999992</v>
      </c>
      <c r="DC45" s="187">
        <f>AKPK!EC52/1000</f>
        <v>24338.241200000004</v>
      </c>
      <c r="DD45" s="187">
        <f>AKPK!ED52/1000</f>
        <v>25791.414530000002</v>
      </c>
      <c r="DE45" s="187">
        <f>AKPK!EE52/1000</f>
        <v>27488.081759999997</v>
      </c>
      <c r="DF45" s="187">
        <f>AKPK!EF52/1000</f>
        <v>27607.287230000009</v>
      </c>
      <c r="DG45" s="187">
        <f>AKPK!EG52/1000</f>
        <v>26039.173569999999</v>
      </c>
    </row>
    <row r="46" spans="1:111" ht="25.5" customHeight="1">
      <c r="A46" s="765"/>
      <c r="B46" s="765"/>
      <c r="C46" s="161" t="s">
        <v>6</v>
      </c>
      <c r="D46" s="162">
        <v>3594.3844399999998</v>
      </c>
      <c r="E46" s="162">
        <v>3981.0000100000002</v>
      </c>
      <c r="F46" s="162">
        <v>2293.6209699999999</v>
      </c>
      <c r="G46" s="162">
        <v>2684.7943500000001</v>
      </c>
      <c r="H46" s="162">
        <v>3875.73011</v>
      </c>
      <c r="I46" s="162">
        <v>3360.3986500000001</v>
      </c>
      <c r="J46" s="162">
        <v>3136.85997</v>
      </c>
      <c r="K46" s="163">
        <v>3913.4930100000001</v>
      </c>
      <c r="L46" s="163">
        <v>3236.23620999999</v>
      </c>
      <c r="M46" s="163">
        <v>3796.2037600000099</v>
      </c>
      <c r="N46" s="163">
        <v>3440.8481400000001</v>
      </c>
      <c r="O46" s="163">
        <v>2983.5505699999999</v>
      </c>
      <c r="P46" s="163">
        <v>3914.7140300000001</v>
      </c>
      <c r="Q46" s="163">
        <v>5040.5186000000003</v>
      </c>
      <c r="R46" s="163">
        <v>3715.6651499999998</v>
      </c>
      <c r="S46" s="163">
        <v>3472.9117200000001</v>
      </c>
      <c r="T46" s="163">
        <v>3687.5860200000002</v>
      </c>
      <c r="U46" s="163">
        <v>4028.4513200000001</v>
      </c>
      <c r="V46" s="163">
        <v>3915.2855599999998</v>
      </c>
      <c r="W46" s="163">
        <v>3678.3410399999998</v>
      </c>
      <c r="X46" s="163">
        <v>3917.74539</v>
      </c>
      <c r="Y46" s="163">
        <v>4820.23398</v>
      </c>
      <c r="Z46" s="163">
        <v>3912.34753</v>
      </c>
      <c r="AA46" s="163">
        <v>5052.3225300000004</v>
      </c>
      <c r="AB46" s="163">
        <v>3857.3030800000001</v>
      </c>
      <c r="AC46" s="163">
        <v>4353.20777</v>
      </c>
      <c r="AD46" s="163">
        <v>3893.1518799999999</v>
      </c>
      <c r="AE46" s="163">
        <v>4364.9952000000003</v>
      </c>
      <c r="AF46" s="163">
        <v>4483.6962199999998</v>
      </c>
      <c r="AG46" s="163">
        <v>4528.4058100000002</v>
      </c>
      <c r="AH46" s="163">
        <v>4428.7250599999998</v>
      </c>
      <c r="AI46" s="224">
        <v>5838.9574699999985</v>
      </c>
      <c r="AJ46" s="163">
        <v>5401.6620099999982</v>
      </c>
      <c r="AK46" s="163">
        <v>7046.2629400000014</v>
      </c>
      <c r="AL46" s="163">
        <v>5885.9234400000014</v>
      </c>
      <c r="AM46" s="163">
        <v>8556.7449000000015</v>
      </c>
      <c r="AN46" s="163">
        <v>6332.0192999999899</v>
      </c>
      <c r="AO46" s="163">
        <v>6720.3190200000108</v>
      </c>
      <c r="AP46" s="163">
        <v>6490.2511100000002</v>
      </c>
      <c r="AQ46" s="163">
        <v>6305.2718299999979</v>
      </c>
      <c r="AR46" s="163">
        <v>6381.2330000000075</v>
      </c>
      <c r="AS46" s="163">
        <v>7065.4906499999988</v>
      </c>
      <c r="AT46" s="163">
        <v>8742.0345300000008</v>
      </c>
      <c r="AU46" s="163">
        <v>9298.3571399999892</v>
      </c>
      <c r="AV46" s="163">
        <v>9901.3041800000101</v>
      </c>
      <c r="AW46" s="163">
        <v>11653.46875</v>
      </c>
      <c r="AX46" s="163">
        <v>13086.08532</v>
      </c>
      <c r="AY46" s="163">
        <v>14345.94349</v>
      </c>
      <c r="AZ46" s="163">
        <v>14335.98128</v>
      </c>
      <c r="BA46" s="163">
        <v>13746.3269</v>
      </c>
      <c r="BB46" s="163">
        <v>11357.531859999999</v>
      </c>
      <c r="BC46" s="163">
        <v>12721.58131</v>
      </c>
      <c r="BD46" s="163">
        <v>15038.541829999998</v>
      </c>
      <c r="BE46" s="163">
        <v>16434.322489999999</v>
      </c>
      <c r="BF46" s="163">
        <v>18982.804289999993</v>
      </c>
      <c r="BG46" s="163">
        <v>19346.329290000001</v>
      </c>
      <c r="BH46" s="163">
        <v>20388.470890000001</v>
      </c>
      <c r="BI46" s="163">
        <f>AKPK!CI54/1000</f>
        <v>19180.915359999999</v>
      </c>
      <c r="BJ46" s="163">
        <f>AKPK!CJ54/1000</f>
        <v>19421.740050000026</v>
      </c>
      <c r="BK46" s="163">
        <f>AKPK!CK54/1000</f>
        <v>20679.759590000005</v>
      </c>
      <c r="BL46" s="163">
        <f>AKPK!CL54/1000</f>
        <v>17911.235319999978</v>
      </c>
      <c r="BM46" s="163">
        <f>AKPK!CM54/1000</f>
        <v>17746.577199999989</v>
      </c>
      <c r="BN46" s="163">
        <f>AKPK!CN54/1000</f>
        <v>16068.623230000019</v>
      </c>
      <c r="BO46" s="163">
        <f>AKPK!CO54/1000</f>
        <v>17081.632179999964</v>
      </c>
      <c r="BP46" s="163">
        <f>AKPK!CP54/1000</f>
        <v>23752.002780000032</v>
      </c>
      <c r="BQ46" s="163">
        <f>AKPK!CQ54/1000</f>
        <v>22469.457300000027</v>
      </c>
      <c r="BR46" s="163">
        <f>AKPK!CR54/1000</f>
        <v>20152.664999999972</v>
      </c>
      <c r="BS46" s="163">
        <f>AKPK!CS54/1000</f>
        <v>21586.504069999992</v>
      </c>
      <c r="BT46" s="163">
        <f>AKPK!CT54/1000</f>
        <v>21461.774640000029</v>
      </c>
      <c r="BU46" s="163">
        <f>AKPK!CU54/1000</f>
        <v>24772.366829999999</v>
      </c>
      <c r="BV46" s="163">
        <f>AKPK!CV54/1000</f>
        <v>21400.304369999929</v>
      </c>
      <c r="BW46" s="163">
        <f>AKPK!CW54/1000</f>
        <v>22995.498920000002</v>
      </c>
      <c r="BX46" s="163">
        <f>AKPK!CX54/1000</f>
        <v>25539.32</v>
      </c>
      <c r="BY46" s="163">
        <f>[1]AKPK!CY54/1000</f>
        <v>19696.484670000016</v>
      </c>
      <c r="BZ46" s="163">
        <f>AKPK!CZ54/1000</f>
        <v>1401.9865300000013</v>
      </c>
      <c r="CA46" s="163">
        <f>AKPK!DA54/1000</f>
        <v>18947.45988999994</v>
      </c>
      <c r="CB46" s="163">
        <f>AKPK!DB54/1000</f>
        <v>24570.438519999967</v>
      </c>
      <c r="CC46" s="163">
        <f>AKPK!DC54/1000</f>
        <v>20684.849579999969</v>
      </c>
      <c r="CD46" s="163">
        <f>AKPK!DD54/1000</f>
        <v>25456.747029999926</v>
      </c>
      <c r="CE46" s="163">
        <f>AKPK!DE54/1000</f>
        <v>29072.026029999943</v>
      </c>
      <c r="CF46" s="163">
        <f>AKPK!DF54/1000</f>
        <v>20920.716919999955</v>
      </c>
      <c r="CG46" s="163">
        <f>AKPK!DG54/1000</f>
        <v>26995.601839999974</v>
      </c>
      <c r="CH46" s="163">
        <f>AKPK!DH54/1000</f>
        <v>14443.488939999937</v>
      </c>
      <c r="CI46" s="163">
        <f>AKPK!DI54/1000</f>
        <v>27109.558699999958</v>
      </c>
      <c r="CJ46" s="163">
        <f>AKPK!DJ54/1000</f>
        <v>23231.084969999938</v>
      </c>
      <c r="CK46" s="163">
        <f>AKPK!DK54/1000</f>
        <v>18539.806029999912</v>
      </c>
      <c r="CL46" s="163">
        <f>AKPK!DL54/1000</f>
        <v>26196.171409999995</v>
      </c>
      <c r="CM46" s="163">
        <f>AKPK!DM54/1000</f>
        <v>23394.453020000012</v>
      </c>
      <c r="CN46" s="163">
        <f>AKPK!DN54/1000</f>
        <v>24451.364989999922</v>
      </c>
      <c r="CO46" s="163">
        <f>AKPK!DO54/1000</f>
        <v>32535.380509999992</v>
      </c>
      <c r="CP46" s="163">
        <f>AKPK!DP54/1000</f>
        <v>23462.429939999998</v>
      </c>
      <c r="CQ46" s="163">
        <f>AKPK!DQ54/1000</f>
        <v>32507.219219999941</v>
      </c>
      <c r="CR46" s="163">
        <f>AKPK!DR54/1000</f>
        <v>23277.517049999951</v>
      </c>
      <c r="CS46" s="163">
        <f>AKPK!DS54/1000</f>
        <v>27974.52478</v>
      </c>
      <c r="CT46" s="163">
        <f>AKPK!DT54/1000</f>
        <v>24895.574459999949</v>
      </c>
      <c r="CU46" s="163">
        <f>AKPK!DU54/1000</f>
        <v>29797.336479999958</v>
      </c>
      <c r="CV46" s="163">
        <f>AKPK!DV54/1000</f>
        <v>27145.605379999906</v>
      </c>
      <c r="CW46" s="163">
        <f>AKPK!DW54/1000</f>
        <v>27274.826290000023</v>
      </c>
      <c r="CX46" s="163">
        <f>AKPK!DX54/1000</f>
        <v>17991.33050999996</v>
      </c>
      <c r="CY46" s="163">
        <f>AKPK!DY54/1000</f>
        <v>18714.613150000037</v>
      </c>
      <c r="CZ46" s="163">
        <f>AKPK!DZ54/1000</f>
        <v>26563.41423000002</v>
      </c>
      <c r="DA46" s="163">
        <f>AKPK!EA54/1000</f>
        <v>32857.391379999965</v>
      </c>
      <c r="DB46" s="163">
        <f>AKPK!EB54/1000</f>
        <v>27631.700970000027</v>
      </c>
      <c r="DC46" s="163">
        <f>AKPK!EC54/1000</f>
        <v>21274.961429999919</v>
      </c>
      <c r="DD46" s="163">
        <f>AKPK!ED54/1000</f>
        <v>20226.053260000019</v>
      </c>
      <c r="DE46" s="163">
        <f>AKPK!EE54/1000</f>
        <v>30438.402700000046</v>
      </c>
      <c r="DF46" s="163">
        <f>AKPK!EF54/1000</f>
        <v>22756.002090000035</v>
      </c>
      <c r="DG46" s="163">
        <f>AKPK!EG54/1000</f>
        <v>36019.889169999777</v>
      </c>
    </row>
    <row r="47" spans="1:111" s="69" customFormat="1" ht="25.5" customHeight="1">
      <c r="A47" s="765"/>
      <c r="B47" s="765"/>
      <c r="C47" s="164" t="s">
        <v>4</v>
      </c>
      <c r="D47" s="165">
        <v>87.681049999999999</v>
      </c>
      <c r="E47" s="165">
        <v>87.857550000000003</v>
      </c>
      <c r="F47" s="165">
        <v>26.529390000000099</v>
      </c>
      <c r="G47" s="165">
        <v>74.531089999999907</v>
      </c>
      <c r="H47" s="165">
        <v>63.508669999999903</v>
      </c>
      <c r="I47" s="165">
        <v>3.9087499999999999</v>
      </c>
      <c r="J47" s="165">
        <v>39.395370000000185</v>
      </c>
      <c r="K47" s="166">
        <v>-117.50534</v>
      </c>
      <c r="L47" s="166">
        <v>27.856560000000002</v>
      </c>
      <c r="M47" s="166">
        <v>58.736909999999902</v>
      </c>
      <c r="N47" s="166">
        <v>24.534170000000099</v>
      </c>
      <c r="O47" s="166">
        <v>27.416319999999999</v>
      </c>
      <c r="P47" s="166">
        <v>40.087220000000002</v>
      </c>
      <c r="Q47" s="166">
        <v>65.723079999999797</v>
      </c>
      <c r="R47" s="166">
        <f>+AKPK!AR44/1000</f>
        <v>42.279570000000298</v>
      </c>
      <c r="S47" s="166">
        <v>42.916739999999699</v>
      </c>
      <c r="T47" s="166">
        <v>5.8941800000001603</v>
      </c>
      <c r="U47" s="166">
        <v>17.238359999999801</v>
      </c>
      <c r="V47" s="166">
        <v>59.705459999999903</v>
      </c>
      <c r="W47" s="166">
        <v>28.381990000000201</v>
      </c>
      <c r="X47" s="166">
        <v>9.7648500000000897</v>
      </c>
      <c r="Y47" s="166">
        <v>66.436119999999605</v>
      </c>
      <c r="Z47" s="166">
        <v>4.3179899999997504</v>
      </c>
      <c r="AA47" s="166">
        <v>75.388310000000502</v>
      </c>
      <c r="AB47" s="166">
        <v>77.664500000000004</v>
      </c>
      <c r="AC47" s="166">
        <v>113.97119999999973</v>
      </c>
      <c r="AD47" s="166">
        <v>9.6624900000002203</v>
      </c>
      <c r="AE47" s="166">
        <v>43.652850000000001</v>
      </c>
      <c r="AF47" s="166">
        <v>108.86953</v>
      </c>
      <c r="AG47" s="166">
        <v>2.40570999999996</v>
      </c>
      <c r="AH47" s="166">
        <v>75.003470000000206</v>
      </c>
      <c r="AI47" s="166">
        <v>61.219859999999869</v>
      </c>
      <c r="AJ47" s="166">
        <v>63.308660000000152</v>
      </c>
      <c r="AK47" s="166">
        <v>49.77909999999963</v>
      </c>
      <c r="AL47" s="166">
        <v>46.260950000000186</v>
      </c>
      <c r="AM47" s="166">
        <v>85.450229999999976</v>
      </c>
      <c r="AN47" s="166">
        <v>81.21504999999982</v>
      </c>
      <c r="AO47" s="166">
        <v>75.028340000000782</v>
      </c>
      <c r="AP47" s="166">
        <v>92.707579999999993</v>
      </c>
      <c r="AQ47" s="166">
        <v>89.630330000000072</v>
      </c>
      <c r="AR47" s="166">
        <v>60.892279999999793</v>
      </c>
      <c r="AS47" s="166">
        <v>184.65808000000007</v>
      </c>
      <c r="AT47" s="166">
        <v>115.59448</v>
      </c>
      <c r="AU47" s="166">
        <v>9.2469400000004001</v>
      </c>
      <c r="AV47" s="166">
        <v>127.32187</v>
      </c>
      <c r="AW47" s="166">
        <v>140.17156</v>
      </c>
      <c r="AX47" s="166">
        <v>324.88493</v>
      </c>
      <c r="AY47" s="166">
        <v>367.509960000001</v>
      </c>
      <c r="AZ47" s="166">
        <v>212.90897999999899</v>
      </c>
      <c r="BA47" s="166">
        <v>279.33992000000001</v>
      </c>
      <c r="BB47" s="166">
        <v>180.167010000001</v>
      </c>
      <c r="BC47" s="166">
        <v>333.53404</v>
      </c>
      <c r="BD47" s="166">
        <v>304.58633000000009</v>
      </c>
      <c r="BE47" s="166">
        <v>441.67588000000097</v>
      </c>
      <c r="BF47" s="166">
        <v>266.59575999999998</v>
      </c>
      <c r="BG47" s="166">
        <v>370.56126</v>
      </c>
      <c r="BH47" s="166">
        <v>287.95060000000001</v>
      </c>
      <c r="BI47" s="166">
        <f>AKPK!CI44/1000</f>
        <v>342.51251999999954</v>
      </c>
      <c r="BJ47" s="166">
        <f>AKPK!CJ44/1000</f>
        <v>-105.54402999999932</v>
      </c>
      <c r="BK47" s="166">
        <f>AKPK!CK44/1000</f>
        <v>471.82848999999834</v>
      </c>
      <c r="BL47" s="166">
        <f>AKPK!CL44/1000</f>
        <v>493.18411000000128</v>
      </c>
      <c r="BM47" s="166">
        <f>AKPK!CM44/1000</f>
        <v>70.66614999999851</v>
      </c>
      <c r="BN47" s="166">
        <f>AKPK!CN44/1000</f>
        <v>232.46436999999545</v>
      </c>
      <c r="BO47" s="166">
        <f>AKPK!CO44/1000</f>
        <v>-132.03885999998263</v>
      </c>
      <c r="BP47" s="166">
        <f>AKPK!CP44/1000</f>
        <v>667.54131999998913</v>
      </c>
      <c r="BQ47" s="166">
        <f>AKPK!CQ44/1000</f>
        <v>355.53646999999881</v>
      </c>
      <c r="BR47" s="166">
        <f>AKPK!CR44/1000</f>
        <v>221.89294000000135</v>
      </c>
      <c r="BS47" s="166">
        <f>AKPK!CS44/1000</f>
        <v>210.30792999999971</v>
      </c>
      <c r="BT47" s="166">
        <f>AKPK!CT44/1000</f>
        <v>142.17240000000038</v>
      </c>
      <c r="BU47" s="166">
        <f>AKPK!CU44/1000</f>
        <v>386.10216999999807</v>
      </c>
      <c r="BV47" s="166">
        <f>AKPK!CV44/1000</f>
        <v>241.16890000000038</v>
      </c>
      <c r="BW47" s="166">
        <f>AKPK!CW44/1000</f>
        <v>551.14723000000231</v>
      </c>
      <c r="BX47" s="166">
        <f>AKPK!CX44/1000</f>
        <v>405.86204999999887</v>
      </c>
      <c r="BY47" s="166">
        <f>[1]AKPK!CY44/1000</f>
        <v>278.70702000000142</v>
      </c>
      <c r="BZ47" s="166">
        <f>AKPK!CZ44/1000</f>
        <v>711.55066999999622</v>
      </c>
      <c r="CA47" s="166">
        <f>AKPK!DA44/1000</f>
        <v>-831.79508999999803</v>
      </c>
      <c r="CB47" s="166">
        <f>AKPK!DB44/1000</f>
        <v>381.47787000000477</v>
      </c>
      <c r="CC47" s="166">
        <f>AKPK!DC44/1000</f>
        <v>-14.203750000007451</v>
      </c>
      <c r="CD47" s="166">
        <f>AKPK!DD44/1000</f>
        <v>506.64844999999553</v>
      </c>
      <c r="CE47" s="166">
        <f>AKPK!DE44/1000</f>
        <v>597.10350999999605</v>
      </c>
      <c r="CF47" s="166">
        <f>AKPK!DF44/1000</f>
        <v>551.74565000000598</v>
      </c>
      <c r="CG47" s="166">
        <f>AKPK!DG44/1000</f>
        <v>570.17290000000037</v>
      </c>
      <c r="CH47" s="166">
        <f>AKPK!DH44/1000</f>
        <v>538.85559000000546</v>
      </c>
      <c r="CI47" s="166">
        <f>AKPK!DI44/1000</f>
        <v>628.99533999999426</v>
      </c>
      <c r="CJ47" s="166">
        <f>AKPK!DJ44/1000</f>
        <v>455.51063999999872</v>
      </c>
      <c r="CK47" s="166">
        <f>AKPK!DK44/1000</f>
        <v>728.50860000001262</v>
      </c>
      <c r="CL47" s="166">
        <f>AKPK!DL44/1000</f>
        <v>665.903629999999</v>
      </c>
      <c r="CM47" s="166">
        <f>AKPK!DM44/1000</f>
        <v>1395.2583399999737</v>
      </c>
      <c r="CN47" s="166">
        <f>AKPK!DN44/1000</f>
        <v>772.48173000001907</v>
      </c>
      <c r="CO47" s="166">
        <f>AKPK!DO44/1000</f>
        <v>1437.9033999999911</v>
      </c>
      <c r="CP47" s="166">
        <f>AKPK!DP44/1000</f>
        <v>850.84737999998401</v>
      </c>
      <c r="CQ47" s="166">
        <f>AKPK!DQ44/1000</f>
        <v>1175.2122000000143</v>
      </c>
      <c r="CR47" s="166">
        <f>AKPK!DR44/1000</f>
        <v>1685.701060000036</v>
      </c>
      <c r="CS47" s="166">
        <f>AKPK!DS44/1000</f>
        <v>1796.2175799999236</v>
      </c>
      <c r="CT47" s="166">
        <f>AKPK!DT44/1000</f>
        <v>1111.4400700000563</v>
      </c>
      <c r="CU47" s="166">
        <f>AKPK!DU44/1000</f>
        <v>1989.4510700000264</v>
      </c>
      <c r="CV47" s="166">
        <f>AKPK!DV44/1000</f>
        <v>843.93821999998761</v>
      </c>
      <c r="CW47" s="166">
        <f>AKPK!DW44/1000</f>
        <v>1772.0211899999754</v>
      </c>
      <c r="CX47" s="166">
        <f>AKPK!DX44/1000</f>
        <v>1371.6189200000354</v>
      </c>
      <c r="CY47" s="166">
        <f>AKPK!DY44/1000</f>
        <v>-861.60785000001636</v>
      </c>
      <c r="CZ47" s="166">
        <f>AKPK!DZ44/1000</f>
        <v>1913.0920899999887</v>
      </c>
      <c r="DA47" s="166">
        <f>AKPK!EA44/1000</f>
        <v>1610.8146100000142</v>
      </c>
      <c r="DB47" s="166">
        <f>AKPK!EB44/1000</f>
        <v>3817.8785099999459</v>
      </c>
      <c r="DC47" s="166">
        <f>AKPK!EC44/1000</f>
        <v>1416.6133000001014</v>
      </c>
      <c r="DD47" s="166">
        <f>AKPK!ED44/1000</f>
        <v>2286.2565799999907</v>
      </c>
      <c r="DE47" s="166">
        <f>AKPK!EE44/1000</f>
        <v>1980.3137199999244</v>
      </c>
      <c r="DF47" s="166">
        <f>AKPK!EF44/1000</f>
        <v>828.5535800000057</v>
      </c>
      <c r="DG47" s="166">
        <f>AKPK!EG44/1000</f>
        <v>1458.7022100001871</v>
      </c>
    </row>
    <row r="48" spans="1:111" s="68" customFormat="1" ht="25.5" customHeight="1">
      <c r="A48" s="765"/>
      <c r="B48" s="765"/>
      <c r="C48" s="167" t="s">
        <v>58</v>
      </c>
      <c r="D48" s="168">
        <v>12695.869510000002</v>
      </c>
      <c r="E48" s="168">
        <v>13501.102600000004</v>
      </c>
      <c r="F48" s="168">
        <v>13001.277680000003</v>
      </c>
      <c r="G48" s="168">
        <f>+F48+G46-G45</f>
        <v>12559.954990000002</v>
      </c>
      <c r="H48" s="168">
        <f>+G48+H46-H45</f>
        <v>13232.164950000002</v>
      </c>
      <c r="I48" s="168">
        <f>+H48+I46-I45</f>
        <v>13083.434540000002</v>
      </c>
      <c r="J48" s="168">
        <f>+I48+J46-J45</f>
        <v>12953.298960000002</v>
      </c>
      <c r="K48" s="169">
        <f t="shared" ref="K48:P48" si="308">+J48+K46-K45</f>
        <v>13643.433340000001</v>
      </c>
      <c r="L48" s="169">
        <f t="shared" si="308"/>
        <v>13259.634969999992</v>
      </c>
      <c r="M48" s="169">
        <f t="shared" si="308"/>
        <v>14314.192360000003</v>
      </c>
      <c r="N48" s="169">
        <f t="shared" si="308"/>
        <v>14328.157490000003</v>
      </c>
      <c r="O48" s="169">
        <f t="shared" si="308"/>
        <v>14031.866400000004</v>
      </c>
      <c r="P48" s="169">
        <f t="shared" si="308"/>
        <v>14587.977640000005</v>
      </c>
      <c r="Q48" s="169">
        <f t="shared" ref="Q48:AP48" si="309">+P48+Q46-Q45</f>
        <v>16298.533240000004</v>
      </c>
      <c r="R48" s="169">
        <f t="shared" si="309"/>
        <v>16309.723470000004</v>
      </c>
      <c r="S48" s="169">
        <f t="shared" si="309"/>
        <v>16362.366100000005</v>
      </c>
      <c r="T48" s="169">
        <f t="shared" si="309"/>
        <v>16584.857720000007</v>
      </c>
      <c r="U48" s="169">
        <f t="shared" si="309"/>
        <v>17230.215990000008</v>
      </c>
      <c r="V48" s="169">
        <f t="shared" si="309"/>
        <v>17666.774920000007</v>
      </c>
      <c r="W48" s="169">
        <f t="shared" si="309"/>
        <v>17959.144820000005</v>
      </c>
      <c r="X48" s="169">
        <f t="shared" si="309"/>
        <v>18305.022330000007</v>
      </c>
      <c r="Y48" s="169">
        <f t="shared" si="309"/>
        <v>20418.115610000008</v>
      </c>
      <c r="Z48" s="169">
        <f t="shared" si="309"/>
        <v>20570.745160000006</v>
      </c>
      <c r="AA48" s="169">
        <f t="shared" si="309"/>
        <v>21620.244940000008</v>
      </c>
      <c r="AB48" s="169">
        <f t="shared" si="309"/>
        <v>21137.539890000007</v>
      </c>
      <c r="AC48" s="169">
        <f t="shared" si="309"/>
        <v>21433.404250000007</v>
      </c>
      <c r="AD48" s="169">
        <f t="shared" si="309"/>
        <v>21129.918730000009</v>
      </c>
      <c r="AE48" s="169">
        <f t="shared" si="309"/>
        <v>21313.17487000001</v>
      </c>
      <c r="AF48" s="169">
        <f t="shared" si="309"/>
        <v>21586.202620000007</v>
      </c>
      <c r="AG48" s="169">
        <f t="shared" si="309"/>
        <v>21982.895000000008</v>
      </c>
      <c r="AH48" s="169">
        <f t="shared" si="309"/>
        <v>22103.563310000009</v>
      </c>
      <c r="AI48" s="169">
        <f t="shared" si="309"/>
        <v>23416.004860000008</v>
      </c>
      <c r="AJ48" s="169">
        <f t="shared" si="309"/>
        <v>24196.021820000009</v>
      </c>
      <c r="AK48" s="169">
        <f t="shared" si="309"/>
        <v>27133.76170000001</v>
      </c>
      <c r="AL48" s="169">
        <f t="shared" si="309"/>
        <v>28025.158540000011</v>
      </c>
      <c r="AM48" s="169">
        <f t="shared" si="309"/>
        <v>32750.23058000001</v>
      </c>
      <c r="AN48" s="169">
        <f t="shared" si="309"/>
        <v>34302.135990000002</v>
      </c>
      <c r="AO48" s="169">
        <f t="shared" si="309"/>
        <v>36014.464380000012</v>
      </c>
      <c r="AP48" s="169">
        <f t="shared" si="309"/>
        <v>35963.935090000014</v>
      </c>
      <c r="AQ48" s="169">
        <f t="shared" ref="AQ48:CY48" si="310">+AP48+AQ46-AQ45</f>
        <v>35749.971050000007</v>
      </c>
      <c r="AR48" s="169">
        <f t="shared" si="310"/>
        <v>36333.020520000013</v>
      </c>
      <c r="AS48" s="169">
        <f t="shared" si="310"/>
        <v>36888.44746000001</v>
      </c>
      <c r="AT48" s="169">
        <f t="shared" si="310"/>
        <v>39717.052270000015</v>
      </c>
      <c r="AU48" s="169">
        <f t="shared" si="310"/>
        <v>42427.947860000007</v>
      </c>
      <c r="AV48" s="169">
        <f t="shared" si="310"/>
        <v>44755.273930000025</v>
      </c>
      <c r="AW48" s="169">
        <f t="shared" si="310"/>
        <v>49397.169630000026</v>
      </c>
      <c r="AX48" s="169">
        <f t="shared" si="310"/>
        <v>54979.265870000025</v>
      </c>
      <c r="AY48" s="169">
        <f t="shared" si="310"/>
        <v>61773.00412000002</v>
      </c>
      <c r="AZ48" s="169">
        <f t="shared" si="310"/>
        <v>66407.407270000025</v>
      </c>
      <c r="BA48" s="169">
        <f t="shared" si="310"/>
        <v>70116.498320000028</v>
      </c>
      <c r="BB48" s="169">
        <f t="shared" si="310"/>
        <v>69981.924500000023</v>
      </c>
      <c r="BC48" s="169">
        <f t="shared" si="310"/>
        <v>71846.035890000014</v>
      </c>
      <c r="BD48" s="169">
        <f t="shared" si="310"/>
        <v>71358.319230000023</v>
      </c>
      <c r="BE48" s="169">
        <f t="shared" si="310"/>
        <v>78055.009540000014</v>
      </c>
      <c r="BF48" s="169">
        <f t="shared" si="310"/>
        <v>86750.767699999997</v>
      </c>
      <c r="BG48" s="169">
        <f t="shared" si="310"/>
        <v>94472.200819999998</v>
      </c>
      <c r="BH48" s="169">
        <f t="shared" si="310"/>
        <v>104852.76647</v>
      </c>
      <c r="BI48" s="169">
        <f t="shared" si="310"/>
        <v>114829.20408</v>
      </c>
      <c r="BJ48" s="169">
        <f t="shared" si="310"/>
        <v>121487.68742000002</v>
      </c>
      <c r="BK48" s="169">
        <f t="shared" si="310"/>
        <v>129384.18281000003</v>
      </c>
      <c r="BL48" s="169">
        <f t="shared" si="310"/>
        <v>129605.59264</v>
      </c>
      <c r="BM48" s="169">
        <f t="shared" si="310"/>
        <v>126424.95591999998</v>
      </c>
      <c r="BN48" s="169">
        <f t="shared" si="310"/>
        <v>121404.32707</v>
      </c>
      <c r="BO48" s="169">
        <f t="shared" si="310"/>
        <v>116608.81445999997</v>
      </c>
      <c r="BP48" s="169">
        <f t="shared" si="310"/>
        <v>120946.44361</v>
      </c>
      <c r="BQ48" s="169">
        <f t="shared" si="310"/>
        <v>121915.31160000002</v>
      </c>
      <c r="BR48" s="169">
        <f t="shared" si="310"/>
        <v>120535.29138</v>
      </c>
      <c r="BS48" s="169">
        <f t="shared" si="310"/>
        <v>120751.40027999999</v>
      </c>
      <c r="BT48" s="169">
        <f t="shared" si="310"/>
        <v>120317.58925000002</v>
      </c>
      <c r="BU48" s="169">
        <f t="shared" si="310"/>
        <v>128183.19194000003</v>
      </c>
      <c r="BV48" s="169">
        <f t="shared" si="310"/>
        <v>128205.06511999998</v>
      </c>
      <c r="BW48" s="169">
        <f t="shared" si="310"/>
        <v>131794.8247</v>
      </c>
      <c r="BX48" s="169">
        <f t="shared" si="310"/>
        <v>139481.66550000003</v>
      </c>
      <c r="BY48" s="169">
        <f t="shared" si="310"/>
        <v>115730.46439000004</v>
      </c>
      <c r="BZ48" s="169">
        <v>129872.40196</v>
      </c>
      <c r="CA48" s="169">
        <f t="shared" si="310"/>
        <v>128495.11019999998</v>
      </c>
      <c r="CB48" s="169">
        <f t="shared" si="310"/>
        <v>132742.64408</v>
      </c>
      <c r="CC48" s="169">
        <f t="shared" si="310"/>
        <v>134057.31431000002</v>
      </c>
      <c r="CD48" s="169">
        <f t="shared" si="310"/>
        <v>137150.54835000003</v>
      </c>
      <c r="CE48" s="169">
        <f t="shared" si="310"/>
        <v>142293.63341000004</v>
      </c>
      <c r="CF48" s="169">
        <f t="shared" si="310"/>
        <v>140187.17281000005</v>
      </c>
      <c r="CG48" s="169">
        <f t="shared" si="310"/>
        <v>145271.51551000006</v>
      </c>
      <c r="CH48" s="169">
        <f t="shared" si="310"/>
        <v>136906.48241000006</v>
      </c>
      <c r="CI48" s="169">
        <f t="shared" si="310"/>
        <v>140183.26085000008</v>
      </c>
      <c r="CJ48" s="169">
        <f t="shared" si="310"/>
        <v>141577.23484000008</v>
      </c>
      <c r="CK48" s="169">
        <f t="shared" si="310"/>
        <v>138108.37037000005</v>
      </c>
      <c r="CL48" s="169">
        <f t="shared" si="310"/>
        <v>141659.83658000009</v>
      </c>
      <c r="CM48" s="169">
        <f t="shared" si="310"/>
        <v>144001.07447000014</v>
      </c>
      <c r="CN48" s="169">
        <f t="shared" si="310"/>
        <v>146950.00614000007</v>
      </c>
      <c r="CO48" s="169">
        <f t="shared" si="310"/>
        <v>157527.54257000008</v>
      </c>
      <c r="CP48" s="169">
        <f t="shared" si="310"/>
        <v>157333.7891100001</v>
      </c>
      <c r="CQ48" s="169">
        <f t="shared" si="310"/>
        <v>166494.53827000011</v>
      </c>
      <c r="CR48" s="169">
        <f t="shared" si="310"/>
        <v>165828.02736000007</v>
      </c>
      <c r="CS48" s="169">
        <f t="shared" si="310"/>
        <v>168500.8155600001</v>
      </c>
      <c r="CT48" s="169">
        <f t="shared" si="310"/>
        <v>166207.4798700001</v>
      </c>
      <c r="CU48" s="169">
        <f t="shared" si="310"/>
        <v>170399.47322000007</v>
      </c>
      <c r="CV48" s="169">
        <f t="shared" si="310"/>
        <v>171725.17880000005</v>
      </c>
      <c r="CW48" s="169">
        <f t="shared" si="310"/>
        <v>171933.7296300001</v>
      </c>
      <c r="CX48" s="169">
        <f t="shared" si="310"/>
        <v>162715.38809000008</v>
      </c>
      <c r="CY48" s="169">
        <f t="shared" si="310"/>
        <v>154962.31712000011</v>
      </c>
      <c r="CZ48" s="169">
        <f t="shared" ref="CZ48:DG48" si="311">+CY48+CZ46-CZ45</f>
        <v>156562.80734000014</v>
      </c>
      <c r="DA48" s="169">
        <f t="shared" si="311"/>
        <v>163352.4583900001</v>
      </c>
      <c r="DB48" s="169">
        <f t="shared" si="311"/>
        <v>166029.35013000015</v>
      </c>
      <c r="DC48" s="169">
        <f t="shared" si="311"/>
        <v>162966.07036000007</v>
      </c>
      <c r="DD48" s="169">
        <f t="shared" si="311"/>
        <v>157400.70909000008</v>
      </c>
      <c r="DE48" s="169">
        <f t="shared" si="311"/>
        <v>160351.03003000011</v>
      </c>
      <c r="DF48" s="169">
        <f t="shared" si="311"/>
        <v>155499.74489000012</v>
      </c>
      <c r="DG48" s="169">
        <f t="shared" si="311"/>
        <v>165480.46048999991</v>
      </c>
    </row>
    <row r="49" spans="1:111" ht="25.5" customHeight="1">
      <c r="A49" s="765"/>
      <c r="B49" s="765"/>
      <c r="C49" s="261" t="s">
        <v>61</v>
      </c>
      <c r="D49" s="259">
        <v>1.651478219298563E-2</v>
      </c>
      <c r="E49" s="259">
        <v>1.7322031171818242E-2</v>
      </c>
      <c r="F49" s="259">
        <v>1.6721525446547952E-2</v>
      </c>
      <c r="G49" s="259">
        <f t="shared" ref="G49:Q49" si="312">+G48/G53</f>
        <v>1.6207527285896504E-2</v>
      </c>
      <c r="H49" s="259">
        <f t="shared" si="312"/>
        <v>1.7253196887323834E-2</v>
      </c>
      <c r="I49" s="259">
        <f t="shared" si="312"/>
        <v>1.7053227499746915E-2</v>
      </c>
      <c r="J49" s="259">
        <f t="shared" si="312"/>
        <v>1.6753741647980248E-2</v>
      </c>
      <c r="K49" s="260">
        <f t="shared" si="312"/>
        <v>1.7458996342062751E-2</v>
      </c>
      <c r="L49" s="260">
        <f t="shared" si="312"/>
        <v>1.6635092327829969E-2</v>
      </c>
      <c r="M49" s="260">
        <f t="shared" si="312"/>
        <v>1.7687494877942574E-2</v>
      </c>
      <c r="N49" s="260">
        <f t="shared" si="312"/>
        <v>1.7310742228594401E-2</v>
      </c>
      <c r="O49" s="260">
        <f t="shared" si="312"/>
        <v>1.6665858119786752E-2</v>
      </c>
      <c r="P49" s="260">
        <f t="shared" si="312"/>
        <v>1.7023915935539376E-2</v>
      </c>
      <c r="Q49" s="260">
        <f t="shared" si="312"/>
        <v>1.8671366854187629E-2</v>
      </c>
      <c r="R49" s="260">
        <f t="shared" ref="R49:W49" si="313">+R48/R53</f>
        <v>1.8512327906156815E-2</v>
      </c>
      <c r="S49" s="260">
        <f t="shared" si="313"/>
        <v>1.8342317528310479E-2</v>
      </c>
      <c r="T49" s="260">
        <f t="shared" si="313"/>
        <v>1.8201061524380082E-2</v>
      </c>
      <c r="U49" s="260">
        <f t="shared" si="313"/>
        <v>1.8713250250855268E-2</v>
      </c>
      <c r="V49" s="260">
        <f t="shared" si="313"/>
        <v>1.885685285493752E-2</v>
      </c>
      <c r="W49" s="260">
        <f t="shared" si="313"/>
        <v>1.8730348273463333E-2</v>
      </c>
      <c r="X49" s="260">
        <f t="shared" ref="X49:AC49" si="314">+X48/X53</f>
        <v>1.8355480036350139E-2</v>
      </c>
      <c r="Y49" s="260">
        <f t="shared" si="314"/>
        <v>2.0037694151949462E-2</v>
      </c>
      <c r="Z49" s="260">
        <f t="shared" si="314"/>
        <v>1.9728926385125956E-2</v>
      </c>
      <c r="AA49" s="260">
        <f t="shared" si="314"/>
        <v>2.0347947152591975E-2</v>
      </c>
      <c r="AB49" s="260">
        <f t="shared" si="314"/>
        <v>1.9500216336859933E-2</v>
      </c>
      <c r="AC49" s="260">
        <f t="shared" si="314"/>
        <v>1.9277585031167794E-2</v>
      </c>
      <c r="AD49" s="260">
        <f t="shared" ref="AD49:AI49" si="315">+AD48/AD53</f>
        <v>1.8499064406065979E-2</v>
      </c>
      <c r="AE49" s="260">
        <f t="shared" si="315"/>
        <v>1.7903890752233555E-2</v>
      </c>
      <c r="AF49" s="260">
        <f t="shared" si="315"/>
        <v>1.73225798264517E-2</v>
      </c>
      <c r="AG49" s="260">
        <f t="shared" si="315"/>
        <v>1.6946356016585101E-2</v>
      </c>
      <c r="AH49" s="260">
        <f t="shared" si="315"/>
        <v>1.6301712693934232E-2</v>
      </c>
      <c r="AI49" s="260">
        <f t="shared" si="315"/>
        <v>1.6566472872482193E-2</v>
      </c>
      <c r="AJ49" s="260">
        <f t="shared" ref="AJ49:AO49" si="316">+AJ48/AJ53</f>
        <v>1.6308397575801246E-2</v>
      </c>
      <c r="AK49" s="260">
        <f t="shared" si="316"/>
        <v>1.5973341027481699E-2</v>
      </c>
      <c r="AL49" s="260">
        <f t="shared" si="316"/>
        <v>1.7197361147531533E-2</v>
      </c>
      <c r="AM49" s="260">
        <f t="shared" si="316"/>
        <v>1.9255343962859595E-2</v>
      </c>
      <c r="AN49" s="260">
        <f t="shared" si="316"/>
        <v>1.9296925522542308E-2</v>
      </c>
      <c r="AO49" s="260">
        <f t="shared" si="316"/>
        <v>1.9331418515436686E-2</v>
      </c>
      <c r="AP49" s="260">
        <f t="shared" ref="AP49:AU49" si="317">+AP48/AP53</f>
        <v>1.8439093226125587E-2</v>
      </c>
      <c r="AQ49" s="260">
        <f t="shared" si="317"/>
        <v>1.7523346733772233E-2</v>
      </c>
      <c r="AR49" s="260">
        <f t="shared" si="317"/>
        <v>1.6910849336544641E-2</v>
      </c>
      <c r="AS49" s="260">
        <f t="shared" si="317"/>
        <v>1.6296881136410965E-2</v>
      </c>
      <c r="AT49" s="260">
        <f t="shared" si="317"/>
        <v>1.6614312996992422E-2</v>
      </c>
      <c r="AU49" s="260">
        <f t="shared" si="317"/>
        <v>1.6879036165948661E-2</v>
      </c>
      <c r="AV49" s="260">
        <f t="shared" ref="AV49:BB49" si="318">+AV48/AV53</f>
        <v>1.715689343101804E-2</v>
      </c>
      <c r="AW49" s="260">
        <f t="shared" si="318"/>
        <v>1.8234020965200999E-2</v>
      </c>
      <c r="AX49" s="260">
        <f t="shared" si="318"/>
        <v>1.9618672700820777E-2</v>
      </c>
      <c r="AY49" s="260">
        <f t="shared" si="318"/>
        <v>2.1196246494764901E-2</v>
      </c>
      <c r="AZ49" s="260">
        <f t="shared" si="318"/>
        <v>2.2186099454638338E-2</v>
      </c>
      <c r="BA49" s="260">
        <f t="shared" si="318"/>
        <v>2.3045310804696482E-2</v>
      </c>
      <c r="BB49" s="260">
        <f t="shared" si="318"/>
        <v>2.2475993160747394E-2</v>
      </c>
      <c r="BC49" s="260">
        <f t="shared" ref="BC49:BI49" si="319">+BC48/BC53</f>
        <v>2.2280673424406941E-2</v>
      </c>
      <c r="BD49" s="260">
        <f t="shared" si="319"/>
        <v>2.1489398989148492E-2</v>
      </c>
      <c r="BE49" s="260">
        <f t="shared" si="319"/>
        <v>2.2871119755766698E-2</v>
      </c>
      <c r="BF49" s="260">
        <f t="shared" si="319"/>
        <v>2.4677519726364169E-2</v>
      </c>
      <c r="BG49" s="260">
        <f t="shared" si="319"/>
        <v>2.6100775433096465E-2</v>
      </c>
      <c r="BH49" s="260">
        <f t="shared" si="319"/>
        <v>2.8332670057167709E-2</v>
      </c>
      <c r="BI49" s="260">
        <f t="shared" si="319"/>
        <v>3.0368002087474835E-2</v>
      </c>
      <c r="BJ49" s="260">
        <f t="shared" ref="BJ49:BO49" si="320">+BJ48/BJ53</f>
        <v>3.1520375921202784E-2</v>
      </c>
      <c r="BK49" s="260">
        <f t="shared" si="320"/>
        <v>3.2728212892899303E-2</v>
      </c>
      <c r="BL49" s="260">
        <f t="shared" si="320"/>
        <v>3.2274369026691153E-2</v>
      </c>
      <c r="BM49" s="260">
        <f t="shared" si="320"/>
        <v>3.1033944669131647E-2</v>
      </c>
      <c r="BN49" s="260">
        <f t="shared" si="320"/>
        <v>2.9548580451913737E-2</v>
      </c>
      <c r="BO49" s="260">
        <f t="shared" si="320"/>
        <v>2.777046640213791E-2</v>
      </c>
      <c r="BP49" s="260">
        <f t="shared" ref="BP49:BU49" si="321">+BP48/BP53</f>
        <v>2.8534539145244123E-2</v>
      </c>
      <c r="BQ49" s="260">
        <f t="shared" si="321"/>
        <v>2.8336815350639876E-2</v>
      </c>
      <c r="BR49" s="260">
        <f t="shared" si="321"/>
        <v>2.7553041990882904E-2</v>
      </c>
      <c r="BS49" s="260">
        <f t="shared" si="321"/>
        <v>2.706419989506632E-2</v>
      </c>
      <c r="BT49" s="260">
        <f t="shared" si="321"/>
        <v>2.6561053131800329E-2</v>
      </c>
      <c r="BU49" s="260">
        <f t="shared" si="321"/>
        <v>2.7814144776264125E-2</v>
      </c>
      <c r="BV49" s="260">
        <f t="shared" ref="BV49:CA49" si="322">+BV48/BV53</f>
        <v>2.7316032083206716E-2</v>
      </c>
      <c r="BW49" s="260">
        <f t="shared" si="322"/>
        <v>2.760726669847045E-2</v>
      </c>
      <c r="BX49" s="260">
        <f t="shared" si="322"/>
        <v>2.8688782919111974E-2</v>
      </c>
      <c r="BY49" s="260">
        <f>+BY48/BY53</f>
        <v>2.3495119008219947E-2</v>
      </c>
      <c r="BZ49" s="260">
        <f t="shared" si="322"/>
        <v>2.5953246546835149E-2</v>
      </c>
      <c r="CA49" s="260">
        <f t="shared" si="322"/>
        <v>2.5162295060602285E-2</v>
      </c>
      <c r="CB49" s="260">
        <f t="shared" ref="CB49:CG49" si="323">+CB48/CB53</f>
        <v>2.5556451928278007E-2</v>
      </c>
      <c r="CC49" s="260">
        <f t="shared" si="323"/>
        <v>2.5400660709937642E-2</v>
      </c>
      <c r="CD49" s="260">
        <f t="shared" si="323"/>
        <v>2.5573005643132595E-2</v>
      </c>
      <c r="CE49" s="260">
        <f t="shared" si="323"/>
        <v>2.6252937028847567E-2</v>
      </c>
      <c r="CF49" s="260">
        <f t="shared" si="323"/>
        <v>2.5453774249813238E-2</v>
      </c>
      <c r="CG49" s="260">
        <f t="shared" si="323"/>
        <v>2.598051217834425E-2</v>
      </c>
      <c r="CH49" s="260">
        <f t="shared" ref="CH49:CI49" si="324">+CH48/CH53</f>
        <v>2.4063433563593913E-2</v>
      </c>
      <c r="CI49" s="260">
        <f t="shared" si="324"/>
        <v>2.4233094345639257E-2</v>
      </c>
      <c r="CJ49" s="260">
        <f t="shared" ref="CJ49:CK49" si="325">+CJ48/CJ53</f>
        <v>2.4203558255621732E-2</v>
      </c>
      <c r="CK49" s="260">
        <f t="shared" si="325"/>
        <v>2.3298639150093788E-2</v>
      </c>
      <c r="CL49" s="260">
        <f t="shared" ref="CL49:CM49" si="326">+CL48/CL53</f>
        <v>2.3593391903285181E-2</v>
      </c>
      <c r="CM49" s="260">
        <f t="shared" si="326"/>
        <v>2.3590960402521104E-2</v>
      </c>
      <c r="CN49" s="260">
        <f t="shared" ref="CN49:CO49" si="327">+CN48/CN53</f>
        <v>2.3803670436645614E-2</v>
      </c>
      <c r="CO49" s="260">
        <f t="shared" si="327"/>
        <v>2.5204401877791206E-2</v>
      </c>
      <c r="CP49" s="260">
        <f t="shared" ref="CP49:CQ49" si="328">+CP48/CP53</f>
        <v>2.4876904722870914E-2</v>
      </c>
      <c r="CQ49" s="260">
        <f t="shared" si="328"/>
        <v>2.6071328490155185E-2</v>
      </c>
      <c r="CR49" s="260">
        <f t="shared" ref="CR49:CS49" si="329">+CR48/CR53</f>
        <v>2.5680056592655761E-2</v>
      </c>
      <c r="CS49" s="260">
        <f t="shared" si="329"/>
        <v>2.5943852515972317E-2</v>
      </c>
      <c r="CT49" s="260">
        <f t="shared" ref="CT49:CY49" si="330">+CT48/CT53</f>
        <v>2.5445860385124381E-2</v>
      </c>
      <c r="CU49" s="260">
        <f t="shared" si="330"/>
        <v>2.5847280921743439E-2</v>
      </c>
      <c r="CV49" s="260">
        <f t="shared" si="330"/>
        <v>2.6042476814867516E-2</v>
      </c>
      <c r="CW49" s="260">
        <f t="shared" si="330"/>
        <v>2.5903991836838485E-2</v>
      </c>
      <c r="CX49" s="260">
        <f t="shared" si="330"/>
        <v>2.4361359904873741E-2</v>
      </c>
      <c r="CY49" s="260">
        <f t="shared" si="330"/>
        <v>2.2950766642550406E-2</v>
      </c>
      <c r="CZ49" s="260">
        <f t="shared" ref="CZ49:DE49" si="331">+CZ48/CZ53</f>
        <v>2.2935033523550998E-2</v>
      </c>
      <c r="DA49" s="260">
        <f t="shared" si="331"/>
        <v>2.3769227902260267E-2</v>
      </c>
      <c r="DB49" s="260">
        <f t="shared" si="331"/>
        <v>2.3955628867472052E-2</v>
      </c>
      <c r="DC49" s="260">
        <f t="shared" si="331"/>
        <v>2.3120193342218241E-2</v>
      </c>
      <c r="DD49" s="260">
        <f t="shared" si="331"/>
        <v>2.1883740509763348E-2</v>
      </c>
      <c r="DE49" s="260">
        <f t="shared" si="331"/>
        <v>2.1936949620760805E-2</v>
      </c>
      <c r="DF49" s="260">
        <f t="shared" ref="DF49:DG49" si="332">+DF48/DF53</f>
        <v>2.0778625766063926E-2</v>
      </c>
      <c r="DG49" s="260">
        <f t="shared" si="332"/>
        <v>2.1740966166239332E-2</v>
      </c>
    </row>
    <row r="50" spans="1:111" s="68" customFormat="1" ht="25.5" customHeight="1">
      <c r="A50" s="765"/>
      <c r="B50" s="765"/>
      <c r="C50" s="170" t="s">
        <v>59</v>
      </c>
      <c r="D50" s="171">
        <v>747853.69550999999</v>
      </c>
      <c r="E50" s="171">
        <v>752273.00075000001</v>
      </c>
      <c r="F50" s="171">
        <v>755518.05056999985</v>
      </c>
      <c r="G50" s="171">
        <v>751751.9301</v>
      </c>
      <c r="H50" s="171">
        <v>749635.37401999999</v>
      </c>
      <c r="I50" s="171">
        <v>749003.80370000005</v>
      </c>
      <c r="J50" s="171">
        <f>+'[2]By Product(Link)'!J33</f>
        <v>755933.34182999993</v>
      </c>
      <c r="K50" s="171">
        <f>+'[2]By Product(Link)'!K33</f>
        <v>753002.67665000004</v>
      </c>
      <c r="L50" s="172">
        <f>+'[2]By Product(Link)'!L33</f>
        <v>765773.59275999991</v>
      </c>
      <c r="M50" s="172">
        <f>+'[2]By Product(Link)'!M33</f>
        <v>786514.45544000017</v>
      </c>
      <c r="N50" s="172">
        <f>+'[2]By Product(Link)'!N33</f>
        <v>800395.76388999983</v>
      </c>
      <c r="O50" s="172">
        <f>+'[2]By Product(Link)'!O33</f>
        <v>816277.48628000007</v>
      </c>
      <c r="P50" s="172">
        <v>830758.09976000001</v>
      </c>
      <c r="Q50" s="172">
        <f>+'[2]By Product(Link)'!Q33</f>
        <v>843290.50071000005</v>
      </c>
      <c r="R50" s="172">
        <f>+'By Product(Link)'!R33</f>
        <v>855282.95316999999</v>
      </c>
      <c r="S50" s="172">
        <f>+'By Product(Link)'!S33</f>
        <v>864500.43062</v>
      </c>
      <c r="T50" s="172">
        <f>+'By Product(Link)'!T33</f>
        <v>881195.8677399999</v>
      </c>
      <c r="U50" s="172">
        <f>+'By Product(Link)'!U33</f>
        <v>891995.25954999996</v>
      </c>
      <c r="V50" s="172">
        <f>+'By Product(Link)'!V33</f>
        <v>908980.65819999983</v>
      </c>
      <c r="W50" s="172">
        <f>+'By Product(Link)'!W33</f>
        <v>924256.49459000002</v>
      </c>
      <c r="X50" s="172">
        <f>+'By Product(Link)'!X33</f>
        <v>956700.72430000012</v>
      </c>
      <c r="Y50" s="172">
        <f>+'By Product(Link)'!Y33</f>
        <v>984057.22198999999</v>
      </c>
      <c r="Z50" s="172">
        <f>+'By Product(Link)'!Z33</f>
        <v>1002103.6279</v>
      </c>
      <c r="AA50" s="172">
        <f>+'By Product(Link)'!AA33</f>
        <v>1027640.2887700001</v>
      </c>
      <c r="AB50" s="172">
        <f>+'By Product(Link)'!AB33</f>
        <v>1048831.8848899999</v>
      </c>
      <c r="AC50" s="172">
        <f>+'By Product(Link)'!AC33</f>
        <v>1072237.50238</v>
      </c>
      <c r="AD50" s="172">
        <f>+'By Product(Link)'!AD33</f>
        <v>1103626.166</v>
      </c>
      <c r="AE50" s="172">
        <f>+'By Product(Link)'!AE33</f>
        <v>1144929.04568</v>
      </c>
      <c r="AF50" s="172">
        <f>+'By Product(Link)'!AF33</f>
        <v>1197261.2765700002</v>
      </c>
      <c r="AG50" s="172">
        <f>+'By Product(Link)'!AG33</f>
        <v>1243353.0486900001</v>
      </c>
      <c r="AH50" s="172">
        <f>+'By Product(Link)'!AH33</f>
        <v>1303184.9410699999</v>
      </c>
      <c r="AI50" s="172">
        <v>1362165.46266</v>
      </c>
      <c r="AJ50" s="172">
        <f>+'By Product(Link)'!AJ33</f>
        <v>1440202.6857</v>
      </c>
      <c r="AK50" s="172">
        <f>+'By Product(Link)'!AK33</f>
        <v>1509886.7141499999</v>
      </c>
      <c r="AL50" s="172">
        <f>+'By Product(Link)'!AL33</f>
        <v>1580181.57766</v>
      </c>
      <c r="AM50" s="172">
        <f>+'By Product(Link)'!AM33</f>
        <v>1655848.91616</v>
      </c>
      <c r="AN50" s="172">
        <v>1720283.0462599997</v>
      </c>
      <c r="AO50" s="172">
        <v>1801714.5274400003</v>
      </c>
      <c r="AP50" s="172">
        <v>1888175.4486099998</v>
      </c>
      <c r="AQ50" s="172">
        <v>1967646.2968599999</v>
      </c>
      <c r="AR50" s="172">
        <v>2086349.2775399999</v>
      </c>
      <c r="AS50" s="172">
        <v>2190128.8422300005</v>
      </c>
      <c r="AT50" s="172">
        <v>2309509.1136700003</v>
      </c>
      <c r="AU50" s="172">
        <v>2444441.8325700001</v>
      </c>
      <c r="AV50" s="172">
        <v>2547377.8284499999</v>
      </c>
      <c r="AW50" s="172">
        <v>2647628.5406399998</v>
      </c>
      <c r="AX50" s="172">
        <v>2741776.82064</v>
      </c>
      <c r="AY50" s="172">
        <v>2836342.8219500002</v>
      </c>
      <c r="AZ50" s="172">
        <v>2928151.6809999999</v>
      </c>
      <c r="BA50" s="172">
        <v>2986799.0987799997</v>
      </c>
      <c r="BB50" s="172">
        <v>3038321.0930400002</v>
      </c>
      <c r="BC50" s="172">
        <v>3107209.8479599999</v>
      </c>
      <c r="BD50" s="172">
        <v>3215813.525390001</v>
      </c>
      <c r="BE50" s="172">
        <v>3296846.7821599999</v>
      </c>
      <c r="BF50" s="172">
        <v>3384074.2451300002</v>
      </c>
      <c r="BG50" s="172">
        <v>3479502.7252700003</v>
      </c>
      <c r="BH50" s="172">
        <v>3566568.6733300006</v>
      </c>
      <c r="BI50" s="172">
        <v>3644459.0335499998</v>
      </c>
      <c r="BJ50" s="172">
        <f>'By Product(Link)'!BJ33</f>
        <v>3715229.4767100001</v>
      </c>
      <c r="BK50" s="172">
        <f>'By Product(Link)'!BK33</f>
        <v>3810715.6424500002</v>
      </c>
      <c r="BL50" s="172">
        <f>'By Product(Link)'!BL33</f>
        <v>3883906.6238199994</v>
      </c>
      <c r="BM50" s="172">
        <f>'By Product(Link)'!BM33</f>
        <v>3941535.9593599993</v>
      </c>
      <c r="BN50" s="172">
        <f>'By Product(Link)'!BN33</f>
        <v>3979381.3259300003</v>
      </c>
      <c r="BO50" s="172">
        <f>'By Product(Link)'!BO33</f>
        <v>4011246.2670200001</v>
      </c>
      <c r="BP50" s="172">
        <f>'By Product(Link)'!BP33</f>
        <v>4095303.6913399999</v>
      </c>
      <c r="BQ50" s="172">
        <f>'By Product(Link)'!BQ33</f>
        <v>4136646.4785699998</v>
      </c>
      <c r="BR50" s="172">
        <f>'By Product(Link)'!BR33</f>
        <v>4216096.3759299992</v>
      </c>
      <c r="BS50" s="172">
        <f>'By Product(Link)'!BS33</f>
        <v>4297351.2730399994</v>
      </c>
      <c r="BT50" s="172">
        <f>'By Product(Link)'!BT33</f>
        <v>4364168.6039100001</v>
      </c>
      <c r="BU50" s="172">
        <f>'By Product(Link)'!BU33</f>
        <v>4451244.8412600001</v>
      </c>
      <c r="BV50" s="172">
        <f>'By Product(Link)'!BV33</f>
        <v>4516922.8366900003</v>
      </c>
      <c r="BW50" s="172">
        <f>'By Product(Link)'!BW33</f>
        <v>4605189.53455</v>
      </c>
      <c r="BX50" s="172">
        <f>'By Product(Link)'!BX33</f>
        <v>4642341.59827</v>
      </c>
      <c r="BY50" s="289">
        <f>'[1]By Product(Link)'!BY33</f>
        <v>4764553.0153399995</v>
      </c>
      <c r="BZ50" s="172">
        <f>'By Product(Link)'!BZ33</f>
        <v>4845257.49223</v>
      </c>
      <c r="CA50" s="172">
        <f>'By Product(Link)'!CA33</f>
        <v>4919963.7680099998</v>
      </c>
      <c r="CB50" s="172">
        <f>'By Product(Link)'!CB33</f>
        <v>5000847.5674799997</v>
      </c>
      <c r="CC50" s="172">
        <f>'By Product(Link)'!CC33</f>
        <v>5076985.7144700009</v>
      </c>
      <c r="CD50" s="172">
        <f>'By Product(Link)'!CD33</f>
        <v>5169695.2583699999</v>
      </c>
      <c r="CE50" s="172">
        <f>'By Product(Link)'!CE33</f>
        <v>5227720.0732299993</v>
      </c>
      <c r="CF50" s="172">
        <f>'By Product(Link)'!CF33</f>
        <v>5307746.1400000006</v>
      </c>
      <c r="CG50" s="172">
        <f>'By Product(Link)'!CG33</f>
        <v>5474108.2770199999</v>
      </c>
      <c r="CH50" s="172">
        <f>'By Product(Link)'!CH33</f>
        <v>5467424.7195599992</v>
      </c>
      <c r="CI50" s="172">
        <f>'By Product(Link)'!CI33</f>
        <v>5586480.4993500002</v>
      </c>
      <c r="CJ50" s="172">
        <f>'By Product(Link)'!CJ33</f>
        <v>5659539.5914200004</v>
      </c>
      <c r="CK50" s="172">
        <f>'By Product(Link)'!CK33</f>
        <v>5720292.6248899996</v>
      </c>
      <c r="CL50" s="172">
        <f>'By Product(Link)'!CL33</f>
        <v>5790724.0204799995</v>
      </c>
      <c r="CM50" s="172">
        <f>'By Product(Link)'!CM33</f>
        <v>5847839.5491000004</v>
      </c>
      <c r="CN50" s="172">
        <f>'By Product(Link)'!CN33</f>
        <v>5948412.96227</v>
      </c>
      <c r="CO50" s="172">
        <f>'By Product(Link)'!CO33</f>
        <v>5999097.2431899998</v>
      </c>
      <c r="CP50" s="172">
        <f>'By Product(Link)'!CP33</f>
        <v>6106727.3502100008</v>
      </c>
      <c r="CQ50" s="172">
        <f>'By Product(Link)'!CQ33</f>
        <v>6152684.7836500006</v>
      </c>
      <c r="CR50" s="172">
        <f>'By Product(Link)'!CR33</f>
        <v>6230509.2393400008</v>
      </c>
      <c r="CS50" s="172">
        <f>'By Product(Link)'!CS33</f>
        <v>6267510.3495799992</v>
      </c>
      <c r="CT50" s="172">
        <f>'By Product(Link)'!CT33</f>
        <v>6316520.9539599996</v>
      </c>
      <c r="CU50" s="172">
        <f>'By Product(Link)'!CU33</f>
        <v>6385689.2846300006</v>
      </c>
      <c r="CV50" s="172">
        <f>'By Product(Link)'!CV33</f>
        <v>6403756.6980000008</v>
      </c>
      <c r="CW50" s="172">
        <f>'By Product(Link)'!CW33</f>
        <v>6369016.9719000012</v>
      </c>
      <c r="CX50" s="172">
        <f>'By Product(Link)'!CX33</f>
        <v>6420914.6386599997</v>
      </c>
      <c r="CY50" s="172">
        <f>'By Product(Link)'!CY33</f>
        <v>6446304.7388199996</v>
      </c>
      <c r="CZ50" s="172">
        <f>'By Product(Link)'!CZ33</f>
        <v>6517432.1988199987</v>
      </c>
      <c r="DA50" s="172">
        <f>'By Product(Link)'!DA33</f>
        <v>6589998.3869900014</v>
      </c>
      <c r="DB50" s="172">
        <f>'By Product(Link)'!DB33</f>
        <v>6640336.0569400005</v>
      </c>
      <c r="DC50" s="172">
        <f>'By Product(Link)'!DC33</f>
        <v>6674880.3922700007</v>
      </c>
      <c r="DD50" s="172">
        <f>'By Product(Link)'!DD33</f>
        <v>6808762.0832200004</v>
      </c>
      <c r="DE50" s="172">
        <f>'By Product(Link)'!DE33</f>
        <v>6933421.3817100003</v>
      </c>
      <c r="DF50" s="172">
        <f>'By Product(Link)'!DF33</f>
        <v>7053871.5631000008</v>
      </c>
      <c r="DG50" s="172">
        <f>'By Product(Link)'!DG33</f>
        <v>7242368.3995899986</v>
      </c>
    </row>
    <row r="51" spans="1:111" s="116" customFormat="1" ht="25.5" customHeight="1">
      <c r="A51" s="765"/>
      <c r="B51" s="765"/>
      <c r="C51" s="173" t="s">
        <v>66</v>
      </c>
      <c r="D51" s="174">
        <v>20904.218559999368</v>
      </c>
      <c r="E51" s="174">
        <v>27144.982399999979</v>
      </c>
      <c r="F51" s="174">
        <v>21999.390739999246</v>
      </c>
      <c r="G51" s="174">
        <f t="shared" ref="G51:M51" si="333">+G53-G50</f>
        <v>23193.857029998908</v>
      </c>
      <c r="H51" s="174">
        <f t="shared" si="333"/>
        <v>17304.51754999999</v>
      </c>
      <c r="I51" s="174">
        <f t="shared" si="333"/>
        <v>18207.830590000027</v>
      </c>
      <c r="J51" s="174">
        <f t="shared" si="333"/>
        <v>17225.229680000106</v>
      </c>
      <c r="K51" s="175">
        <f t="shared" si="333"/>
        <v>28453.088200000115</v>
      </c>
      <c r="L51" s="175">
        <f t="shared" si="333"/>
        <v>31314.557320000138</v>
      </c>
      <c r="M51" s="175">
        <f t="shared" si="333"/>
        <v>22768.739199999836</v>
      </c>
      <c r="N51" s="175">
        <f t="shared" ref="N51:S51" si="334">+N53-N50</f>
        <v>27307.479610000155</v>
      </c>
      <c r="O51" s="175">
        <f t="shared" si="334"/>
        <v>25675.343219999922</v>
      </c>
      <c r="P51" s="175">
        <f t="shared" si="334"/>
        <v>26152.712959999917</v>
      </c>
      <c r="Q51" s="175">
        <f t="shared" si="334"/>
        <v>29625.412049999926</v>
      </c>
      <c r="R51" s="175">
        <f t="shared" si="334"/>
        <v>25736.632949999999</v>
      </c>
      <c r="S51" s="175">
        <f t="shared" si="334"/>
        <v>27555.116600000067</v>
      </c>
      <c r="T51" s="175">
        <f t="shared" ref="T51:Y51" si="335">+T53-T50</f>
        <v>30006.90457000013</v>
      </c>
      <c r="U51" s="175">
        <f t="shared" si="335"/>
        <v>28754.249970000121</v>
      </c>
      <c r="V51" s="175">
        <f t="shared" si="335"/>
        <v>27908.177700000349</v>
      </c>
      <c r="W51" s="175">
        <f t="shared" si="335"/>
        <v>34569.500409999629</v>
      </c>
      <c r="X51" s="175">
        <f t="shared" si="335"/>
        <v>40550.357869999949</v>
      </c>
      <c r="Y51" s="175">
        <f t="shared" si="335"/>
        <v>34928.069190000184</v>
      </c>
      <c r="Z51" s="175">
        <f t="shared" ref="Z51:AE51" si="336">+Z53-Z50</f>
        <v>40565.636429999955</v>
      </c>
      <c r="AA51" s="175">
        <f t="shared" si="336"/>
        <v>34886.794569999794</v>
      </c>
      <c r="AB51" s="175">
        <f t="shared" si="336"/>
        <v>35132.494010000024</v>
      </c>
      <c r="AC51" s="175">
        <f t="shared" si="336"/>
        <v>39592.854760000017</v>
      </c>
      <c r="AD51" s="175">
        <f t="shared" si="336"/>
        <v>38589.36805000063</v>
      </c>
      <c r="AE51" s="175">
        <f t="shared" si="336"/>
        <v>45492.364109999966</v>
      </c>
      <c r="AF51" s="175">
        <f t="shared" ref="AF51:AN51" si="337">+AF53-AF50</f>
        <v>48869.659829999786</v>
      </c>
      <c r="AG51" s="175">
        <f t="shared" si="337"/>
        <v>53851.788650000002</v>
      </c>
      <c r="AH51" s="175">
        <f t="shared" si="337"/>
        <v>52719.418489999371</v>
      </c>
      <c r="AI51" s="175">
        <f t="shared" si="337"/>
        <v>51292.008960000472</v>
      </c>
      <c r="AJ51" s="175">
        <f t="shared" si="337"/>
        <v>43451.469009999884</v>
      </c>
      <c r="AK51" s="175">
        <f t="shared" si="337"/>
        <v>188803.72596000019</v>
      </c>
      <c r="AL51" s="175">
        <f t="shared" si="337"/>
        <v>49438.123850000324</v>
      </c>
      <c r="AM51" s="175">
        <f t="shared" si="337"/>
        <v>44989.59616000019</v>
      </c>
      <c r="AN51" s="175">
        <f t="shared" si="337"/>
        <v>57312.869210000383</v>
      </c>
      <c r="AO51" s="175">
        <f t="shared" ref="AO51:AU51" si="338">+AO53-AO50</f>
        <v>61287.111640000017</v>
      </c>
      <c r="AP51" s="175">
        <f t="shared" si="338"/>
        <v>62242.321339999791</v>
      </c>
      <c r="AQ51" s="175">
        <f t="shared" si="338"/>
        <v>72487.45117000048</v>
      </c>
      <c r="AR51" s="175">
        <f t="shared" si="338"/>
        <v>62154.313080000458</v>
      </c>
      <c r="AS51" s="175">
        <f t="shared" si="338"/>
        <v>73399.200419998728</v>
      </c>
      <c r="AT51" s="175">
        <f t="shared" si="338"/>
        <v>81023.210910000373</v>
      </c>
      <c r="AU51" s="175">
        <f t="shared" si="338"/>
        <v>69205.714769999962</v>
      </c>
      <c r="AV51" s="175">
        <f t="shared" ref="AV51:BB51" si="339">+AV53-AV50</f>
        <v>61210.615020000376</v>
      </c>
      <c r="AW51" s="175">
        <f t="shared" si="339"/>
        <v>61437.645269999281</v>
      </c>
      <c r="AX51" s="175">
        <f t="shared" si="339"/>
        <v>60617.954399999697</v>
      </c>
      <c r="AY51" s="175">
        <f t="shared" si="339"/>
        <v>77994.116679999977</v>
      </c>
      <c r="AZ51" s="175">
        <f t="shared" si="339"/>
        <v>65047.164330000523</v>
      </c>
      <c r="BA51" s="175">
        <f t="shared" si="339"/>
        <v>55750.377520001028</v>
      </c>
      <c r="BB51" s="175">
        <f t="shared" si="339"/>
        <v>75308.81418999983</v>
      </c>
      <c r="BC51" s="175">
        <f t="shared" ref="BC51:BI51" si="340">+BC53-BC50</f>
        <v>117380.11489532562</v>
      </c>
      <c r="BD51" s="175">
        <f t="shared" si="340"/>
        <v>104815.37009627372</v>
      </c>
      <c r="BE51" s="175">
        <f t="shared" si="340"/>
        <v>115972.9823956606</v>
      </c>
      <c r="BF51" s="175">
        <f t="shared" si="340"/>
        <v>131302.04316529492</v>
      </c>
      <c r="BG51" s="175">
        <f t="shared" si="340"/>
        <v>140014.29107913002</v>
      </c>
      <c r="BH51" s="175">
        <f t="shared" si="340"/>
        <v>134203.83622999908</v>
      </c>
      <c r="BI51" s="175">
        <f t="shared" si="340"/>
        <v>136797.42676092917</v>
      </c>
      <c r="BJ51" s="175">
        <f t="shared" ref="BJ51:BO51" si="341">+BJ53-BJ50</f>
        <v>139029.35966000007</v>
      </c>
      <c r="BK51" s="175">
        <f t="shared" si="341"/>
        <v>142576.37607237883</v>
      </c>
      <c r="BL51" s="175">
        <f t="shared" si="341"/>
        <v>131837.03124000132</v>
      </c>
      <c r="BM51" s="175">
        <f t="shared" si="341"/>
        <v>132227.69743192475</v>
      </c>
      <c r="BN51" s="175">
        <f t="shared" si="341"/>
        <v>129253.51247006748</v>
      </c>
      <c r="BO51" s="175">
        <f t="shared" si="341"/>
        <v>187776.27626082953</v>
      </c>
      <c r="BP51" s="175">
        <f>+BP53-BP50</f>
        <v>143294.41582999984</v>
      </c>
      <c r="BQ51" s="175">
        <f>+BQ53-BQ50</f>
        <v>165718.13408740098</v>
      </c>
      <c r="BR51" s="175">
        <f>+BR53-BR50</f>
        <v>158567.27898999956</v>
      </c>
      <c r="BS51" s="172">
        <f>'By Product(Link)'!BS34</f>
        <v>164313.98025324184</v>
      </c>
      <c r="BT51" s="172">
        <f>'By Product(Link)'!BT34</f>
        <v>165681.4985300001</v>
      </c>
      <c r="BU51" s="172">
        <f>'By Product(Link)'!BU34</f>
        <v>157316.48504000076</v>
      </c>
      <c r="BV51" s="172">
        <f>'By Product(Link)'!BV34</f>
        <v>176477.16846000036</v>
      </c>
      <c r="BW51" s="172">
        <f>'By Product(Link)'!BW34</f>
        <v>168728.3668300003</v>
      </c>
      <c r="BX51" s="172">
        <f>'By Product(Link)'!BX34</f>
        <v>219546.96261000022</v>
      </c>
      <c r="BY51" s="289">
        <f>'[1]By Product(Link)'!BY34</f>
        <v>161170.67856897123</v>
      </c>
      <c r="BZ51" s="172">
        <f>'By Product(Link)'!BZ34</f>
        <v>158833.29562702839</v>
      </c>
      <c r="CA51" s="172">
        <f>'By Product(Link)'!CA34</f>
        <v>186689.25750000041</v>
      </c>
      <c r="CB51" s="172">
        <f>'By Product(Link)'!CB34</f>
        <v>193247.62431465334</v>
      </c>
      <c r="CC51" s="172">
        <f>'By Product(Link)'!CC34</f>
        <v>200724.02075558819</v>
      </c>
      <c r="CD51" s="172">
        <f>'By Product(Link)'!CD34</f>
        <v>193403.24729316251</v>
      </c>
      <c r="CE51" s="172">
        <f>'By Product(Link)'!CE34</f>
        <v>192383.33286293602</v>
      </c>
      <c r="CF51" s="172">
        <f>'By Product(Link)'!CF34</f>
        <v>199773.94068228436</v>
      </c>
      <c r="CG51" s="172">
        <f>'By Product(Link)'!CG34</f>
        <v>117448.75283291494</v>
      </c>
      <c r="CH51" s="172">
        <f>'By Product(Link)'!CH34</f>
        <v>221974.59447342373</v>
      </c>
      <c r="CI51" s="172">
        <f>'By Product(Link)'!CI34</f>
        <v>198305.33322057489</v>
      </c>
      <c r="CJ51" s="172">
        <f>'By Product(Link)'!CJ34</f>
        <v>189899.29457999999</v>
      </c>
      <c r="CK51" s="172">
        <f>'By Product(Link)'!CK34</f>
        <v>207451.45837093575</v>
      </c>
      <c r="CL51" s="172">
        <f>'By Product(Link)'!CL34</f>
        <v>213492.63309388288</v>
      </c>
      <c r="CM51" s="172">
        <f>'By Product(Link)'!CM34</f>
        <v>256238.96288000036</v>
      </c>
      <c r="CN51" s="172">
        <f>'By Product(Link)'!CN34</f>
        <v>225004.9789300001</v>
      </c>
      <c r="CO51" s="172">
        <f>'By Product(Link)'!CO34</f>
        <v>250903.98016000085</v>
      </c>
      <c r="CP51" s="172">
        <f>'By Product(Link)'!CP34</f>
        <v>217764.81884000084</v>
      </c>
      <c r="CQ51" s="172">
        <f>'By Product(Link)'!CQ34</f>
        <v>233431.60980000137</v>
      </c>
      <c r="CR51" s="172">
        <f>'By Product(Link)'!CR34</f>
        <v>226954.23086999962</v>
      </c>
      <c r="CS51" s="172">
        <f>'By Product(Link)'!CS34</f>
        <v>227315.94718000089</v>
      </c>
      <c r="CT51" s="172">
        <f>'By Product(Link)'!CT34</f>
        <v>215287.25981000025</v>
      </c>
      <c r="CU51" s="172">
        <f>'By Product(Link)'!CU34</f>
        <v>206859.99496000045</v>
      </c>
      <c r="CV51" s="172">
        <f>'By Product(Link)'!CV34</f>
        <v>190285.02931999974</v>
      </c>
      <c r="CW51" s="172">
        <f>'By Product(Link)'!CW34</f>
        <v>268327.98685999948</v>
      </c>
      <c r="CX51" s="172">
        <f>'By Product(Link)'!CX34</f>
        <v>258326.12315999973</v>
      </c>
      <c r="CY51" s="172">
        <f>'By Product(Link)'!CY34</f>
        <v>305640.39370999986</v>
      </c>
      <c r="CZ51" s="172">
        <f>'By Product(Link)'!CZ34</f>
        <v>308928.31987000082</v>
      </c>
      <c r="DA51" s="172">
        <f>'By Product(Link)'!DA34</f>
        <v>282435.96643998922</v>
      </c>
      <c r="DB51" s="172">
        <f>'By Product(Link)'!DB34</f>
        <v>290366.99612998945</v>
      </c>
      <c r="DC51" s="172">
        <f>'By Product(Link)'!DC34</f>
        <v>373766.12844998902</v>
      </c>
      <c r="DD51" s="172">
        <f>'By Product(Link)'!DD34</f>
        <v>383824.98934998934</v>
      </c>
      <c r="DE51" s="172">
        <f>'By Product(Link)'!DE34</f>
        <v>376210.66841998976</v>
      </c>
      <c r="DF51" s="172">
        <f>'By Product(Link)'!DF34</f>
        <v>429767.95380999026</v>
      </c>
      <c r="DG51" s="172">
        <f>'By Product(Link)'!DG34</f>
        <v>369090.04363999033</v>
      </c>
    </row>
    <row r="52" spans="1:111" s="116" customFormat="1" ht="25.5" customHeight="1">
      <c r="A52" s="765"/>
      <c r="B52" s="765"/>
      <c r="C52" s="275"/>
      <c r="D52" s="276"/>
      <c r="E52" s="276"/>
      <c r="F52" s="276"/>
      <c r="G52" s="276"/>
      <c r="H52" s="276"/>
      <c r="I52" s="276"/>
      <c r="J52" s="276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  <c r="AA52" s="277"/>
      <c r="AB52" s="277"/>
      <c r="AC52" s="277"/>
      <c r="AD52" s="277"/>
      <c r="AE52" s="277"/>
      <c r="AF52" s="277"/>
      <c r="AG52" s="277"/>
      <c r="AH52" s="277"/>
      <c r="AI52" s="277"/>
      <c r="AJ52" s="277"/>
      <c r="AK52" s="277"/>
      <c r="AL52" s="277"/>
      <c r="AM52" s="277"/>
      <c r="AN52" s="277"/>
      <c r="AO52" s="277"/>
      <c r="AP52" s="277"/>
      <c r="AQ52" s="277"/>
      <c r="AR52" s="277"/>
      <c r="AS52" s="277"/>
      <c r="AT52" s="277"/>
      <c r="AU52" s="277"/>
      <c r="AV52" s="277"/>
      <c r="AW52" s="277"/>
      <c r="AX52" s="277"/>
      <c r="AY52" s="277"/>
      <c r="AZ52" s="277"/>
      <c r="BA52" s="277"/>
      <c r="BB52" s="277"/>
      <c r="BC52" s="277">
        <v>26729.6515</v>
      </c>
      <c r="BD52" s="277">
        <v>27696.897179999967</v>
      </c>
      <c r="BE52" s="277">
        <v>28165.60090999979</v>
      </c>
      <c r="BF52" s="277">
        <v>29274.370580000021</v>
      </c>
      <c r="BG52" s="277">
        <v>28894.554370000002</v>
      </c>
      <c r="BH52" s="277">
        <v>30344.262160000173</v>
      </c>
      <c r="BI52" s="277">
        <v>30555.831079999894</v>
      </c>
      <c r="BJ52" s="277"/>
      <c r="BK52" s="277"/>
      <c r="BL52" s="277"/>
      <c r="BM52" s="277"/>
      <c r="BN52" s="277"/>
      <c r="BO52" s="277"/>
      <c r="BP52" s="277"/>
      <c r="BQ52" s="277"/>
      <c r="BR52" s="277"/>
      <c r="BS52" s="277"/>
      <c r="BT52" s="277"/>
      <c r="BU52" s="277"/>
      <c r="BV52" s="277"/>
      <c r="BW52" s="277"/>
      <c r="BX52" s="277"/>
      <c r="BY52" s="293"/>
      <c r="BZ52" s="277"/>
      <c r="CA52" s="277"/>
      <c r="CB52" s="277"/>
      <c r="CC52" s="277"/>
      <c r="CD52" s="277"/>
      <c r="CE52" s="277"/>
      <c r="CF52" s="277"/>
      <c r="CG52" s="277"/>
      <c r="CH52" s="277"/>
      <c r="CI52" s="277"/>
      <c r="CJ52" s="277"/>
      <c r="CK52" s="277"/>
      <c r="CL52" s="277"/>
      <c r="CM52" s="277"/>
      <c r="CN52" s="277"/>
      <c r="CO52" s="277"/>
      <c r="CP52" s="277"/>
      <c r="CQ52" s="277"/>
      <c r="CR52" s="277"/>
      <c r="CS52" s="277"/>
      <c r="CT52" s="277"/>
      <c r="CU52" s="277"/>
      <c r="CV52" s="277"/>
      <c r="CW52" s="277"/>
      <c r="CX52" s="277"/>
      <c r="CY52" s="277"/>
      <c r="CZ52" s="277"/>
      <c r="DA52" s="277"/>
      <c r="DB52" s="277"/>
      <c r="DC52" s="277"/>
      <c r="DD52" s="277"/>
      <c r="DE52" s="277"/>
      <c r="DF52" s="277"/>
      <c r="DG52" s="277"/>
    </row>
    <row r="53" spans="1:111" s="68" customFormat="1" ht="25.5" customHeight="1" thickBot="1">
      <c r="A53" s="765"/>
      <c r="B53" s="767"/>
      <c r="C53" s="176" t="s">
        <v>60</v>
      </c>
      <c r="D53" s="177">
        <v>768757.91406999936</v>
      </c>
      <c r="E53" s="177">
        <v>779417.98314999999</v>
      </c>
      <c r="F53" s="177">
        <v>777517.44130999909</v>
      </c>
      <c r="G53" s="177">
        <f>+'[2]By Product(Link)'!G35</f>
        <v>774945.78712999891</v>
      </c>
      <c r="H53" s="177">
        <f>+'[2]By Product(Link)'!H35</f>
        <v>766939.89156999998</v>
      </c>
      <c r="I53" s="177">
        <f>+'[2]By Product(Link)'!I35</f>
        <v>767211.63429000007</v>
      </c>
      <c r="J53" s="177">
        <f>+'[2]By Product(Link)'!J35</f>
        <v>773158.57151000004</v>
      </c>
      <c r="K53" s="178">
        <f>+'[2]By Product(Link)'!K35</f>
        <v>781455.76485000015</v>
      </c>
      <c r="L53" s="178">
        <f>+'[2]By Product(Link)'!L35</f>
        <v>797088.15008000005</v>
      </c>
      <c r="M53" s="178">
        <f>+'[2]By Product(Link)'!M35</f>
        <v>809283.19464</v>
      </c>
      <c r="N53" s="178">
        <f>+'[2]By Product(Link)'!N35</f>
        <v>827703.24349999998</v>
      </c>
      <c r="O53" s="178">
        <f>+'[2]By Product(Link)'!O35</f>
        <v>841952.82949999999</v>
      </c>
      <c r="P53" s="178">
        <f>+'[2]By Product(Link)'!P35</f>
        <v>856910.81271999993</v>
      </c>
      <c r="Q53" s="178">
        <f>+'[2]By Product(Link)'!Q35</f>
        <v>872915.91275999998</v>
      </c>
      <c r="R53" s="178">
        <f>+'By Product(Link)'!R35</f>
        <v>881019.58611999999</v>
      </c>
      <c r="S53" s="178">
        <f>+'By Product(Link)'!S35</f>
        <v>892055.54722000007</v>
      </c>
      <c r="T53" s="178">
        <f>+'By Product(Link)'!T35</f>
        <v>911202.77231000003</v>
      </c>
      <c r="U53" s="178">
        <f>+'By Product(Link)'!U35</f>
        <v>920749.50952000008</v>
      </c>
      <c r="V53" s="178">
        <f>+'By Product(Link)'!V35</f>
        <v>936888.83590000018</v>
      </c>
      <c r="W53" s="178">
        <f>+'By Product(Link)'!W35</f>
        <v>958825.99499999965</v>
      </c>
      <c r="X53" s="178">
        <f>+'By Product(Link)'!X35</f>
        <v>997251.08217000007</v>
      </c>
      <c r="Y53" s="178">
        <f>+'By Product(Link)'!Y35</f>
        <v>1018985.2911800002</v>
      </c>
      <c r="Z53" s="178">
        <f>+'By Product(Link)'!Z35</f>
        <v>1042669.2643299999</v>
      </c>
      <c r="AA53" s="178">
        <f>+'By Product(Link)'!AA35</f>
        <v>1062527.0833399999</v>
      </c>
      <c r="AB53" s="178">
        <f>+'By Product(Link)'!AB35</f>
        <v>1083964.3788999999</v>
      </c>
      <c r="AC53" s="178">
        <f>+'By Product(Link)'!AC35</f>
        <v>1111830.35714</v>
      </c>
      <c r="AD53" s="178">
        <f>+'By Product(Link)'!AD35</f>
        <v>1142215.5340500006</v>
      </c>
      <c r="AE53" s="178">
        <f>+'By Product(Link)'!AE35</f>
        <v>1190421.4097899999</v>
      </c>
      <c r="AF53" s="178">
        <f>+'By Product(Link)'!AF35</f>
        <v>1246130.9364</v>
      </c>
      <c r="AG53" s="178">
        <f>+'By Product(Link)'!AG35</f>
        <v>1297204.8373400001</v>
      </c>
      <c r="AH53" s="178">
        <f>+'By Product(Link)'!AH35</f>
        <v>1355904.3595599993</v>
      </c>
      <c r="AI53" s="225">
        <v>1413457.4716200004</v>
      </c>
      <c r="AJ53" s="178">
        <v>1483654.1547099999</v>
      </c>
      <c r="AK53" s="178">
        <v>1698690.4401100001</v>
      </c>
      <c r="AL53" s="178">
        <v>1629619.7015100003</v>
      </c>
      <c r="AM53" s="178">
        <v>1700838.5123200002</v>
      </c>
      <c r="AN53" s="178">
        <v>1777595.9154700001</v>
      </c>
      <c r="AO53" s="178">
        <v>1863001.6390800003</v>
      </c>
      <c r="AP53" s="178">
        <v>1950417.7699499996</v>
      </c>
      <c r="AQ53" s="178">
        <v>2040133.7480300004</v>
      </c>
      <c r="AR53" s="178">
        <v>2148503.5906200004</v>
      </c>
      <c r="AS53" s="178">
        <v>2263528.0426499993</v>
      </c>
      <c r="AT53" s="178">
        <v>2390532.3245800007</v>
      </c>
      <c r="AU53" s="178">
        <v>2513647.54734</v>
      </c>
      <c r="AV53" s="178">
        <v>2608588.4434700003</v>
      </c>
      <c r="AW53" s="178">
        <v>2709066.1859099991</v>
      </c>
      <c r="AX53" s="178">
        <v>2802394.7750399997</v>
      </c>
      <c r="AY53" s="178">
        <v>2914336.9386300002</v>
      </c>
      <c r="AZ53" s="178">
        <v>2993198.8453300004</v>
      </c>
      <c r="BA53" s="178">
        <v>3042549.4763000007</v>
      </c>
      <c r="BB53" s="178">
        <v>3113629.90723</v>
      </c>
      <c r="BC53" s="178">
        <v>3224589.9628553255</v>
      </c>
      <c r="BD53" s="178">
        <v>3320628.8954862747</v>
      </c>
      <c r="BE53" s="178">
        <v>3412819.7645556605</v>
      </c>
      <c r="BF53" s="178">
        <v>3515376.2882952951</v>
      </c>
      <c r="BG53" s="178">
        <v>3619517.0163491303</v>
      </c>
      <c r="BH53" s="178">
        <v>3700772.5095599997</v>
      </c>
      <c r="BI53" s="178">
        <v>3781256.460310929</v>
      </c>
      <c r="BJ53" s="178">
        <f>'By Product(Link)'!BJ35</f>
        <v>3854258.8363700002</v>
      </c>
      <c r="BK53" s="178">
        <f>'By Product(Link)'!BK35</f>
        <v>3953292.018522379</v>
      </c>
      <c r="BL53" s="178">
        <f>'By Product(Link)'!BL35</f>
        <v>4015743.6550600007</v>
      </c>
      <c r="BM53" s="178">
        <f>'By Product(Link)'!BM35</f>
        <v>4073763.656791924</v>
      </c>
      <c r="BN53" s="178">
        <f>'By Product(Link)'!BN35</f>
        <v>4108634.8384000678</v>
      </c>
      <c r="BO53" s="178">
        <f>'By Product(Link)'!BO35</f>
        <v>4199022.5432808297</v>
      </c>
      <c r="BP53" s="178">
        <f>'By Product(Link)'!BP35</f>
        <v>4238598.1071699997</v>
      </c>
      <c r="BQ53" s="178">
        <f>'By Product(Link)'!BQ35</f>
        <v>4302364.6126574008</v>
      </c>
      <c r="BR53" s="178">
        <f>'By Product(Link)'!BR35</f>
        <v>4374663.6549199987</v>
      </c>
      <c r="BS53" s="178">
        <f>'By Product(Link)'!BS35</f>
        <v>4461665.2532932414</v>
      </c>
      <c r="BT53" s="178">
        <f>'By Product(Link)'!BT35</f>
        <v>4529850.1024400005</v>
      </c>
      <c r="BU53" s="178">
        <f>'By Product(Link)'!BU35</f>
        <v>4608561.3263000008</v>
      </c>
      <c r="BV53" s="178">
        <f>'By Product(Link)'!BV35</f>
        <v>4693400.0051500006</v>
      </c>
      <c r="BW53" s="178">
        <f>'By Product(Link)'!BW35</f>
        <v>4773917.9013799997</v>
      </c>
      <c r="BX53" s="178">
        <f>'By Product(Link)'!BX35</f>
        <v>4861888.5608799998</v>
      </c>
      <c r="BY53" s="292">
        <f>'[1]By Product(Link)'!BY35</f>
        <v>4925723.6939089708</v>
      </c>
      <c r="BZ53" s="178">
        <f>'By Product(Link)'!BZ35</f>
        <v>5004090.7878570287</v>
      </c>
      <c r="CA53" s="178">
        <f>'By Product(Link)'!CA35</f>
        <v>5106653.0255100001</v>
      </c>
      <c r="CB53" s="178">
        <f>'By Product(Link)'!CB35</f>
        <v>5194095.1917946534</v>
      </c>
      <c r="CC53" s="178">
        <f>'By Product(Link)'!CC35</f>
        <v>5277709.735225589</v>
      </c>
      <c r="CD53" s="178">
        <f>'By Product(Link)'!CD35</f>
        <v>5363098.5056631621</v>
      </c>
      <c r="CE53" s="178">
        <f>'By Product(Link)'!CE35</f>
        <v>5420103.4060929352</v>
      </c>
      <c r="CF53" s="178">
        <f>'By Product(Link)'!CF35</f>
        <v>5507520.0806822842</v>
      </c>
      <c r="CG53" s="178">
        <f>'By Product(Link)'!CG35</f>
        <v>5591557.0298529146</v>
      </c>
      <c r="CH53" s="178">
        <f>'By Product(Link)'!CH35</f>
        <v>5689399.3140334226</v>
      </c>
      <c r="CI53" s="178">
        <f>'By Product(Link)'!CI35</f>
        <v>5784785.8325705752</v>
      </c>
      <c r="CJ53" s="178">
        <f>'By Product(Link)'!CJ35</f>
        <v>5849438.8859999999</v>
      </c>
      <c r="CK53" s="178">
        <f>'By Product(Link)'!CK35</f>
        <v>5927744.0832609357</v>
      </c>
      <c r="CL53" s="178">
        <f>'By Product(Link)'!CL35</f>
        <v>6004216.6535738828</v>
      </c>
      <c r="CM53" s="178">
        <f>'By Product(Link)'!CM35</f>
        <v>6104078.5119800009</v>
      </c>
      <c r="CN53" s="178">
        <f>'By Product(Link)'!CN35</f>
        <v>6173417.9412000002</v>
      </c>
      <c r="CO53" s="178">
        <f>'By Product(Link)'!CO35</f>
        <v>6250001.2233500006</v>
      </c>
      <c r="CP53" s="178">
        <f>'By Product(Link)'!CP35</f>
        <v>6324492.1690500015</v>
      </c>
      <c r="CQ53" s="178">
        <f>'By Product(Link)'!CQ35</f>
        <v>6386116.3934500013</v>
      </c>
      <c r="CR53" s="178">
        <f>'By Product(Link)'!CR35</f>
        <v>6457463.4702099999</v>
      </c>
      <c r="CS53" s="178">
        <f>'By Product(Link)'!CS35</f>
        <v>6494826.2967600003</v>
      </c>
      <c r="CT53" s="178">
        <f>'By Product(Link)'!CT35</f>
        <v>6531808.2137700003</v>
      </c>
      <c r="CU53" s="178">
        <f>'By Product(Link)'!CU35</f>
        <v>6592549.2795900004</v>
      </c>
      <c r="CV53" s="178">
        <f>'By Product(Link)'!CV35</f>
        <v>6594041.7273200005</v>
      </c>
      <c r="CW53" s="178">
        <f>'By Product(Link)'!CW35</f>
        <v>6637344.9587599998</v>
      </c>
      <c r="CX53" s="178">
        <f>'By Product(Link)'!CX35</f>
        <v>6679240.7618199997</v>
      </c>
      <c r="CY53" s="178">
        <f>'By Product(Link)'!CY35</f>
        <v>6751945.1325300001</v>
      </c>
      <c r="CZ53" s="178">
        <f>'By Product(Link)'!CZ35</f>
        <v>6826360.5186900003</v>
      </c>
      <c r="DA53" s="178">
        <f>'By Product(Link)'!DA35</f>
        <v>6872434.3534299899</v>
      </c>
      <c r="DB53" s="178">
        <f>'By Product(Link)'!DB35</f>
        <v>6930703.0530699901</v>
      </c>
      <c r="DC53" s="178">
        <f>'By Product(Link)'!DC35</f>
        <v>7048646.5207199901</v>
      </c>
      <c r="DD53" s="178">
        <f>'By Product(Link)'!DD35</f>
        <v>7192587.0725699905</v>
      </c>
      <c r="DE53" s="178">
        <f>'By Product(Link)'!DE35</f>
        <v>7309632.0501299901</v>
      </c>
      <c r="DF53" s="178">
        <f>'By Product(Link)'!DF35</f>
        <v>7483639.5169099905</v>
      </c>
      <c r="DG53" s="178">
        <f>'By Product(Link)'!DG35</f>
        <v>7611458.4432299901</v>
      </c>
    </row>
    <row r="54" spans="1:111" s="68" customFormat="1" ht="25.5" customHeight="1">
      <c r="A54" s="765"/>
      <c r="B54" s="765" t="s">
        <v>63</v>
      </c>
      <c r="C54" s="179" t="s">
        <v>64</v>
      </c>
      <c r="D54" s="188">
        <v>3.6125325991133266E-2</v>
      </c>
      <c r="E54" s="189"/>
      <c r="F54" s="189"/>
      <c r="G54" s="190">
        <v>3.5767826604022446E-2</v>
      </c>
      <c r="H54" s="189"/>
      <c r="I54" s="189"/>
      <c r="J54" s="190">
        <v>3.4369372623026355E-2</v>
      </c>
      <c r="K54" s="191"/>
      <c r="L54" s="191"/>
      <c r="M54" s="190">
        <v>3.6360757150684431E-2</v>
      </c>
      <c r="N54" s="191"/>
      <c r="O54" s="191"/>
      <c r="P54" s="190">
        <v>3.3197989504868269E-2</v>
      </c>
      <c r="Q54" s="191"/>
      <c r="R54" s="191"/>
      <c r="S54" s="190">
        <v>3.1353351825219852E-2</v>
      </c>
      <c r="T54" s="191"/>
      <c r="U54" s="191"/>
      <c r="V54" s="190">
        <v>2.8742451434796572E-2</v>
      </c>
      <c r="W54" s="191"/>
      <c r="X54" s="191"/>
      <c r="Y54" s="190">
        <v>2.7795143818400907E-2</v>
      </c>
      <c r="Z54" s="191"/>
      <c r="AA54" s="191"/>
      <c r="AB54" s="190">
        <v>2.6724665199642474E-2</v>
      </c>
      <c r="AC54" s="191"/>
      <c r="AD54" s="191"/>
      <c r="AE54" s="190">
        <v>2.5374257116629696E-2</v>
      </c>
      <c r="AF54" s="191"/>
      <c r="AG54" s="191"/>
      <c r="AH54" s="227">
        <v>2.2249806028050882E-2</v>
      </c>
      <c r="AI54" s="191"/>
      <c r="AJ54" s="191"/>
      <c r="AK54" s="227">
        <v>2.1238932711344805E-2</v>
      </c>
      <c r="AL54" s="191"/>
      <c r="AM54" s="191"/>
      <c r="AN54" s="227">
        <v>0.02</v>
      </c>
      <c r="AO54" s="191"/>
      <c r="AP54" s="191"/>
      <c r="AQ54" s="227">
        <v>1.9699999999999999E-2</v>
      </c>
      <c r="AR54" s="191"/>
      <c r="AS54" s="191"/>
      <c r="AT54" s="267">
        <v>1.960419364080878E-2</v>
      </c>
      <c r="AU54" s="269"/>
      <c r="AV54" s="269"/>
      <c r="AW54" s="274">
        <v>1.969462506343091E-2</v>
      </c>
      <c r="AX54" s="269"/>
      <c r="AY54" s="269"/>
      <c r="AZ54" s="274">
        <v>1.8451935327982796E-2</v>
      </c>
      <c r="BA54" s="269"/>
      <c r="BB54" s="269"/>
      <c r="BC54" s="274">
        <v>1.8171794393358195E-2</v>
      </c>
      <c r="BD54" s="269"/>
      <c r="BE54" s="269"/>
      <c r="BF54" s="274">
        <v>1.7664516471684086E-2</v>
      </c>
      <c r="BG54" s="269"/>
      <c r="BH54" s="269"/>
      <c r="BI54" s="274">
        <v>1.761010041248149E-2</v>
      </c>
      <c r="BJ54" s="269"/>
      <c r="BK54" s="269"/>
      <c r="BL54" s="274">
        <v>1.63636187603594E-2</v>
      </c>
      <c r="BM54" s="269"/>
      <c r="BN54" s="269"/>
      <c r="BO54" s="274">
        <v>1.6179013160861799E-2</v>
      </c>
      <c r="BP54" s="269"/>
      <c r="BQ54" s="269"/>
      <c r="BR54" s="274">
        <v>1.6058065315595959E-2</v>
      </c>
      <c r="BS54" s="269"/>
      <c r="BT54" s="269"/>
      <c r="BU54" s="274">
        <v>1.5984549404596923E-2</v>
      </c>
      <c r="BV54" s="269"/>
      <c r="BW54" s="269"/>
      <c r="BX54" s="274">
        <v>1.5984905639566407E-2</v>
      </c>
      <c r="BY54" s="269"/>
      <c r="BZ54" s="269"/>
      <c r="CA54" s="274">
        <v>1.5777889042724039E-2</v>
      </c>
      <c r="CB54" s="269"/>
      <c r="CC54" s="269"/>
      <c r="CD54" s="274">
        <v>1.6289891888919734E-2</v>
      </c>
      <c r="CE54" s="269"/>
      <c r="CF54" s="269"/>
      <c r="CG54" s="274">
        <v>1.6280564274908357E-2</v>
      </c>
      <c r="CH54" s="269"/>
      <c r="CI54" s="269"/>
      <c r="CJ54" s="274">
        <v>1.5890942947258607E-2</v>
      </c>
      <c r="CK54" s="269"/>
      <c r="CL54" s="269"/>
      <c r="CM54" s="274">
        <v>1.6047862003862046E-2</v>
      </c>
      <c r="CN54" s="269"/>
      <c r="CO54" s="269"/>
      <c r="CP54" s="274">
        <v>1.6293287767415274E-2</v>
      </c>
      <c r="CQ54" s="269"/>
      <c r="CR54" s="269"/>
      <c r="CS54" s="274">
        <v>1.6529796608739638E-2</v>
      </c>
      <c r="CT54" s="269"/>
      <c r="CU54" s="269"/>
      <c r="CV54" s="274">
        <v>1.5205725779394845E-2</v>
      </c>
      <c r="CW54" s="269"/>
      <c r="CX54" s="269"/>
      <c r="CY54" s="274">
        <v>1.5623058121458757E-2</v>
      </c>
      <c r="CZ54" s="269"/>
      <c r="DA54" s="269"/>
      <c r="DB54" s="274">
        <v>1.5788385920315649E-2</v>
      </c>
      <c r="DC54" s="269"/>
      <c r="DD54" s="269"/>
      <c r="DE54" s="274">
        <v>1.5100000000000001E-2</v>
      </c>
      <c r="DF54" s="269"/>
      <c r="DG54" s="269"/>
    </row>
    <row r="55" spans="1:111" s="68" customFormat="1" ht="25.5" customHeight="1">
      <c r="A55" s="765"/>
      <c r="B55" s="765"/>
      <c r="C55" s="181" t="s">
        <v>67</v>
      </c>
      <c r="D55" s="192">
        <v>779278.86399999994</v>
      </c>
      <c r="E55" s="193"/>
      <c r="F55" s="193"/>
      <c r="G55" s="194">
        <v>801327.47</v>
      </c>
      <c r="H55" s="193"/>
      <c r="I55" s="193"/>
      <c r="J55" s="194">
        <v>830444.63199999998</v>
      </c>
      <c r="K55" s="195"/>
      <c r="L55" s="195"/>
      <c r="M55" s="194">
        <v>849613.49600000004</v>
      </c>
      <c r="N55" s="195"/>
      <c r="O55" s="195"/>
      <c r="P55" s="194">
        <v>878442.71400000004</v>
      </c>
      <c r="Q55" s="195"/>
      <c r="R55" s="195"/>
      <c r="S55" s="194">
        <v>907168.304</v>
      </c>
      <c r="T55" s="195"/>
      <c r="U55" s="195"/>
      <c r="V55" s="194">
        <v>942604.46299999999</v>
      </c>
      <c r="W55" s="195"/>
      <c r="X55" s="195"/>
      <c r="Y55" s="194">
        <v>966845.47400000005</v>
      </c>
      <c r="Z55" s="195"/>
      <c r="AA55" s="195"/>
      <c r="AB55" s="194">
        <v>998190.76500000001</v>
      </c>
      <c r="AC55" s="195"/>
      <c r="AD55" s="195"/>
      <c r="AE55" s="194">
        <v>1017885.721</v>
      </c>
      <c r="AF55" s="195"/>
      <c r="AG55" s="195"/>
      <c r="AH55" s="228">
        <v>1061576.176</v>
      </c>
      <c r="AI55" s="195"/>
      <c r="AJ55" s="195"/>
      <c r="AK55" s="228">
        <v>1082141.2879999999</v>
      </c>
      <c r="AL55" s="195"/>
      <c r="AM55" s="195"/>
      <c r="AN55" s="228">
        <v>1101546.6880000001</v>
      </c>
      <c r="AO55" s="195"/>
      <c r="AP55" s="195"/>
      <c r="AQ55" s="228">
        <v>1124700.206</v>
      </c>
      <c r="AR55" s="195"/>
      <c r="AS55" s="195"/>
      <c r="AT55" s="268">
        <v>1157359.176</v>
      </c>
      <c r="AU55" s="270"/>
      <c r="AV55" s="270"/>
      <c r="AW55" s="192">
        <v>1183776.2509999999</v>
      </c>
      <c r="AX55" s="270"/>
      <c r="AY55" s="270"/>
      <c r="AZ55" s="192">
        <v>1217616.017</v>
      </c>
      <c r="BA55" s="270"/>
      <c r="BB55" s="270"/>
      <c r="BC55" s="192">
        <v>1238397.679</v>
      </c>
      <c r="BD55" s="270"/>
      <c r="BE55" s="270"/>
      <c r="BF55" s="192">
        <v>1263692.2180000001</v>
      </c>
      <c r="BG55" s="270"/>
      <c r="BH55" s="270"/>
      <c r="BI55" s="192">
        <v>1290301.047</v>
      </c>
      <c r="BJ55" s="270"/>
      <c r="BK55" s="270"/>
      <c r="BL55" s="192">
        <v>1332293.2609999999</v>
      </c>
      <c r="BM55" s="270"/>
      <c r="BN55" s="270"/>
      <c r="BO55" s="192">
        <v>1354645.7860000001</v>
      </c>
      <c r="BP55" s="270"/>
      <c r="BQ55" s="270"/>
      <c r="BR55" s="192">
        <v>1380629.6440000001</v>
      </c>
      <c r="BS55" s="270"/>
      <c r="BT55" s="270"/>
      <c r="BU55" s="192">
        <v>1417290.6240000001</v>
      </c>
      <c r="BV55" s="270"/>
      <c r="BW55" s="270"/>
      <c r="BX55" s="192">
        <v>1417250.906</v>
      </c>
      <c r="BY55" s="270"/>
      <c r="BZ55" s="270">
        <v>1442730.5160000001</v>
      </c>
      <c r="CA55" s="192">
        <v>1442730.5160000001</v>
      </c>
      <c r="CB55" s="270"/>
      <c r="CC55" s="270"/>
      <c r="CD55" s="192">
        <v>1458216.86</v>
      </c>
      <c r="CE55" s="270"/>
      <c r="CF55" s="270"/>
      <c r="CG55" s="192">
        <v>1477095.486</v>
      </c>
      <c r="CH55" s="270"/>
      <c r="CI55" s="270"/>
      <c r="CJ55" s="192">
        <v>1514670.091</v>
      </c>
      <c r="CK55" s="270"/>
      <c r="CL55" s="270"/>
      <c r="CM55" s="192">
        <v>1528967.659</v>
      </c>
      <c r="CN55" s="270"/>
      <c r="CO55" s="270"/>
      <c r="CP55" s="192">
        <v>1541524.6669999999</v>
      </c>
      <c r="CQ55" s="270"/>
      <c r="CR55" s="270"/>
      <c r="CS55" s="192">
        <v>1554004.4809999999</v>
      </c>
      <c r="CT55" s="270"/>
      <c r="CU55" s="270"/>
      <c r="CV55" s="192">
        <v>1577358.71</v>
      </c>
      <c r="CW55" s="270"/>
      <c r="CX55" s="270"/>
      <c r="CY55" s="192">
        <v>1596504.9739999999</v>
      </c>
      <c r="CZ55" s="270"/>
      <c r="DA55" s="270"/>
      <c r="DB55" s="192">
        <v>1619285.2220000001</v>
      </c>
      <c r="DC55" s="270"/>
      <c r="DD55" s="270"/>
      <c r="DE55" s="192">
        <v>1643655.1</v>
      </c>
      <c r="DF55" s="270"/>
      <c r="DG55" s="270"/>
    </row>
    <row r="56" spans="1:111" s="68" customFormat="1" ht="25.5" customHeight="1">
      <c r="A56" s="766"/>
      <c r="B56" s="766"/>
      <c r="C56" s="196" t="s">
        <v>65</v>
      </c>
      <c r="D56" s="197">
        <v>9.8649912064084871E-4</v>
      </c>
      <c r="E56" s="198"/>
      <c r="F56" s="198"/>
      <c r="G56" s="199">
        <f>+(G53/1000)/G55</f>
        <v>9.670775259083518E-4</v>
      </c>
      <c r="H56" s="198"/>
      <c r="I56" s="198"/>
      <c r="J56" s="199">
        <f>+(J53/1000)/J55</f>
        <v>9.3101760396471561E-4</v>
      </c>
      <c r="K56" s="200"/>
      <c r="L56" s="200"/>
      <c r="M56" s="199">
        <f>+(M53/1000)/M55</f>
        <v>9.5253100197928116E-4</v>
      </c>
      <c r="N56" s="200"/>
      <c r="O56" s="200"/>
      <c r="P56" s="199">
        <f>+(P53/1000)/P55</f>
        <v>9.7548855385008054E-4</v>
      </c>
      <c r="Q56" s="200"/>
      <c r="R56" s="200"/>
      <c r="S56" s="199">
        <f>+(S53/1000)/S55</f>
        <v>9.8334073543645335E-4</v>
      </c>
      <c r="T56" s="200"/>
      <c r="U56" s="200"/>
      <c r="V56" s="199">
        <f>+(V53/1000)/V55</f>
        <v>9.9393634623603545E-4</v>
      </c>
      <c r="W56" s="200"/>
      <c r="X56" s="200"/>
      <c r="Y56" s="199">
        <f>+(Y53/1000)/Y55</f>
        <v>1.0539277667239719E-3</v>
      </c>
      <c r="Z56" s="200"/>
      <c r="AA56" s="200"/>
      <c r="AB56" s="199">
        <f>+(AB53/1000)/AB55</f>
        <v>1.0859290797986896E-3</v>
      </c>
      <c r="AC56" s="200"/>
      <c r="AD56" s="200"/>
      <c r="AE56" s="199">
        <f>+(AE53/1000)/AE55</f>
        <v>1.169503987756598E-3</v>
      </c>
      <c r="AF56" s="200"/>
      <c r="AG56" s="200"/>
      <c r="AH56" s="199">
        <f>+(AH53/1000)/AH55</f>
        <v>1.2772558297879505E-3</v>
      </c>
      <c r="AI56" s="200"/>
      <c r="AJ56" s="200"/>
      <c r="AK56" s="199">
        <f>+(AK53/1000)/AK55</f>
        <v>1.569749217543948E-3</v>
      </c>
      <c r="AL56" s="200"/>
      <c r="AM56" s="200"/>
      <c r="AN56" s="199">
        <f>+(AN53/1000)/AN55</f>
        <v>1.6137272571691487E-3</v>
      </c>
      <c r="AO56" s="200"/>
      <c r="AP56" s="200"/>
      <c r="AQ56" s="199">
        <f>+(AQ53/1000)/AQ55</f>
        <v>1.8139356044805423E-3</v>
      </c>
      <c r="AR56" s="200"/>
      <c r="AS56" s="200"/>
      <c r="AT56" s="197">
        <f t="shared" ref="AT56:AZ56" si="342">+(AT53/1000)/AT55</f>
        <v>2.0655060020710468E-3</v>
      </c>
      <c r="AU56" s="271" t="e">
        <f t="shared" si="342"/>
        <v>#DIV/0!</v>
      </c>
      <c r="AV56" s="271" t="e">
        <f t="shared" si="342"/>
        <v>#DIV/0!</v>
      </c>
      <c r="AW56" s="197">
        <f t="shared" si="342"/>
        <v>2.2884951304112614E-3</v>
      </c>
      <c r="AX56" s="271" t="e">
        <f t="shared" si="342"/>
        <v>#DIV/0!</v>
      </c>
      <c r="AY56" s="271" t="e">
        <f t="shared" si="342"/>
        <v>#DIV/0!</v>
      </c>
      <c r="AZ56" s="197">
        <f t="shared" si="342"/>
        <v>2.4582452953474908E-3</v>
      </c>
      <c r="BA56" s="271" t="e">
        <f t="shared" ref="BA56:BG56" si="343">+(BA53/1000)/BA55</f>
        <v>#DIV/0!</v>
      </c>
      <c r="BB56" s="271" t="e">
        <f t="shared" si="343"/>
        <v>#DIV/0!</v>
      </c>
      <c r="BC56" s="197">
        <f t="shared" si="343"/>
        <v>2.6038404444194098E-3</v>
      </c>
      <c r="BD56" s="271" t="e">
        <f t="shared" si="343"/>
        <v>#DIV/0!</v>
      </c>
      <c r="BE56" s="271" t="e">
        <f t="shared" si="343"/>
        <v>#DIV/0!</v>
      </c>
      <c r="BF56" s="197">
        <f t="shared" si="343"/>
        <v>2.7818294978970066E-3</v>
      </c>
      <c r="BG56" s="271" t="e">
        <f t="shared" si="343"/>
        <v>#DIV/0!</v>
      </c>
      <c r="BH56" s="271" t="e">
        <f t="shared" ref="BH56:BM56" si="344">+(BH53/1000)/BH55</f>
        <v>#DIV/0!</v>
      </c>
      <c r="BI56" s="197">
        <f t="shared" si="344"/>
        <v>2.9305226629882204E-3</v>
      </c>
      <c r="BJ56" s="271" t="e">
        <f t="shared" si="344"/>
        <v>#DIV/0!</v>
      </c>
      <c r="BK56" s="271" t="e">
        <f t="shared" si="344"/>
        <v>#DIV/0!</v>
      </c>
      <c r="BL56" s="197">
        <f t="shared" si="344"/>
        <v>3.0141589487931823E-3</v>
      </c>
      <c r="BM56" s="271" t="e">
        <f t="shared" si="344"/>
        <v>#DIV/0!</v>
      </c>
      <c r="BN56" s="271" t="e">
        <f t="shared" ref="BN56:BS56" si="345">+(BN53/1000)/BN55</f>
        <v>#DIV/0!</v>
      </c>
      <c r="BO56" s="197">
        <f t="shared" si="345"/>
        <v>3.0997199317171382E-3</v>
      </c>
      <c r="BP56" s="271" t="e">
        <f t="shared" si="345"/>
        <v>#DIV/0!</v>
      </c>
      <c r="BQ56" s="271" t="e">
        <f>+(BQ53/1000)/BQ55</f>
        <v>#DIV/0!</v>
      </c>
      <c r="BR56" s="197">
        <f t="shared" si="345"/>
        <v>3.1686004091912704E-3</v>
      </c>
      <c r="BS56" s="271" t="e">
        <f t="shared" si="345"/>
        <v>#DIV/0!</v>
      </c>
      <c r="BT56" s="271" t="e">
        <f t="shared" ref="BT56:BZ56" si="346">+(BT53/1000)/BT55</f>
        <v>#DIV/0!</v>
      </c>
      <c r="BU56" s="197">
        <f t="shared" si="346"/>
        <v>3.251669945641297E-3</v>
      </c>
      <c r="BV56" s="271" t="e">
        <f t="shared" si="346"/>
        <v>#DIV/0!</v>
      </c>
      <c r="BW56" s="271" t="e">
        <f t="shared" si="346"/>
        <v>#DIV/0!</v>
      </c>
      <c r="BX56" s="197">
        <f t="shared" si="346"/>
        <v>3.4305065816482888E-3</v>
      </c>
      <c r="BY56" s="271" t="e">
        <f>+(BY53/1000)/BY55</f>
        <v>#DIV/0!</v>
      </c>
      <c r="BZ56" s="271">
        <f t="shared" si="346"/>
        <v>3.4684861326223092E-3</v>
      </c>
      <c r="CA56" s="197">
        <f t="shared" ref="CA56:CE56" si="347">+(CA53/1000)/CA55</f>
        <v>3.5395751104428702E-3</v>
      </c>
      <c r="CB56" s="271" t="e">
        <f t="shared" si="347"/>
        <v>#DIV/0!</v>
      </c>
      <c r="CC56" s="271" t="e">
        <f t="shared" si="347"/>
        <v>#DIV/0!</v>
      </c>
      <c r="CD56" s="197">
        <f t="shared" si="347"/>
        <v>3.677847001208834E-3</v>
      </c>
      <c r="CE56" s="271" t="e">
        <f t="shared" si="347"/>
        <v>#DIV/0!</v>
      </c>
      <c r="CF56" s="271" t="e">
        <f t="shared" ref="CF56:CG56" si="348">+(CF53/1000)/CF55</f>
        <v>#DIV/0!</v>
      </c>
      <c r="CG56" s="197">
        <f t="shared" si="348"/>
        <v>3.7855081698170692E-3</v>
      </c>
      <c r="CH56" s="271" t="e">
        <f t="shared" ref="CH56:CI56" si="349">+(CH53/1000)/CH55</f>
        <v>#DIV/0!</v>
      </c>
      <c r="CI56" s="271" t="e">
        <f t="shared" si="349"/>
        <v>#DIV/0!</v>
      </c>
      <c r="CJ56" s="197">
        <f t="shared" ref="CJ56:CK56" si="350">+(CJ53/1000)/CJ55</f>
        <v>3.8618567308859601E-3</v>
      </c>
      <c r="CK56" s="271" t="e">
        <f t="shared" si="350"/>
        <v>#DIV/0!</v>
      </c>
      <c r="CL56" s="271" t="e">
        <f t="shared" ref="CL56:CM56" si="351">+(CL53/1000)/CL55</f>
        <v>#DIV/0!</v>
      </c>
      <c r="CM56" s="197">
        <f t="shared" si="351"/>
        <v>3.9922875255401337E-3</v>
      </c>
      <c r="CN56" s="271" t="e">
        <f t="shared" ref="CN56:CP56" si="352">+(CN53/1000)/CN55</f>
        <v>#DIV/0!</v>
      </c>
      <c r="CO56" s="271" t="e">
        <f t="shared" si="352"/>
        <v>#DIV/0!</v>
      </c>
      <c r="CP56" s="197">
        <f t="shared" si="352"/>
        <v>4.1027511946067369E-3</v>
      </c>
      <c r="CQ56" s="271" t="e">
        <f t="shared" ref="CQ56:CR56" si="353">+(CQ53/1000)/CQ55</f>
        <v>#DIV/0!</v>
      </c>
      <c r="CR56" s="271" t="e">
        <f t="shared" si="353"/>
        <v>#DIV/0!</v>
      </c>
      <c r="CS56" s="197">
        <f t="shared" ref="CS56:CT56" si="354">+(CS53/1000)/CS55</f>
        <v>4.1794128499427416E-3</v>
      </c>
      <c r="CT56" s="271" t="e">
        <f t="shared" si="354"/>
        <v>#DIV/0!</v>
      </c>
      <c r="CU56" s="271" t="e">
        <f t="shared" ref="CU56:CV56" si="355">+(CU53/1000)/CU55</f>
        <v>#DIV/0!</v>
      </c>
      <c r="CV56" s="197">
        <f t="shared" si="355"/>
        <v>4.1804325709273839E-3</v>
      </c>
      <c r="CW56" s="271" t="e">
        <f t="shared" ref="CW56:CX56" si="356">+(CW53/1000)/CW55</f>
        <v>#DIV/0!</v>
      </c>
      <c r="CX56" s="271" t="e">
        <f t="shared" si="356"/>
        <v>#DIV/0!</v>
      </c>
      <c r="CY56" s="197">
        <f t="shared" ref="CY56:CZ56" si="357">+(CY53/1000)/CY55</f>
        <v>4.2292039439208165E-3</v>
      </c>
      <c r="CZ56" s="271" t="e">
        <f t="shared" si="357"/>
        <v>#DIV/0!</v>
      </c>
      <c r="DA56" s="271" t="e">
        <f t="shared" ref="DA56:DB56" si="358">+(DA53/1000)/DA55</f>
        <v>#DIV/0!</v>
      </c>
      <c r="DB56" s="197">
        <f t="shared" si="358"/>
        <v>4.280100231205587E-3</v>
      </c>
      <c r="DC56" s="271" t="e">
        <f t="shared" ref="DC56:DD56" si="359">+(DC53/1000)/DC55</f>
        <v>#DIV/0!</v>
      </c>
      <c r="DD56" s="271" t="e">
        <f t="shared" si="359"/>
        <v>#DIV/0!</v>
      </c>
      <c r="DE56" s="197">
        <f t="shared" ref="DE56:DF56" si="360">+(DE53/1000)/DE55</f>
        <v>4.4471811939925778E-3</v>
      </c>
      <c r="DF56" s="271" t="e">
        <f t="shared" si="360"/>
        <v>#DIV/0!</v>
      </c>
      <c r="DG56" s="271" t="e">
        <f t="shared" ref="DG56" si="361">+(DG53/1000)/DG55</f>
        <v>#DIV/0!</v>
      </c>
    </row>
    <row r="57" spans="1:111" ht="21" customHeight="1">
      <c r="A57" s="72"/>
      <c r="B57" s="72"/>
      <c r="C57" s="201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202"/>
      <c r="Y57" s="202"/>
      <c r="Z57" s="202"/>
      <c r="AA57" s="202"/>
      <c r="AB57" s="202"/>
      <c r="AC57" s="202"/>
      <c r="AD57" s="202"/>
      <c r="AE57" s="202"/>
      <c r="AF57" s="202"/>
      <c r="AG57" s="202"/>
    </row>
    <row r="58" spans="1:111" ht="20.25" customHeight="1">
      <c r="A58" s="203" t="s">
        <v>98</v>
      </c>
      <c r="B58" s="201"/>
      <c r="C58" s="201"/>
      <c r="D58" s="204"/>
      <c r="E58" s="205"/>
      <c r="F58" s="205"/>
      <c r="G58" s="204"/>
      <c r="H58" s="202"/>
      <c r="I58" s="205"/>
      <c r="J58" s="204"/>
      <c r="K58" s="205"/>
      <c r="L58" s="205"/>
      <c r="M58" s="204"/>
      <c r="N58" s="205"/>
      <c r="O58" s="205"/>
      <c r="P58" s="204"/>
      <c r="Q58" s="205"/>
      <c r="R58" s="216"/>
      <c r="S58" s="204"/>
      <c r="T58" s="205"/>
      <c r="U58" s="205"/>
      <c r="V58" s="204"/>
      <c r="W58" s="205"/>
      <c r="X58" s="205"/>
      <c r="Y58" s="204"/>
      <c r="Z58" s="205"/>
      <c r="AA58" s="205"/>
      <c r="AB58" s="220"/>
      <c r="AC58" s="205"/>
      <c r="AD58" s="220"/>
      <c r="AE58" s="220"/>
      <c r="AF58" s="220"/>
      <c r="AG58" s="220"/>
      <c r="AH58" s="221"/>
      <c r="AI58" s="221"/>
      <c r="AJ58" s="221"/>
      <c r="AK58" s="221"/>
      <c r="AL58" s="221"/>
      <c r="AM58" s="221"/>
      <c r="AN58" s="221"/>
      <c r="AO58" s="221"/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94"/>
      <c r="BZ58" s="221"/>
      <c r="CA58" s="221"/>
      <c r="CB58" s="221"/>
      <c r="CC58" s="221"/>
      <c r="CD58" s="221"/>
      <c r="CE58" s="221"/>
      <c r="CF58" s="221"/>
      <c r="CG58" s="221"/>
      <c r="CH58" s="221"/>
      <c r="CI58" s="221"/>
      <c r="CJ58" s="221"/>
      <c r="CK58" s="221"/>
      <c r="CL58" s="221"/>
      <c r="CM58" s="221"/>
      <c r="CN58" s="221"/>
      <c r="CO58" s="221"/>
      <c r="CP58" s="221"/>
      <c r="CQ58" s="221"/>
      <c r="CR58" s="221"/>
      <c r="CS58" s="221"/>
      <c r="CT58" s="221"/>
      <c r="CU58" s="221"/>
      <c r="CV58" s="221"/>
      <c r="CW58" s="221"/>
      <c r="CX58" s="221"/>
      <c r="CY58" s="221"/>
      <c r="CZ58" s="221"/>
      <c r="DA58" s="221"/>
      <c r="DB58" s="221"/>
      <c r="DC58" s="221"/>
      <c r="DD58" s="221"/>
      <c r="DE58" s="221"/>
      <c r="DF58" s="221"/>
      <c r="DG58" s="221"/>
    </row>
    <row r="59" spans="1:111" ht="21.75" customHeight="1">
      <c r="A59" s="203" t="s">
        <v>97</v>
      </c>
      <c r="B59" s="201"/>
      <c r="C59" s="201"/>
      <c r="D59" s="201"/>
      <c r="E59" s="206"/>
      <c r="F59" s="206"/>
      <c r="G59" s="207"/>
      <c r="H59" s="202"/>
      <c r="I59" s="206"/>
      <c r="J59" s="207"/>
      <c r="K59" s="206"/>
      <c r="L59" s="206"/>
      <c r="M59" s="206"/>
      <c r="N59" s="206"/>
      <c r="O59" s="206"/>
      <c r="P59" s="206"/>
      <c r="Q59" s="206"/>
      <c r="R59" s="207"/>
      <c r="S59" s="206"/>
      <c r="T59" s="206"/>
      <c r="U59" s="206"/>
      <c r="V59" s="206"/>
      <c r="W59" s="206"/>
      <c r="X59" s="206"/>
      <c r="Y59" s="206"/>
      <c r="Z59" s="206"/>
      <c r="AA59" s="206"/>
      <c r="AB59" s="207"/>
      <c r="AC59" s="206"/>
      <c r="AD59" s="206"/>
      <c r="AE59" s="207"/>
      <c r="AF59" s="206"/>
      <c r="AG59" s="206"/>
      <c r="AH59" s="207"/>
      <c r="AK59" s="207"/>
      <c r="AN59" s="262"/>
    </row>
    <row r="60" spans="1:111" ht="21.75" customHeight="1">
      <c r="A60" s="201"/>
      <c r="B60" s="201"/>
      <c r="C60" s="201"/>
      <c r="D60" s="201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</row>
    <row r="61" spans="1:111" ht="21.75" customHeight="1">
      <c r="D61" s="1"/>
      <c r="E61" s="108"/>
      <c r="F61" s="108"/>
      <c r="G61" s="108"/>
      <c r="H61" s="108"/>
      <c r="I61" s="108"/>
      <c r="J61" s="108"/>
      <c r="K61" s="108"/>
      <c r="L61" s="108"/>
      <c r="M61" s="108"/>
      <c r="N61" s="215"/>
      <c r="O61" s="215"/>
      <c r="P61" s="215"/>
      <c r="Q61" s="215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spans="1:111" ht="21.75" customHeight="1">
      <c r="N62" s="214"/>
      <c r="O62" s="214"/>
      <c r="P62" s="214"/>
      <c r="Q62" s="214"/>
    </row>
    <row r="63" spans="1:111" ht="21.75" customHeight="1"/>
    <row r="64" spans="1:111" ht="21.75" customHeight="1"/>
    <row r="65" spans="1:2" ht="21.75" customHeight="1"/>
    <row r="66" spans="1:2" ht="21.75" customHeight="1">
      <c r="A66" s="71"/>
      <c r="B66" s="71"/>
    </row>
    <row r="67" spans="1:2" ht="21.75" customHeight="1"/>
    <row r="68" spans="1:2" ht="21.75" customHeight="1"/>
    <row r="69" spans="1:2" ht="21.75" customHeight="1"/>
    <row r="70" spans="1:2" ht="21.75" customHeight="1"/>
    <row r="71" spans="1:2" ht="21.75" customHeight="1"/>
    <row r="72" spans="1:2" ht="21.75" customHeight="1"/>
    <row r="73" spans="1:2" ht="21.75" customHeight="1"/>
    <row r="74" spans="1:2" ht="21.75" customHeight="1"/>
    <row r="75" spans="1:2" ht="21.75" customHeight="1"/>
    <row r="76" spans="1:2" ht="21" customHeight="1"/>
    <row r="77" spans="1:2" ht="14.25" customHeight="1"/>
  </sheetData>
  <mergeCells count="8">
    <mergeCell ref="A45:A56"/>
    <mergeCell ref="B45:B53"/>
    <mergeCell ref="B54:B56"/>
    <mergeCell ref="B33:B41"/>
    <mergeCell ref="A3:C3"/>
    <mergeCell ref="A33:A44"/>
    <mergeCell ref="B42:B44"/>
    <mergeCell ref="A4:B32"/>
  </mergeCells>
  <phoneticPr fontId="0"/>
  <printOptions horizontalCentered="1"/>
  <pageMargins left="0.17" right="0.17" top="0.7" bottom="0.7" header="0" footer="0"/>
  <pageSetup paperSize="9" scale="10" orientation="landscape" r:id="rId1"/>
  <headerFooter alignWithMargins="0"/>
  <colBreaks count="1" manualBreakCount="1">
    <brk id="78" max="58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33"/>
    <pageSetUpPr fitToPage="1"/>
  </sheetPr>
  <dimension ref="A1:DG495"/>
  <sheetViews>
    <sheetView tabSelected="1" view="pageBreakPreview" zoomScale="80" zoomScaleNormal="100" zoomScaleSheetLayoutView="80" workbookViewId="0">
      <pane xSplit="21" ySplit="4" topLeftCell="CZ5" activePane="bottomRight" state="frozen"/>
      <selection pane="topRight" activeCell="V1" sqref="V1"/>
      <selection pane="bottomLeft" activeCell="A5" sqref="A5"/>
      <selection pane="bottomRight" activeCell="DK25" sqref="DK25"/>
    </sheetView>
  </sheetViews>
  <sheetFormatPr defaultRowHeight="18"/>
  <cols>
    <col min="1" max="1" width="15" style="1" customWidth="1"/>
    <col min="2" max="2" width="12" style="7" customWidth="1"/>
    <col min="3" max="3" width="41.28515625" style="7" customWidth="1"/>
    <col min="4" max="45" width="17.140625" style="26" hidden="1" customWidth="1"/>
    <col min="46" max="90" width="17.140625" style="1" hidden="1" customWidth="1"/>
    <col min="91" max="111" width="17.140625" style="1" customWidth="1"/>
    <col min="112" max="16384" width="9.140625" style="1"/>
  </cols>
  <sheetData>
    <row r="1" spans="1:111" s="6" customFormat="1" ht="24" customHeight="1">
      <c r="A1" s="2" t="s">
        <v>126</v>
      </c>
      <c r="B1" s="3"/>
      <c r="C1" s="3"/>
      <c r="D1" s="5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</row>
    <row r="2" spans="1:111" s="6" customFormat="1"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 t="s">
        <v>143</v>
      </c>
      <c r="AH2" s="73"/>
      <c r="AI2" s="73"/>
      <c r="AJ2" s="73" t="s">
        <v>144</v>
      </c>
      <c r="AK2" s="73"/>
      <c r="AL2" s="73"/>
      <c r="AM2" s="73" t="s">
        <v>145</v>
      </c>
      <c r="AN2" s="73"/>
      <c r="AO2" s="73"/>
      <c r="AP2" s="73" t="s">
        <v>146</v>
      </c>
      <c r="AQ2" s="73"/>
      <c r="AR2" s="73"/>
      <c r="AS2" s="73" t="s">
        <v>152</v>
      </c>
    </row>
    <row r="3" spans="1:111" s="6" customFormat="1">
      <c r="A3" s="846" t="s">
        <v>76</v>
      </c>
      <c r="B3" s="846"/>
      <c r="C3" s="846"/>
      <c r="D3" s="847"/>
      <c r="E3" s="847"/>
      <c r="F3" s="847"/>
      <c r="G3" s="843" t="s">
        <v>75</v>
      </c>
      <c r="H3" s="844"/>
      <c r="I3" s="844"/>
      <c r="J3" s="844"/>
      <c r="K3" s="844"/>
      <c r="L3" s="844"/>
      <c r="M3" s="844"/>
      <c r="N3" s="844"/>
      <c r="O3" s="844"/>
      <c r="P3" s="844"/>
      <c r="Q3" s="844"/>
      <c r="R3" s="845"/>
      <c r="S3" s="840" t="s">
        <v>103</v>
      </c>
      <c r="T3" s="841"/>
      <c r="U3" s="841"/>
      <c r="V3" s="841"/>
      <c r="W3" s="841"/>
      <c r="X3" s="841"/>
      <c r="Y3" s="841"/>
      <c r="Z3" s="841"/>
      <c r="AA3" s="841"/>
      <c r="AB3" s="841"/>
      <c r="AC3" s="841"/>
      <c r="AD3" s="842"/>
      <c r="AE3" s="835" t="s">
        <v>123</v>
      </c>
      <c r="AF3" s="836"/>
      <c r="AG3" s="836"/>
      <c r="AH3" s="836"/>
      <c r="AI3" s="836"/>
      <c r="AJ3" s="836"/>
      <c r="AK3" s="836"/>
      <c r="AL3" s="836"/>
      <c r="AM3" s="836"/>
      <c r="AN3" s="836"/>
      <c r="AO3" s="836"/>
      <c r="AP3" s="837"/>
      <c r="AQ3" s="834" t="s">
        <v>153</v>
      </c>
      <c r="AR3" s="779"/>
      <c r="AS3" s="779"/>
      <c r="AT3" s="779"/>
      <c r="AU3" s="779"/>
      <c r="AV3" s="779"/>
      <c r="AW3" s="779"/>
      <c r="AX3" s="779"/>
      <c r="AY3" s="779"/>
      <c r="AZ3" s="779"/>
      <c r="BA3" s="779"/>
      <c r="BB3" s="779"/>
      <c r="BC3" s="779" t="s">
        <v>173</v>
      </c>
      <c r="BD3" s="779"/>
      <c r="BE3" s="779"/>
      <c r="BF3" s="779"/>
      <c r="BG3" s="779"/>
      <c r="BH3" s="779"/>
      <c r="BI3" s="779"/>
      <c r="BJ3" s="779"/>
      <c r="BK3" s="779"/>
    </row>
    <row r="4" spans="1:111" s="35" customFormat="1" ht="16.5" thickBot="1">
      <c r="A4" s="789" t="s">
        <v>34</v>
      </c>
      <c r="B4" s="790"/>
      <c r="C4" s="791"/>
      <c r="D4" s="74" t="s">
        <v>39</v>
      </c>
      <c r="E4" s="74" t="s">
        <v>40</v>
      </c>
      <c r="F4" s="29" t="s">
        <v>15</v>
      </c>
      <c r="G4" s="29" t="s">
        <v>16</v>
      </c>
      <c r="H4" s="29" t="s">
        <v>17</v>
      </c>
      <c r="I4" s="29" t="s">
        <v>18</v>
      </c>
      <c r="J4" s="29" t="s">
        <v>41</v>
      </c>
      <c r="K4" s="29" t="s">
        <v>68</v>
      </c>
      <c r="L4" s="29" t="s">
        <v>43</v>
      </c>
      <c r="M4" s="29" t="s">
        <v>44</v>
      </c>
      <c r="N4" s="29" t="s">
        <v>45</v>
      </c>
      <c r="O4" s="29" t="s">
        <v>38</v>
      </c>
      <c r="P4" s="29" t="s">
        <v>39</v>
      </c>
      <c r="Q4" s="29" t="s">
        <v>40</v>
      </c>
      <c r="R4" s="29" t="s">
        <v>15</v>
      </c>
      <c r="S4" s="29" t="s">
        <v>16</v>
      </c>
      <c r="T4" s="29" t="s">
        <v>17</v>
      </c>
      <c r="U4" s="29" t="s">
        <v>18</v>
      </c>
      <c r="V4" s="29" t="s">
        <v>41</v>
      </c>
      <c r="W4" s="29" t="str">
        <f t="shared" ref="W4:AO4" si="0">+K4</f>
        <v>July</v>
      </c>
      <c r="X4" s="29" t="str">
        <f t="shared" si="0"/>
        <v>Aug</v>
      </c>
      <c r="Y4" s="29" t="str">
        <f t="shared" si="0"/>
        <v>Sep</v>
      </c>
      <c r="Z4" s="29" t="str">
        <f t="shared" si="0"/>
        <v>Oct</v>
      </c>
      <c r="AA4" s="29" t="str">
        <f t="shared" si="0"/>
        <v>Nov</v>
      </c>
      <c r="AB4" s="29" t="str">
        <f t="shared" si="0"/>
        <v>Dec</v>
      </c>
      <c r="AC4" s="29" t="str">
        <f t="shared" si="0"/>
        <v>Jan</v>
      </c>
      <c r="AD4" s="29" t="str">
        <f t="shared" si="0"/>
        <v>Feb</v>
      </c>
      <c r="AE4" s="29" t="str">
        <f t="shared" si="0"/>
        <v>Mar</v>
      </c>
      <c r="AF4" s="29" t="str">
        <f t="shared" si="0"/>
        <v>Apr</v>
      </c>
      <c r="AG4" s="29" t="str">
        <f t="shared" si="0"/>
        <v>May</v>
      </c>
      <c r="AH4" s="29" t="str">
        <f t="shared" si="0"/>
        <v>Jun</v>
      </c>
      <c r="AI4" s="29" t="str">
        <f t="shared" si="0"/>
        <v>July</v>
      </c>
      <c r="AJ4" s="29" t="str">
        <f t="shared" si="0"/>
        <v>Aug</v>
      </c>
      <c r="AK4" s="29" t="str">
        <f t="shared" si="0"/>
        <v>Sep</v>
      </c>
      <c r="AL4" s="29" t="str">
        <f t="shared" si="0"/>
        <v>Oct</v>
      </c>
      <c r="AM4" s="29" t="str">
        <f t="shared" si="0"/>
        <v>Nov</v>
      </c>
      <c r="AN4" s="29" t="str">
        <f t="shared" si="0"/>
        <v>Dec</v>
      </c>
      <c r="AO4" s="29" t="str">
        <f t="shared" si="0"/>
        <v>Jan</v>
      </c>
      <c r="AP4" s="29" t="s">
        <v>15</v>
      </c>
      <c r="AQ4" s="29" t="s">
        <v>16</v>
      </c>
      <c r="AR4" s="29" t="s">
        <v>17</v>
      </c>
      <c r="AS4" s="29" t="s">
        <v>18</v>
      </c>
      <c r="AT4" s="29" t="s">
        <v>155</v>
      </c>
      <c r="AU4" s="29" t="s">
        <v>68</v>
      </c>
      <c r="AV4" s="29" t="s">
        <v>157</v>
      </c>
      <c r="AW4" s="29" t="s">
        <v>159</v>
      </c>
      <c r="AX4" s="29" t="s">
        <v>162</v>
      </c>
      <c r="AY4" s="29" t="s">
        <v>165</v>
      </c>
      <c r="AZ4" s="29" t="s">
        <v>166</v>
      </c>
      <c r="BA4" s="29" t="s">
        <v>169</v>
      </c>
      <c r="BB4" s="29" t="s">
        <v>171</v>
      </c>
      <c r="BC4" s="29" t="s">
        <v>174</v>
      </c>
      <c r="BD4" s="29" t="s">
        <v>176</v>
      </c>
      <c r="BE4" s="29" t="s">
        <v>18</v>
      </c>
      <c r="BF4" s="29" t="s">
        <v>155</v>
      </c>
      <c r="BG4" s="29" t="s">
        <v>68</v>
      </c>
      <c r="BH4" s="29" t="s">
        <v>157</v>
      </c>
      <c r="BI4" s="29" t="s">
        <v>159</v>
      </c>
      <c r="BJ4" s="29" t="s">
        <v>162</v>
      </c>
      <c r="BK4" s="29" t="s">
        <v>165</v>
      </c>
      <c r="BL4" s="29" t="s">
        <v>166</v>
      </c>
      <c r="BM4" s="29" t="s">
        <v>169</v>
      </c>
      <c r="BN4" s="29" t="s">
        <v>171</v>
      </c>
      <c r="BO4" s="29" t="s">
        <v>197</v>
      </c>
      <c r="BP4" s="29" t="s">
        <v>176</v>
      </c>
      <c r="BQ4" s="29" t="s">
        <v>18</v>
      </c>
      <c r="BR4" s="29" t="s">
        <v>155</v>
      </c>
      <c r="BS4" s="29" t="s">
        <v>68</v>
      </c>
      <c r="BT4" s="29" t="s">
        <v>157</v>
      </c>
      <c r="BU4" s="29" t="s">
        <v>159</v>
      </c>
      <c r="BV4" s="29" t="s">
        <v>162</v>
      </c>
      <c r="BW4" s="29" t="s">
        <v>165</v>
      </c>
      <c r="BX4" s="29" t="s">
        <v>166</v>
      </c>
      <c r="BY4" s="29" t="s">
        <v>169</v>
      </c>
      <c r="BZ4" s="29" t="s">
        <v>171</v>
      </c>
      <c r="CA4" s="29" t="s">
        <v>174</v>
      </c>
      <c r="CB4" s="29" t="s">
        <v>176</v>
      </c>
      <c r="CC4" s="29" t="s">
        <v>18</v>
      </c>
      <c r="CD4" s="29" t="s">
        <v>155</v>
      </c>
      <c r="CE4" s="29" t="s">
        <v>68</v>
      </c>
      <c r="CF4" s="29" t="s">
        <v>157</v>
      </c>
      <c r="CG4" s="29" t="s">
        <v>159</v>
      </c>
      <c r="CH4" s="29" t="s">
        <v>162</v>
      </c>
      <c r="CI4" s="29" t="s">
        <v>165</v>
      </c>
      <c r="CJ4" s="29" t="s">
        <v>166</v>
      </c>
      <c r="CK4" s="29" t="s">
        <v>169</v>
      </c>
      <c r="CL4" s="29" t="s">
        <v>171</v>
      </c>
      <c r="CM4" s="29" t="s">
        <v>222</v>
      </c>
      <c r="CN4" s="29" t="s">
        <v>233</v>
      </c>
      <c r="CO4" s="29" t="s">
        <v>234</v>
      </c>
      <c r="CP4" s="29" t="s">
        <v>235</v>
      </c>
      <c r="CQ4" s="29" t="s">
        <v>241</v>
      </c>
      <c r="CR4" s="29" t="s">
        <v>237</v>
      </c>
      <c r="CS4" s="29" t="s">
        <v>238</v>
      </c>
      <c r="CT4" s="29" t="s">
        <v>239</v>
      </c>
      <c r="CU4" s="29" t="s">
        <v>240</v>
      </c>
      <c r="CV4" s="29" t="s">
        <v>242</v>
      </c>
      <c r="CW4" s="29" t="s">
        <v>243</v>
      </c>
      <c r="CX4" s="29" t="s">
        <v>244</v>
      </c>
      <c r="CY4" s="29" t="s">
        <v>246</v>
      </c>
      <c r="CZ4" s="29" t="s">
        <v>247</v>
      </c>
      <c r="DA4" s="29" t="s">
        <v>248</v>
      </c>
      <c r="DB4" s="29" t="s">
        <v>250</v>
      </c>
      <c r="DC4" s="29" t="s">
        <v>252</v>
      </c>
      <c r="DD4" s="29" t="s">
        <v>253</v>
      </c>
      <c r="DE4" s="29" t="s">
        <v>254</v>
      </c>
      <c r="DF4" s="29" t="s">
        <v>255</v>
      </c>
      <c r="DG4" s="29" t="s">
        <v>256</v>
      </c>
    </row>
    <row r="5" spans="1:111" s="4" customFormat="1" ht="17.25" customHeight="1">
      <c r="A5" s="796" t="s">
        <v>27</v>
      </c>
      <c r="B5" s="800" t="s">
        <v>19</v>
      </c>
      <c r="C5" s="801"/>
      <c r="D5" s="75">
        <f>+D22+D29</f>
        <v>4400.7736299999997</v>
      </c>
      <c r="E5" s="122">
        <f>+E22+E29</f>
        <v>4432.7991399999992</v>
      </c>
      <c r="F5" s="123">
        <f t="shared" ref="F5:Q6" si="1">+F22+F29</f>
        <v>4149.8533900000002</v>
      </c>
      <c r="G5" s="123">
        <f t="shared" si="1"/>
        <v>4277.2830199999999</v>
      </c>
      <c r="H5" s="123">
        <f t="shared" si="1"/>
        <v>4305.5808099999995</v>
      </c>
      <c r="I5" s="123">
        <f t="shared" si="1"/>
        <v>4659.9444600000006</v>
      </c>
      <c r="J5" s="123">
        <f t="shared" si="1"/>
        <v>4467.0407999999998</v>
      </c>
      <c r="K5" s="123">
        <f t="shared" si="1"/>
        <v>4218.8552299999992</v>
      </c>
      <c r="L5" s="123">
        <f t="shared" si="1"/>
        <v>4618.8577700000005</v>
      </c>
      <c r="M5" s="123">
        <f t="shared" si="1"/>
        <v>3363.3500100000001</v>
      </c>
      <c r="N5" s="123">
        <f t="shared" si="1"/>
        <v>4169.3564399999996</v>
      </c>
      <c r="O5" s="123">
        <f t="shared" si="1"/>
        <v>3879.83131</v>
      </c>
      <c r="P5" s="123">
        <f t="shared" si="1"/>
        <v>3958.6024699999998</v>
      </c>
      <c r="Q5" s="123">
        <f t="shared" si="1"/>
        <v>3930.0144400000008</v>
      </c>
      <c r="R5" s="123">
        <f t="shared" ref="R5:T6" si="2">+R22+R29</f>
        <v>4204.8050800000001</v>
      </c>
      <c r="S5" s="123">
        <f t="shared" si="2"/>
        <v>4178.6524300000001</v>
      </c>
      <c r="T5" s="123">
        <f t="shared" si="2"/>
        <v>4419.8138300000001</v>
      </c>
      <c r="U5" s="123">
        <f t="shared" ref="U5:W6" si="3">+U22+U29</f>
        <v>4343.6756600000008</v>
      </c>
      <c r="V5" s="123">
        <f t="shared" si="3"/>
        <v>4479.1502</v>
      </c>
      <c r="W5" s="123">
        <f t="shared" si="3"/>
        <v>4283.6894900000007</v>
      </c>
      <c r="X5" s="123">
        <f t="shared" ref="X5:Z6" si="4">+X22+X29</f>
        <v>4449.7354400000004</v>
      </c>
      <c r="Y5" s="123">
        <f t="shared" si="4"/>
        <v>3306.71009</v>
      </c>
      <c r="Z5" s="123">
        <f t="shared" si="4"/>
        <v>4569.5832300000002</v>
      </c>
      <c r="AA5" s="123">
        <f t="shared" ref="AA5:AC6" si="5">+AA22+AA29</f>
        <v>5292.3473300000005</v>
      </c>
      <c r="AB5" s="123">
        <f t="shared" si="5"/>
        <v>5806.5725300000004</v>
      </c>
      <c r="AC5" s="123">
        <f t="shared" si="5"/>
        <v>5520.324779999999</v>
      </c>
      <c r="AD5" s="123">
        <f t="shared" ref="AD5:AF6" si="6">+AD22+AD29</f>
        <v>5841.4297699999997</v>
      </c>
      <c r="AE5" s="123">
        <f t="shared" si="6"/>
        <v>5804.9181600000002</v>
      </c>
      <c r="AF5" s="123">
        <f t="shared" si="6"/>
        <v>5539.4127600000011</v>
      </c>
      <c r="AG5" s="123">
        <f t="shared" ref="AG5:AI6" si="7">+AG22+AG29</f>
        <v>5430.0184899999995</v>
      </c>
      <c r="AH5" s="123">
        <f t="shared" si="7"/>
        <v>5816.9932699999999</v>
      </c>
      <c r="AI5" s="123">
        <f t="shared" si="7"/>
        <v>6077.7257500000014</v>
      </c>
      <c r="AJ5" s="123">
        <f t="shared" ref="AJ5:AM6" si="8">+AJ22+AJ29</f>
        <v>5868.9057799999991</v>
      </c>
      <c r="AK5" s="123">
        <f t="shared" si="8"/>
        <v>5112.5645199999999</v>
      </c>
      <c r="AL5" s="123">
        <f t="shared" si="8"/>
        <v>6334.0819600000004</v>
      </c>
      <c r="AM5" s="123">
        <f t="shared" si="8"/>
        <v>4830.9981299999999</v>
      </c>
      <c r="AN5" s="123">
        <f t="shared" ref="AN5:AP6" si="9">+AN22+AN29</f>
        <v>6202.94434</v>
      </c>
      <c r="AO5" s="123">
        <f t="shared" si="9"/>
        <v>6505.5680299999995</v>
      </c>
      <c r="AP5" s="123">
        <f t="shared" si="9"/>
        <v>7863.6135899999999</v>
      </c>
      <c r="AQ5" s="123">
        <f t="shared" ref="AQ5:AS6" si="10">+AQ22+AQ29</f>
        <v>7946.8174400000007</v>
      </c>
      <c r="AR5" s="123">
        <f t="shared" si="10"/>
        <v>7045.9415899999995</v>
      </c>
      <c r="AS5" s="123">
        <f t="shared" si="10"/>
        <v>7821.8539199999996</v>
      </c>
      <c r="AT5" s="123">
        <f t="shared" ref="AT5:AV6" si="11">+AT22+AT29</f>
        <v>7091.7817100000002</v>
      </c>
      <c r="AU5" s="123">
        <f t="shared" si="11"/>
        <v>8005.0155599999998</v>
      </c>
      <c r="AV5" s="123">
        <f t="shared" si="11"/>
        <v>8837.22019</v>
      </c>
      <c r="AW5" s="123">
        <f t="shared" ref="AW5:AY6" si="12">+AW22+AW29</f>
        <v>8111.4077900000002</v>
      </c>
      <c r="AX5" s="123">
        <f t="shared" si="12"/>
        <v>8817.4198300000007</v>
      </c>
      <c r="AY5" s="123">
        <f t="shared" si="12"/>
        <v>8844.7133099999992</v>
      </c>
      <c r="AZ5" s="123">
        <f t="shared" ref="AZ5:BB6" si="13">+AZ22+AZ29</f>
        <v>10980.799949999999</v>
      </c>
      <c r="BA5" s="123">
        <f t="shared" si="13"/>
        <v>11535.524979999998</v>
      </c>
      <c r="BB5" s="123">
        <f t="shared" si="13"/>
        <v>12989.82237</v>
      </c>
      <c r="BC5" s="123">
        <f t="shared" ref="BC5:BE6" si="14">+BC22+BC29</f>
        <v>12421.526029999999</v>
      </c>
      <c r="BD5" s="123">
        <f t="shared" si="14"/>
        <v>16778.580449999998</v>
      </c>
      <c r="BE5" s="123">
        <f t="shared" si="14"/>
        <v>11059.89344</v>
      </c>
      <c r="BF5" s="123">
        <f t="shared" ref="BF5:BH6" si="15">+BF22+BF29</f>
        <v>11910.90857</v>
      </c>
      <c r="BG5" s="123">
        <f t="shared" si="15"/>
        <v>13225.165430000001</v>
      </c>
      <c r="BH5" s="123">
        <f t="shared" si="15"/>
        <v>11016.033359999999</v>
      </c>
      <c r="BI5" s="123">
        <f t="shared" ref="BI5:BK6" si="16">+BI22+BI29</f>
        <v>9861.2602900000002</v>
      </c>
      <c r="BJ5" s="123">
        <f t="shared" si="16"/>
        <v>14765.429179999999</v>
      </c>
      <c r="BK5" s="123">
        <f t="shared" ref="BK5:BP5" si="17">+BK22+BK29</f>
        <v>14013.362479999998</v>
      </c>
      <c r="BL5" s="123">
        <f t="shared" si="17"/>
        <v>20027.29333</v>
      </c>
      <c r="BM5" s="123">
        <f t="shared" si="17"/>
        <v>22969.634840000002</v>
      </c>
      <c r="BN5" s="123">
        <f t="shared" si="17"/>
        <v>23017.753940000002</v>
      </c>
      <c r="BO5" s="123">
        <f t="shared" si="17"/>
        <v>23077.256869999997</v>
      </c>
      <c r="BP5" s="123">
        <f t="shared" si="17"/>
        <v>21012.717080000002</v>
      </c>
      <c r="BQ5" s="123">
        <f t="shared" ref="BQ5:BS6" si="18">+BQ22+BQ29</f>
        <v>23000.608489999999</v>
      </c>
      <c r="BR5" s="123">
        <f t="shared" si="18"/>
        <v>23069.900559999998</v>
      </c>
      <c r="BS5" s="123">
        <f t="shared" si="18"/>
        <v>23157.805459999985</v>
      </c>
      <c r="BT5" s="123">
        <f t="shared" ref="BT5:BV6" si="19">+BT22+BT29</f>
        <v>22980.320839999993</v>
      </c>
      <c r="BU5" s="123">
        <f t="shared" si="19"/>
        <v>19438.757110000002</v>
      </c>
      <c r="BV5" s="123">
        <f t="shared" si="19"/>
        <v>23257.963199999966</v>
      </c>
      <c r="BW5" s="123">
        <f t="shared" ref="BW5:BY6" si="20">+BW22+BW29</f>
        <v>21680.71384</v>
      </c>
      <c r="BX5" s="123">
        <f t="shared" si="20"/>
        <v>19867.719509999977</v>
      </c>
      <c r="BY5" s="123">
        <f t="shared" ref="BY5:CD5" si="21">+BY22+BY29</f>
        <v>48718.734959999994</v>
      </c>
      <c r="BZ5" s="123">
        <f t="shared" si="21"/>
        <v>12453.015659999988</v>
      </c>
      <c r="CA5" s="123">
        <f t="shared" si="21"/>
        <v>22382.314169999947</v>
      </c>
      <c r="CB5" s="123">
        <f t="shared" si="21"/>
        <v>23246.275489999956</v>
      </c>
      <c r="CC5" s="123">
        <f t="shared" si="21"/>
        <v>21638.327659999963</v>
      </c>
      <c r="CD5" s="123">
        <f t="shared" si="21"/>
        <v>24483.476019999944</v>
      </c>
      <c r="CE5" s="123">
        <f t="shared" ref="CE5:CF5" si="22">+CE22+CE29</f>
        <v>25821.548659999935</v>
      </c>
      <c r="CF5" s="123">
        <f t="shared" si="22"/>
        <v>25119.993649999942</v>
      </c>
      <c r="CG5" s="123">
        <f t="shared" ref="CG5:CH5" si="23">+CG22+CG29</f>
        <v>23902.422519999964</v>
      </c>
      <c r="CH5" s="123">
        <f t="shared" si="23"/>
        <v>24836.580339999957</v>
      </c>
      <c r="CI5" s="123">
        <f t="shared" ref="CI5:CJ5" si="24">+CI22+CI29</f>
        <v>26274.658729999956</v>
      </c>
      <c r="CJ5" s="123">
        <f t="shared" si="24"/>
        <v>24078.980409999949</v>
      </c>
      <c r="CK5" s="123">
        <f t="shared" ref="CK5:CL5" si="25">+CK22+CK29</f>
        <v>25370.397769999952</v>
      </c>
      <c r="CL5" s="123">
        <f t="shared" si="25"/>
        <v>25097.686119999955</v>
      </c>
      <c r="CM5" s="123">
        <f t="shared" ref="CM5:CN5" si="26">+CM22+CM29</f>
        <v>23600.648919999967</v>
      </c>
      <c r="CN5" s="123">
        <f t="shared" si="26"/>
        <v>24050.36249999997</v>
      </c>
      <c r="CO5" s="123">
        <f t="shared" ref="CO5:CP5" si="27">+CO22+CO29</f>
        <v>24858.792529999966</v>
      </c>
      <c r="CP5" s="123">
        <f t="shared" si="27"/>
        <v>26077.159559999978</v>
      </c>
      <c r="CQ5" s="123">
        <f t="shared" ref="CQ5:CR5" si="28">+CQ22+CQ29</f>
        <v>25944.301679999942</v>
      </c>
      <c r="CR5" s="123">
        <f t="shared" si="28"/>
        <v>26408.784009999985</v>
      </c>
      <c r="CS5" s="123">
        <f t="shared" ref="CS5" si="29">+CS22+CS29</f>
        <v>27663.084639999972</v>
      </c>
      <c r="CT5" s="123">
        <f t="shared" ref="CT5:CY5" si="30">+CT22+CT29</f>
        <v>29847.55893999997</v>
      </c>
      <c r="CU5" s="123">
        <f t="shared" si="30"/>
        <v>28681.179859999993</v>
      </c>
      <c r="CV5" s="123">
        <f t="shared" si="30"/>
        <v>28799.945229999932</v>
      </c>
      <c r="CW5" s="123">
        <f t="shared" si="30"/>
        <v>29787.967619999967</v>
      </c>
      <c r="CX5" s="123">
        <f t="shared" si="30"/>
        <v>29539.279639999979</v>
      </c>
      <c r="CY5" s="123">
        <f t="shared" si="30"/>
        <v>29066.353190000034</v>
      </c>
      <c r="CZ5" s="123">
        <f t="shared" ref="CZ5:DA5" si="31">+CZ22+CZ29</f>
        <v>27311.60413</v>
      </c>
      <c r="DA5" s="123">
        <f t="shared" si="31"/>
        <v>28546.751129999993</v>
      </c>
      <c r="DB5" s="123">
        <f t="shared" ref="DB5:DC5" si="32">+DB22+DB29</f>
        <v>27005.748139999992</v>
      </c>
      <c r="DC5" s="123">
        <f t="shared" si="32"/>
        <v>26192.763660000001</v>
      </c>
      <c r="DD5" s="123">
        <f t="shared" ref="DD5:DE5" si="33">+DD22+DD29</f>
        <v>27797.020150000004</v>
      </c>
      <c r="DE5" s="123">
        <f t="shared" si="33"/>
        <v>29428.581550000003</v>
      </c>
      <c r="DF5" s="123">
        <f t="shared" ref="DF5:DG5" si="34">+DF22+DF29</f>
        <v>29961.997990000011</v>
      </c>
      <c r="DG5" s="123">
        <f t="shared" si="34"/>
        <v>27818.498449999999</v>
      </c>
    </row>
    <row r="6" spans="1:111" s="4" customFormat="1" ht="17.25" customHeight="1">
      <c r="A6" s="797"/>
      <c r="B6" s="856" t="s">
        <v>20</v>
      </c>
      <c r="C6" s="857"/>
      <c r="D6" s="76">
        <f>+D23+D30</f>
        <v>5023.0238600000012</v>
      </c>
      <c r="E6" s="76">
        <f>+E23+E30</f>
        <v>5130.7002000000002</v>
      </c>
      <c r="F6" s="66">
        <f t="shared" si="1"/>
        <v>3429.5444499999999</v>
      </c>
      <c r="G6" s="66">
        <f t="shared" si="1"/>
        <v>3806.4097600000005</v>
      </c>
      <c r="H6" s="66">
        <f t="shared" si="1"/>
        <v>4803.3285400000032</v>
      </c>
      <c r="I6" s="66">
        <f t="shared" si="1"/>
        <v>4293.698889999996</v>
      </c>
      <c r="J6" s="66">
        <f t="shared" si="1"/>
        <v>4263.7663600000069</v>
      </c>
      <c r="K6" s="66">
        <f t="shared" si="1"/>
        <v>4845.3914699999968</v>
      </c>
      <c r="L6" s="66">
        <f t="shared" si="1"/>
        <v>4004.8422499999856</v>
      </c>
      <c r="M6" s="66">
        <f t="shared" si="1"/>
        <v>4451.4536800000151</v>
      </c>
      <c r="N6" s="66">
        <f t="shared" si="1"/>
        <v>3917.1505200000233</v>
      </c>
      <c r="O6" s="66">
        <f t="shared" si="1"/>
        <v>3709.5879499999992</v>
      </c>
      <c r="P6" s="66">
        <f t="shared" si="1"/>
        <v>4712.8045300000003</v>
      </c>
      <c r="Q6" s="66">
        <f t="shared" si="1"/>
        <v>5862.5594900000006</v>
      </c>
      <c r="R6" s="66">
        <f t="shared" si="2"/>
        <v>4556.7771299999995</v>
      </c>
      <c r="S6" s="66">
        <f t="shared" si="2"/>
        <v>4354.1598199999999</v>
      </c>
      <c r="T6" s="66">
        <f t="shared" si="2"/>
        <v>4516.8000099999972</v>
      </c>
      <c r="U6" s="66">
        <f t="shared" si="3"/>
        <v>4908.4258000000027</v>
      </c>
      <c r="V6" s="66">
        <f t="shared" si="3"/>
        <v>4575.2156800000075</v>
      </c>
      <c r="W6" s="66">
        <f t="shared" si="3"/>
        <v>4384.9868199999883</v>
      </c>
      <c r="X6" s="66">
        <f t="shared" si="4"/>
        <v>4746.6876400000028</v>
      </c>
      <c r="Y6" s="66">
        <f t="shared" si="4"/>
        <v>6195.6114300000008</v>
      </c>
      <c r="Z6" s="66">
        <f t="shared" si="4"/>
        <v>5550.0977399999983</v>
      </c>
      <c r="AA6" s="66">
        <f t="shared" si="5"/>
        <v>7017.3852600000009</v>
      </c>
      <c r="AB6" s="66">
        <f t="shared" si="5"/>
        <v>5257.9110599999985</v>
      </c>
      <c r="AC6" s="66">
        <f t="shared" si="5"/>
        <v>6069.5528699999995</v>
      </c>
      <c r="AD6" s="66">
        <f t="shared" si="6"/>
        <v>5738.1155499999995</v>
      </c>
      <c r="AE6" s="66">
        <f t="shared" si="6"/>
        <v>5830.6876100000009</v>
      </c>
      <c r="AF6" s="66">
        <f t="shared" si="6"/>
        <v>5942.0639099999999</v>
      </c>
      <c r="AG6" s="66">
        <f t="shared" si="7"/>
        <v>5920.3359199999995</v>
      </c>
      <c r="AH6" s="66">
        <f t="shared" si="7"/>
        <v>5049.995420000002</v>
      </c>
      <c r="AI6" s="66">
        <f t="shared" si="7"/>
        <v>6903.1898200000069</v>
      </c>
      <c r="AJ6" s="66">
        <f t="shared" si="8"/>
        <v>6480.2259199999862</v>
      </c>
      <c r="AK6" s="66">
        <f t="shared" si="8"/>
        <v>8443.7706300000082</v>
      </c>
      <c r="AL6" s="66">
        <f t="shared" si="8"/>
        <v>7344.8279700000048</v>
      </c>
      <c r="AM6" s="66">
        <f t="shared" si="8"/>
        <v>10047.917849999891</v>
      </c>
      <c r="AN6" s="66">
        <f t="shared" si="9"/>
        <v>8019.8261800001019</v>
      </c>
      <c r="AO6" s="66">
        <f t="shared" si="9"/>
        <v>7878.5968999999959</v>
      </c>
      <c r="AP6" s="66">
        <f t="shared" si="9"/>
        <v>7585.8570300000029</v>
      </c>
      <c r="AQ6" s="66">
        <f t="shared" si="10"/>
        <v>7685.1882599999954</v>
      </c>
      <c r="AR6" s="66">
        <f t="shared" si="10"/>
        <v>7515.8336300000101</v>
      </c>
      <c r="AS6" s="66">
        <f t="shared" si="10"/>
        <v>8524.1698799999904</v>
      </c>
      <c r="AT6" s="66">
        <f t="shared" si="11"/>
        <v>10113.91374</v>
      </c>
      <c r="AU6" s="66">
        <f t="shared" si="11"/>
        <v>10553.42270999999</v>
      </c>
      <c r="AV6" s="66">
        <f t="shared" si="11"/>
        <v>11334.223060000013</v>
      </c>
      <c r="AW6" s="66">
        <f t="shared" si="12"/>
        <v>12948.92665999999</v>
      </c>
      <c r="AX6" s="66">
        <f t="shared" si="12"/>
        <v>14724.734199999988</v>
      </c>
      <c r="AY6" s="66">
        <f t="shared" si="12"/>
        <v>15700.263820000035</v>
      </c>
      <c r="AZ6" s="66">
        <f t="shared" si="13"/>
        <v>16306.308169999962</v>
      </c>
      <c r="BA6" s="66">
        <f t="shared" si="13"/>
        <v>16025.354290000054</v>
      </c>
      <c r="BB6" s="66">
        <f t="shared" si="13"/>
        <v>12839.242939999996</v>
      </c>
      <c r="BC6" s="66">
        <f t="shared" si="14"/>
        <v>13529.747459999995</v>
      </c>
      <c r="BD6" s="66">
        <f t="shared" si="14"/>
        <v>16441.966760000003</v>
      </c>
      <c r="BE6" s="66">
        <f t="shared" si="14"/>
        <v>17851.72306</v>
      </c>
      <c r="BF6" s="66">
        <f t="shared" si="15"/>
        <v>21606.697479999999</v>
      </c>
      <c r="BG6" s="66">
        <f t="shared" si="15"/>
        <v>20392.869909999994</v>
      </c>
      <c r="BH6" s="66">
        <f t="shared" si="15"/>
        <v>21373.960330000002</v>
      </c>
      <c r="BI6" s="66">
        <f t="shared" si="16"/>
        <v>21026.856369999998</v>
      </c>
      <c r="BJ6" s="66">
        <f t="shared" si="16"/>
        <v>20574.287739999905</v>
      </c>
      <c r="BK6" s="66">
        <f t="shared" si="16"/>
        <v>22740.534780000093</v>
      </c>
      <c r="BL6" s="66">
        <f>+BL23+BL30</f>
        <v>19259.986699999994</v>
      </c>
      <c r="BM6" s="66">
        <f>+BM23+BM30</f>
        <v>19510.412569999982</v>
      </c>
      <c r="BN6" s="66">
        <f>+BN23+BN30</f>
        <v>17560.351659999982</v>
      </c>
      <c r="BO6" s="66">
        <f>+BO23+BO30</f>
        <v>19893.585540000051</v>
      </c>
      <c r="BP6" s="66">
        <f>+BP23+BP30</f>
        <v>25917.670519999985</v>
      </c>
      <c r="BQ6" s="66">
        <f t="shared" si="18"/>
        <v>24577.155940000033</v>
      </c>
      <c r="BR6" s="66">
        <f t="shared" si="18"/>
        <v>21926.210209999979</v>
      </c>
      <c r="BS6" s="66">
        <f t="shared" si="18"/>
        <v>23057.680239999969</v>
      </c>
      <c r="BT6" s="66">
        <f t="shared" si="19"/>
        <v>23057.985810000002</v>
      </c>
      <c r="BU6" s="66">
        <f t="shared" si="19"/>
        <v>26700.398449999979</v>
      </c>
      <c r="BV6" s="66">
        <f t="shared" si="19"/>
        <v>24166.071399999964</v>
      </c>
      <c r="BW6" s="66">
        <f t="shared" si="20"/>
        <v>25271.147700000001</v>
      </c>
      <c r="BX6" s="66">
        <f t="shared" si="20"/>
        <v>27521.307889999989</v>
      </c>
      <c r="BY6" s="66">
        <f t="shared" si="20"/>
        <v>43942.818159999981</v>
      </c>
      <c r="BZ6" s="66">
        <f t="shared" ref="BZ6:CE6" si="35">+BZ23+BZ30</f>
        <v>1311.3674200000114</v>
      </c>
      <c r="CA6" s="66">
        <f t="shared" si="35"/>
        <v>20718.733839999932</v>
      </c>
      <c r="CB6" s="66">
        <f t="shared" si="35"/>
        <v>27676.188949999945</v>
      </c>
      <c r="CC6" s="66">
        <f t="shared" si="35"/>
        <v>22788.045899999972</v>
      </c>
      <c r="CD6" s="66">
        <f t="shared" si="35"/>
        <v>27422.602949999917</v>
      </c>
      <c r="CE6" s="66">
        <f t="shared" si="35"/>
        <v>31965.810599999913</v>
      </c>
      <c r="CF6" s="66">
        <f t="shared" ref="CF6:CG6" si="36">+CF23+CF30</f>
        <v>22954.030310000002</v>
      </c>
      <c r="CG6" s="66">
        <f t="shared" si="36"/>
        <v>29614.295139999987</v>
      </c>
      <c r="CH6" s="66">
        <f t="shared" ref="CH6:CI6" si="37">+CH23+CH30</f>
        <v>17103.620229999906</v>
      </c>
      <c r="CI6" s="66">
        <f t="shared" si="37"/>
        <v>28945.305919999952</v>
      </c>
      <c r="CJ6" s="66">
        <f t="shared" ref="CJ6:CK6" si="38">+CJ23+CJ30</f>
        <v>25953.429129999909</v>
      </c>
      <c r="CK6" s="66">
        <f t="shared" si="38"/>
        <v>22242.190289999933</v>
      </c>
      <c r="CL6" s="66">
        <f t="shared" ref="CL6:CM6" si="39">+CL23+CL30</f>
        <v>28567.625129999989</v>
      </c>
      <c r="CM6" s="66">
        <f t="shared" si="39"/>
        <v>26069.735280000037</v>
      </c>
      <c r="CN6" s="66">
        <f t="shared" ref="CN6:CO6" si="40">+CN23+CN30</f>
        <v>27065.156679999942</v>
      </c>
      <c r="CO6" s="66">
        <f t="shared" si="40"/>
        <v>34929.455330000026</v>
      </c>
      <c r="CP6" s="66">
        <f t="shared" ref="CP6:CQ6" si="41">+CP23+CP30</f>
        <v>25798.579569999976</v>
      </c>
      <c r="CQ6" s="66">
        <f t="shared" si="41"/>
        <v>35237.702859999838</v>
      </c>
      <c r="CR6" s="66">
        <f t="shared" ref="CR6:CS6" si="42">+CR23+CR30</f>
        <v>26213.207959999952</v>
      </c>
      <c r="CS6" s="66">
        <f t="shared" si="42"/>
        <v>30556.462710000073</v>
      </c>
      <c r="CT6" s="66">
        <f t="shared" ref="CT6:CU6" si="43">+CT23+CT30</f>
        <v>27588.016289999847</v>
      </c>
      <c r="CU6" s="66">
        <f t="shared" si="43"/>
        <v>31917.061970000032</v>
      </c>
      <c r="CV6" s="66">
        <f t="shared" ref="CV6:DA6" si="44">+CV23+CV30</f>
        <v>29736.150409999882</v>
      </c>
      <c r="CW6" s="66">
        <f t="shared" si="44"/>
        <v>29730.763240000015</v>
      </c>
      <c r="CX6" s="66">
        <f t="shared" si="44"/>
        <v>20090.741490000084</v>
      </c>
      <c r="CY6" s="66">
        <f t="shared" si="44"/>
        <v>20904.543169999997</v>
      </c>
      <c r="CZ6" s="66">
        <f t="shared" si="44"/>
        <v>28658.557569999972</v>
      </c>
      <c r="DA6" s="66">
        <f t="shared" si="44"/>
        <v>35030.450209999981</v>
      </c>
      <c r="DB6" s="66">
        <f t="shared" ref="DB6:DC6" si="45">+DB23+DB30</f>
        <v>29537.436000000089</v>
      </c>
      <c r="DC6" s="66">
        <f t="shared" si="45"/>
        <v>22523.133369999887</v>
      </c>
      <c r="DD6" s="66">
        <f t="shared" ref="DD6:DE6" si="46">+DD23+DD30</f>
        <v>21665.474859999944</v>
      </c>
      <c r="DE6" s="66">
        <f t="shared" si="46"/>
        <v>32744.654400000072</v>
      </c>
      <c r="DF6" s="66">
        <f t="shared" ref="DF6:DG6" si="47">+DF23+DF30</f>
        <v>24842.134960000087</v>
      </c>
      <c r="DG6" s="66">
        <f t="shared" si="47"/>
        <v>37364.564169999743</v>
      </c>
    </row>
    <row r="7" spans="1:111" s="4" customFormat="1" ht="17.25" customHeight="1">
      <c r="A7" s="797"/>
      <c r="B7" s="794" t="s">
        <v>21</v>
      </c>
      <c r="C7" s="795"/>
      <c r="D7" s="77">
        <f t="shared" ref="D7:Q9" si="48">+D24+D32</f>
        <v>17338.308180000004</v>
      </c>
      <c r="E7" s="77">
        <f t="shared" si="48"/>
        <v>18036.209240000004</v>
      </c>
      <c r="F7" s="36">
        <f t="shared" si="48"/>
        <v>17315.900300000005</v>
      </c>
      <c r="G7" s="36">
        <f t="shared" si="48"/>
        <v>16845.027040000008</v>
      </c>
      <c r="H7" s="36">
        <f t="shared" si="48"/>
        <v>17342.774770000011</v>
      </c>
      <c r="I7" s="36">
        <f t="shared" si="48"/>
        <v>16976.529200000004</v>
      </c>
      <c r="J7" s="36">
        <f t="shared" si="48"/>
        <v>16773.254760000011</v>
      </c>
      <c r="K7" s="36">
        <f t="shared" si="48"/>
        <v>17399.791000000008</v>
      </c>
      <c r="L7" s="36">
        <f t="shared" si="48"/>
        <v>16785.775479999993</v>
      </c>
      <c r="M7" s="36">
        <f t="shared" si="48"/>
        <v>17873.879150000008</v>
      </c>
      <c r="N7" s="36">
        <f t="shared" si="48"/>
        <v>17621.673230000033</v>
      </c>
      <c r="O7" s="36">
        <f t="shared" si="48"/>
        <v>17451.429870000033</v>
      </c>
      <c r="P7" s="36">
        <f t="shared" si="48"/>
        <v>18205.631930000032</v>
      </c>
      <c r="Q7" s="36">
        <f t="shared" si="48"/>
        <v>20138.176980000033</v>
      </c>
      <c r="R7" s="36">
        <f t="shared" ref="R7:S9" si="49">+R24+R32</f>
        <v>20490.14903000003</v>
      </c>
      <c r="S7" s="36">
        <f t="shared" si="49"/>
        <v>20665.656420000032</v>
      </c>
      <c r="T7" s="36">
        <f t="shared" ref="T7:U9" si="50">+T24+T32</f>
        <v>20762.642600000028</v>
      </c>
      <c r="U7" s="36">
        <f t="shared" si="50"/>
        <v>21327.392740000032</v>
      </c>
      <c r="V7" s="36">
        <f t="shared" ref="V7:W9" si="51">+V24+V32</f>
        <v>21423.458220000037</v>
      </c>
      <c r="W7" s="36">
        <f t="shared" si="51"/>
        <v>21524.755550000024</v>
      </c>
      <c r="X7" s="36">
        <f t="shared" ref="X7:Y9" si="52">+X24+X32</f>
        <v>21821.707750000023</v>
      </c>
      <c r="Y7" s="36">
        <f t="shared" si="52"/>
        <v>24710.609090000027</v>
      </c>
      <c r="Z7" s="36">
        <f t="shared" ref="Z7:AA9" si="53">+Z24+Z32</f>
        <v>25691.123600000024</v>
      </c>
      <c r="AA7" s="36">
        <f t="shared" si="53"/>
        <v>27416.161530000027</v>
      </c>
      <c r="AB7" s="36">
        <f t="shared" ref="AB7:AC9" si="54">+AB24+AB32</f>
        <v>26867.500060000024</v>
      </c>
      <c r="AC7" s="36">
        <f t="shared" si="54"/>
        <v>27416.728150000024</v>
      </c>
      <c r="AD7" s="36">
        <f t="shared" ref="AD7:AE9" si="55">+AD24+AD32</f>
        <v>27313.413930000021</v>
      </c>
      <c r="AE7" s="36">
        <f t="shared" si="55"/>
        <v>27339.18338000002</v>
      </c>
      <c r="AF7" s="36">
        <f t="shared" ref="AF7:AG9" si="56">+AF24+AF32</f>
        <v>27741.834530000022</v>
      </c>
      <c r="AG7" s="36">
        <f t="shared" si="56"/>
        <v>28232.151960000017</v>
      </c>
      <c r="AH7" s="36">
        <f t="shared" ref="AH7:AI9" si="57">+AH24+AH32</f>
        <v>27465.154110000021</v>
      </c>
      <c r="AI7" s="36">
        <f t="shared" si="57"/>
        <v>28290.618180000027</v>
      </c>
      <c r="AJ7" s="36">
        <f t="shared" ref="AJ7:AM9" si="58">+AJ24+AJ32</f>
        <v>28901.938320000008</v>
      </c>
      <c r="AK7" s="36">
        <f t="shared" si="58"/>
        <v>32233.144430000022</v>
      </c>
      <c r="AL7" s="36">
        <f t="shared" si="58"/>
        <v>33243.890440000025</v>
      </c>
      <c r="AM7" s="36">
        <f t="shared" si="58"/>
        <v>38460.810159999914</v>
      </c>
      <c r="AN7" s="36">
        <f t="shared" ref="AN7:AO9" si="59">+AN24+AN32</f>
        <v>40277.692000000017</v>
      </c>
      <c r="AO7" s="36">
        <f t="shared" si="59"/>
        <v>41650.720870000005</v>
      </c>
      <c r="AP7" s="36">
        <f t="shared" ref="AP7:AS9" si="60">+AP24+AP32</f>
        <v>41372.964310000018</v>
      </c>
      <c r="AQ7" s="36">
        <f t="shared" si="60"/>
        <v>41111.335130000014</v>
      </c>
      <c r="AR7" s="36">
        <f t="shared" si="60"/>
        <v>41581.22717000002</v>
      </c>
      <c r="AS7" s="36">
        <f t="shared" si="60"/>
        <v>42283.543130000013</v>
      </c>
      <c r="AT7" s="36">
        <f t="shared" ref="AT7:AU9" si="61">+AT24+AT32</f>
        <v>45305.675160000013</v>
      </c>
      <c r="AU7" s="36">
        <f t="shared" si="61"/>
        <v>47854.082310000005</v>
      </c>
      <c r="AV7" s="36">
        <f t="shared" ref="AV7:AW9" si="62">+AV24+AV32</f>
        <v>50351.085180000016</v>
      </c>
      <c r="AW7" s="36">
        <f t="shared" si="62"/>
        <v>55188.604050000009</v>
      </c>
      <c r="AX7" s="36">
        <f t="shared" ref="AX7:AY9" si="63">+AX24+AX32</f>
        <v>61095.918419999987</v>
      </c>
      <c r="AY7" s="36">
        <f t="shared" si="63"/>
        <v>67951.468930000032</v>
      </c>
      <c r="AZ7" s="36">
        <f t="shared" ref="AZ7:BA9" si="64">+AZ24+AZ32</f>
        <v>73276.977149999992</v>
      </c>
      <c r="BA7" s="36">
        <f t="shared" si="64"/>
        <v>77766.806460000051</v>
      </c>
      <c r="BB7" s="36">
        <f t="shared" ref="BB7:BC9" si="65">+BB24+BB32</f>
        <v>77616.227030000038</v>
      </c>
      <c r="BC7" s="36">
        <f t="shared" si="65"/>
        <v>78724.448460000043</v>
      </c>
      <c r="BD7" s="36">
        <f t="shared" ref="BD7:BE9" si="66">+BD24+BD32</f>
        <v>78387.83477000003</v>
      </c>
      <c r="BE7" s="36">
        <f t="shared" si="66"/>
        <v>85179.664390000034</v>
      </c>
      <c r="BF7" s="36">
        <f t="shared" ref="BF7:BG9" si="67">+BF24+BF32</f>
        <v>94875.453300000023</v>
      </c>
      <c r="BG7" s="36">
        <f t="shared" si="67"/>
        <v>102043.15778000002</v>
      </c>
      <c r="BH7" s="36">
        <f t="shared" ref="BH7:BI9" si="68">+BH24+BH32</f>
        <v>112401.08475000002</v>
      </c>
      <c r="BI7" s="36">
        <f t="shared" si="68"/>
        <v>123566.68083000003</v>
      </c>
      <c r="BJ7" s="36">
        <f t="shared" ref="BJ7:BK9" si="69">+BJ24+BJ32</f>
        <v>129375.53938999993</v>
      </c>
      <c r="BK7" s="36">
        <f t="shared" si="69"/>
        <v>138102.71169000003</v>
      </c>
      <c r="BL7" s="36">
        <f t="shared" ref="BL7:BM9" si="70">+BL24+BL32</f>
        <v>137335.40506000005</v>
      </c>
      <c r="BM7" s="36">
        <f t="shared" si="70"/>
        <v>133876.18278999999</v>
      </c>
      <c r="BN7" s="36">
        <f t="shared" ref="BN7:BO9" si="71">+BN24+BN32</f>
        <v>128418.78051</v>
      </c>
      <c r="BO7" s="36">
        <f t="shared" si="71"/>
        <v>125235.10918000004</v>
      </c>
      <c r="BP7" s="36">
        <f t="shared" ref="BP7:BQ9" si="72">+BP24+BP32</f>
        <v>130140.06262000004</v>
      </c>
      <c r="BQ7" s="36">
        <f t="shared" si="72"/>
        <v>131716.61007000005</v>
      </c>
      <c r="BR7" s="36">
        <f t="shared" ref="BR7:BS9" si="73">+BR24+BR32</f>
        <v>130572.91972000003</v>
      </c>
      <c r="BS7" s="36">
        <f t="shared" si="73"/>
        <v>130472.79450000003</v>
      </c>
      <c r="BT7" s="36">
        <f t="shared" ref="BT7:BU9" si="74">+BT24+BT32</f>
        <v>130550.45947000005</v>
      </c>
      <c r="BU7" s="36">
        <f t="shared" si="74"/>
        <v>137812.10081000003</v>
      </c>
      <c r="BV7" s="36">
        <f t="shared" ref="BV7:BW9" si="75">+BV24+BV32</f>
        <v>138720.20901000002</v>
      </c>
      <c r="BW7" s="36">
        <f t="shared" si="75"/>
        <v>142310.64287000004</v>
      </c>
      <c r="BX7" s="36">
        <f t="shared" ref="BX7:BY9" si="76">+BX24+BX32</f>
        <v>149964.23125000004</v>
      </c>
      <c r="BY7" s="36">
        <f t="shared" si="76"/>
        <v>145188.31445000003</v>
      </c>
      <c r="BZ7" s="36">
        <f t="shared" ref="BZ7:CA9" si="77">+BZ24+BZ32</f>
        <v>136822.90502000001</v>
      </c>
      <c r="CA7" s="36">
        <f t="shared" si="77"/>
        <v>135159.32468999998</v>
      </c>
      <c r="CB7" s="36">
        <f t="shared" ref="CB7:CC9" si="78">+CB24+CB32</f>
        <v>139589.23814999999</v>
      </c>
      <c r="CC7" s="36">
        <f t="shared" si="78"/>
        <v>140738.95638999998</v>
      </c>
      <c r="CD7" s="36">
        <f t="shared" ref="CD7:CE7" si="79">+CD24+CD32</f>
        <v>143678.08331999995</v>
      </c>
      <c r="CE7" s="36">
        <f t="shared" si="79"/>
        <v>149822.34525999994</v>
      </c>
      <c r="CF7" s="36">
        <f t="shared" ref="CF7:CG7" si="80">+CF24+CF32</f>
        <v>147656.38191999999</v>
      </c>
      <c r="CG7" s="36">
        <f t="shared" si="80"/>
        <v>153368.25453999999</v>
      </c>
      <c r="CH7" s="36">
        <f t="shared" ref="CH7:CI7" si="81">+CH24+CH32</f>
        <v>145635.29442999995</v>
      </c>
      <c r="CI7" s="36">
        <f t="shared" si="81"/>
        <v>148305.94161999997</v>
      </c>
      <c r="CJ7" s="36">
        <f t="shared" ref="CJ7:CK7" si="82">+CJ24+CJ32</f>
        <v>150180.3903399999</v>
      </c>
      <c r="CK7" s="36">
        <f t="shared" si="82"/>
        <v>147052.18285999988</v>
      </c>
      <c r="CL7" s="36">
        <f t="shared" ref="CL7:CM7" si="83">+CL24+CL32</f>
        <v>150522.12186999994</v>
      </c>
      <c r="CM7" s="36">
        <f t="shared" si="83"/>
        <v>152991.20823000002</v>
      </c>
      <c r="CN7" s="36">
        <f t="shared" ref="CN7:CO7" si="84">+CN24+CN32</f>
        <v>156006.00240999996</v>
      </c>
      <c r="CO7" s="36">
        <f t="shared" si="84"/>
        <v>166076.66521000004</v>
      </c>
      <c r="CP7" s="36">
        <f t="shared" ref="CP7:CQ7" si="85">+CP24+CP32</f>
        <v>165798.08522000001</v>
      </c>
      <c r="CQ7" s="36">
        <f t="shared" si="85"/>
        <v>175091.48639999994</v>
      </c>
      <c r="CR7" s="36">
        <f t="shared" ref="CR7:CS7" si="86">+CR24+CR32</f>
        <v>174895.9103499999</v>
      </c>
      <c r="CS7" s="36">
        <f t="shared" si="86"/>
        <v>177789.28842</v>
      </c>
      <c r="CT7" s="36">
        <f t="shared" ref="CT7:CU7" si="87">+CT24+CT32</f>
        <v>175529.74576999989</v>
      </c>
      <c r="CU7" s="36">
        <f t="shared" si="87"/>
        <v>178765.62787999993</v>
      </c>
      <c r="CV7" s="36">
        <f t="shared" ref="CV7:CW7" si="88">+CV24+CV32</f>
        <v>179701.83305999989</v>
      </c>
      <c r="CW7" s="36">
        <f t="shared" si="88"/>
        <v>179644.62867999991</v>
      </c>
      <c r="CX7" s="36">
        <f t="shared" ref="CX7:CY7" si="89">+CX24+CX32</f>
        <v>170196.09052999999</v>
      </c>
      <c r="CY7" s="36">
        <f t="shared" si="89"/>
        <v>162034.28050999998</v>
      </c>
      <c r="CZ7" s="36">
        <f t="shared" ref="CZ7:DB8" si="90">+CZ24+CZ32</f>
        <v>163381.23394999997</v>
      </c>
      <c r="DA7" s="36">
        <f t="shared" si="90"/>
        <v>169864.93302999993</v>
      </c>
      <c r="DB7" s="36">
        <f t="shared" si="90"/>
        <v>172396.62088999999</v>
      </c>
      <c r="DC7" s="36">
        <f t="shared" ref="DC7:DD7" si="91">+DC24+DC32</f>
        <v>168726.99059999987</v>
      </c>
      <c r="DD7" s="36">
        <f t="shared" si="91"/>
        <v>162595.44530999984</v>
      </c>
      <c r="DE7" s="36">
        <f t="shared" ref="DE7:DF7" si="92">+DE24+DE32</f>
        <v>165911.51815999989</v>
      </c>
      <c r="DF7" s="36">
        <f t="shared" si="92"/>
        <v>160791.65512999997</v>
      </c>
      <c r="DG7" s="36">
        <f t="shared" ref="DG7" si="93">+DG24+DG32</f>
        <v>170337.72084999975</v>
      </c>
    </row>
    <row r="8" spans="1:111" s="4" customFormat="1" ht="17.25" customHeight="1">
      <c r="A8" s="797"/>
      <c r="B8" s="787" t="s">
        <v>22</v>
      </c>
      <c r="C8" s="788"/>
      <c r="D8" s="78">
        <f t="shared" si="48"/>
        <v>915019.54244999995</v>
      </c>
      <c r="E8" s="78">
        <f t="shared" si="48"/>
        <v>917104.65898999968</v>
      </c>
      <c r="F8" s="37">
        <f t="shared" si="48"/>
        <v>922189.15385999996</v>
      </c>
      <c r="G8" s="37">
        <f t="shared" si="48"/>
        <v>912486.29295999999</v>
      </c>
      <c r="H8" s="37">
        <f t="shared" si="48"/>
        <v>910479.60719999997</v>
      </c>
      <c r="I8" s="37">
        <f t="shared" si="48"/>
        <v>909032.32520000008</v>
      </c>
      <c r="J8" s="37">
        <f t="shared" si="48"/>
        <v>917842.09853999992</v>
      </c>
      <c r="K8" s="37">
        <f t="shared" si="48"/>
        <v>914439.46432000003</v>
      </c>
      <c r="L8" s="37">
        <f t="shared" si="48"/>
        <v>931093.74131999991</v>
      </c>
      <c r="M8" s="37">
        <f t="shared" si="48"/>
        <v>961016.53232000023</v>
      </c>
      <c r="N8" s="37">
        <f t="shared" si="48"/>
        <v>977380.60973999975</v>
      </c>
      <c r="O8" s="37">
        <f t="shared" si="48"/>
        <v>1004800.4017700001</v>
      </c>
      <c r="P8" s="37">
        <f t="shared" si="48"/>
        <v>1031253.2005500001</v>
      </c>
      <c r="Q8" s="37">
        <f t="shared" si="48"/>
        <v>1055701.57996</v>
      </c>
      <c r="R8" s="37">
        <f t="shared" si="49"/>
        <v>1075349.4717000001</v>
      </c>
      <c r="S8" s="37">
        <f t="shared" si="49"/>
        <v>1085149.48765</v>
      </c>
      <c r="T8" s="37">
        <f t="shared" si="50"/>
        <v>1113358.6610599998</v>
      </c>
      <c r="U8" s="37">
        <f t="shared" si="50"/>
        <v>1149491.2423</v>
      </c>
      <c r="V8" s="37">
        <f t="shared" si="51"/>
        <v>1181954.5533499997</v>
      </c>
      <c r="W8" s="37">
        <f t="shared" si="51"/>
        <v>1212295.40588</v>
      </c>
      <c r="X8" s="37">
        <f t="shared" si="52"/>
        <v>1259730.7669800001</v>
      </c>
      <c r="Y8" s="37">
        <f t="shared" si="52"/>
        <v>1302234.4915100001</v>
      </c>
      <c r="Z8" s="37">
        <f t="shared" si="53"/>
        <v>1322903.7461999999</v>
      </c>
      <c r="AA8" s="37">
        <f t="shared" si="53"/>
        <v>1355521.0900300001</v>
      </c>
      <c r="AB8" s="37">
        <f t="shared" si="54"/>
        <v>1380262.8125299998</v>
      </c>
      <c r="AC8" s="37">
        <f t="shared" si="54"/>
        <v>1410503.32779</v>
      </c>
      <c r="AD8" s="37">
        <f t="shared" si="55"/>
        <v>1439239.41692</v>
      </c>
      <c r="AE8" s="37">
        <f t="shared" si="55"/>
        <v>1477331.79473</v>
      </c>
      <c r="AF8" s="37">
        <f t="shared" si="56"/>
        <v>1531871.9641100003</v>
      </c>
      <c r="AG8" s="37">
        <f t="shared" si="56"/>
        <v>1581915.1016300002</v>
      </c>
      <c r="AH8" s="37">
        <f t="shared" si="57"/>
        <v>1648447.5077199999</v>
      </c>
      <c r="AI8" s="37">
        <f t="shared" si="57"/>
        <v>1711199.2546899999</v>
      </c>
      <c r="AJ8" s="37">
        <f t="shared" si="58"/>
        <v>1795911.1565700001</v>
      </c>
      <c r="AK8" s="37">
        <f t="shared" si="58"/>
        <v>1873066.43239</v>
      </c>
      <c r="AL8" s="37">
        <f t="shared" si="58"/>
        <v>1946680.8883499999</v>
      </c>
      <c r="AM8" s="37">
        <f t="shared" si="58"/>
        <v>2029217.5958400001</v>
      </c>
      <c r="AN8" s="37">
        <f t="shared" si="59"/>
        <v>2098189.7286399999</v>
      </c>
      <c r="AO8" s="37">
        <f t="shared" si="59"/>
        <v>2187079.8684800002</v>
      </c>
      <c r="AP8" s="37">
        <f t="shared" si="60"/>
        <v>2278638.87989</v>
      </c>
      <c r="AQ8" s="37">
        <f t="shared" si="60"/>
        <v>2348474.0025800001</v>
      </c>
      <c r="AR8" s="37">
        <f t="shared" si="60"/>
        <v>2473920.6345000002</v>
      </c>
      <c r="AS8" s="37">
        <f t="shared" si="60"/>
        <v>2581715.0257299999</v>
      </c>
      <c r="AT8" s="37">
        <f t="shared" si="61"/>
        <v>2711270.5717199999</v>
      </c>
      <c r="AU8" s="37">
        <f t="shared" si="61"/>
        <v>2853895.7620399999</v>
      </c>
      <c r="AV8" s="37">
        <f t="shared" si="62"/>
        <v>2967787.8059300003</v>
      </c>
      <c r="AW8" s="37">
        <f t="shared" si="62"/>
        <v>3072339.4390599998</v>
      </c>
      <c r="AX8" s="37">
        <f t="shared" si="63"/>
        <v>3170580.3731699996</v>
      </c>
      <c r="AY8" s="37">
        <f t="shared" si="63"/>
        <v>3273412.2179700001</v>
      </c>
      <c r="AZ8" s="37">
        <f t="shared" si="64"/>
        <v>3372864.9701300003</v>
      </c>
      <c r="BA8" s="37">
        <f t="shared" si="64"/>
        <v>3439258.4741600002</v>
      </c>
      <c r="BB8" s="37">
        <f t="shared" si="65"/>
        <v>3491374.6339499997</v>
      </c>
      <c r="BC8" s="37">
        <f t="shared" si="65"/>
        <v>3553386.3580899998</v>
      </c>
      <c r="BD8" s="37">
        <f t="shared" si="66"/>
        <v>3663972.2949300008</v>
      </c>
      <c r="BE8" s="37">
        <f t="shared" si="66"/>
        <v>3746036.0565599999</v>
      </c>
      <c r="BF8" s="37">
        <f t="shared" si="67"/>
        <v>3836295.23367</v>
      </c>
      <c r="BG8" s="37">
        <f t="shared" si="67"/>
        <v>3931048.5929800007</v>
      </c>
      <c r="BH8" s="37">
        <f t="shared" si="68"/>
        <v>4020374.76963</v>
      </c>
      <c r="BI8" s="37">
        <f t="shared" si="68"/>
        <v>4098886.6505899997</v>
      </c>
      <c r="BJ8" s="37">
        <f t="shared" si="69"/>
        <v>4167313.5686699999</v>
      </c>
      <c r="BK8" s="37">
        <f t="shared" si="69"/>
        <v>4264916.4293999998</v>
      </c>
      <c r="BL8" s="37">
        <f t="shared" si="70"/>
        <v>4339767.6534999991</v>
      </c>
      <c r="BM8" s="37">
        <f t="shared" si="70"/>
        <v>4399285.0981899993</v>
      </c>
      <c r="BN8" s="37">
        <f t="shared" si="71"/>
        <v>4399216.6459499998</v>
      </c>
      <c r="BO8" s="37">
        <f t="shared" si="71"/>
        <v>4413132.0986099998</v>
      </c>
      <c r="BP8" s="37">
        <f t="shared" si="72"/>
        <v>4502969.9708899995</v>
      </c>
      <c r="BQ8" s="37">
        <f t="shared" si="72"/>
        <v>4541114.0338499993</v>
      </c>
      <c r="BR8" s="37">
        <f t="shared" si="73"/>
        <v>4625375.6483599991</v>
      </c>
      <c r="BS8" s="37">
        <f t="shared" si="73"/>
        <v>4706246.4083399996</v>
      </c>
      <c r="BT8" s="37">
        <f t="shared" si="74"/>
        <v>4775749.6981300004</v>
      </c>
      <c r="BU8" s="37">
        <f t="shared" si="74"/>
        <v>4866816.91371</v>
      </c>
      <c r="BV8" s="37">
        <f t="shared" si="75"/>
        <v>4928609.0918399999</v>
      </c>
      <c r="BW8" s="37">
        <f t="shared" si="75"/>
        <v>5027886.1191100003</v>
      </c>
      <c r="BX8" s="37">
        <f t="shared" si="76"/>
        <v>5058704.0532999998</v>
      </c>
      <c r="BY8" s="37">
        <f t="shared" si="76"/>
        <v>5185384.8024200005</v>
      </c>
      <c r="BZ8" s="37">
        <f t="shared" si="77"/>
        <v>5277886.6183700003</v>
      </c>
      <c r="CA8" s="37">
        <f t="shared" si="77"/>
        <v>5335256.2291299999</v>
      </c>
      <c r="CB8" s="37">
        <f t="shared" si="78"/>
        <v>5418748.8715999993</v>
      </c>
      <c r="CC8" s="37">
        <f t="shared" si="78"/>
        <v>5499348.3040700015</v>
      </c>
      <c r="CD8" s="37">
        <f t="shared" ref="CD8:CE8" si="94">+CD25+CD33</f>
        <v>5592058.8479699995</v>
      </c>
      <c r="CE8" s="37">
        <f t="shared" si="94"/>
        <v>5663128.9395299992</v>
      </c>
      <c r="CF8" s="37">
        <f t="shared" ref="CF8:CG8" si="95">+CF25+CF33</f>
        <v>5743879.1400000006</v>
      </c>
      <c r="CG8" s="37">
        <f t="shared" si="95"/>
        <v>5917683.5996899996</v>
      </c>
      <c r="CH8" s="37">
        <f t="shared" ref="CH8:CI8" si="96">+CH25+CH33</f>
        <v>5910920.8183899997</v>
      </c>
      <c r="CI8" s="37">
        <f t="shared" si="96"/>
        <v>6038350.5558900004</v>
      </c>
      <c r="CJ8" s="37">
        <f t="shared" ref="CJ8:CK8" si="97">+CJ25+CJ33</f>
        <v>6110083.4711900009</v>
      </c>
      <c r="CK8" s="37">
        <f t="shared" si="97"/>
        <v>6181914.0187099995</v>
      </c>
      <c r="CL8" s="37">
        <f t="shared" ref="CL8:CM8" si="98">+CL25+CL33</f>
        <v>6258638.6270899996</v>
      </c>
      <c r="CM8" s="37">
        <f t="shared" si="98"/>
        <v>6299893.8693300001</v>
      </c>
      <c r="CN8" s="37">
        <f t="shared" ref="CN8:CO8" si="99">+CN25+CN33</f>
        <v>6407218.40099</v>
      </c>
      <c r="CO8" s="37">
        <f t="shared" si="99"/>
        <v>6457150.8812299995</v>
      </c>
      <c r="CP8" s="37">
        <f t="shared" ref="CP8:CQ8" si="100">+CP25+CP33</f>
        <v>6570095.5630200002</v>
      </c>
      <c r="CQ8" s="37">
        <f t="shared" si="100"/>
        <v>6618465.8110900009</v>
      </c>
      <c r="CR8" s="37">
        <f t="shared" ref="CR8:CS8" si="101">+CR25+CR33</f>
        <v>6693970.9424900003</v>
      </c>
      <c r="CS8" s="37">
        <f t="shared" si="101"/>
        <v>6743843.3635199992</v>
      </c>
      <c r="CT8" s="37">
        <f t="shared" ref="CT8:CU8" si="102">+CT25+CT33</f>
        <v>6794183.3402699996</v>
      </c>
      <c r="CU8" s="37">
        <f t="shared" si="102"/>
        <v>6868766.3968600007</v>
      </c>
      <c r="CV8" s="37">
        <f>+CV25+CV33</f>
        <v>6884405.5043400005</v>
      </c>
      <c r="CW8" s="37">
        <f>+CW25+CW33</f>
        <v>6871188.7433600016</v>
      </c>
      <c r="CX8" s="37">
        <f>+CX25+CX33</f>
        <v>6924971.1488999994</v>
      </c>
      <c r="CY8" s="37">
        <f>+CY25+CY33</f>
        <v>6942059.6523399996</v>
      </c>
      <c r="CZ8" s="37">
        <f t="shared" si="90"/>
        <v>7012142.4252399988</v>
      </c>
      <c r="DA8" s="37">
        <f t="shared" si="90"/>
        <v>7075604.0133600011</v>
      </c>
      <c r="DB8" s="37">
        <f t="shared" si="90"/>
        <v>7124307.5570800006</v>
      </c>
      <c r="DC8" s="37">
        <f t="shared" ref="DC8:DD8" si="103">+DC25+DC33</f>
        <v>7152758.557190001</v>
      </c>
      <c r="DD8" s="37">
        <f t="shared" si="103"/>
        <v>7280983.2690500002</v>
      </c>
      <c r="DE8" s="37">
        <f t="shared" ref="DE8:DF8" si="104">+DE25+DE33</f>
        <v>7418614.4448100002</v>
      </c>
      <c r="DF8" s="37">
        <f t="shared" si="104"/>
        <v>7533098.7528800005</v>
      </c>
      <c r="DG8" s="37">
        <f t="shared" ref="DG8" si="105">+DG25+DG33</f>
        <v>7725305.5665999986</v>
      </c>
    </row>
    <row r="9" spans="1:111" s="4" customFormat="1" ht="17.25" customHeight="1">
      <c r="A9" s="797"/>
      <c r="B9" s="794" t="s">
        <v>23</v>
      </c>
      <c r="C9" s="795"/>
      <c r="D9" s="79">
        <f t="shared" si="48"/>
        <v>37611.230689999269</v>
      </c>
      <c r="E9" s="79">
        <f t="shared" si="48"/>
        <v>44531.366240000294</v>
      </c>
      <c r="F9" s="38">
        <f t="shared" si="48"/>
        <v>38143.410489999063</v>
      </c>
      <c r="G9" s="38">
        <f t="shared" si="48"/>
        <v>40271.973129999024</v>
      </c>
      <c r="H9" s="38">
        <f t="shared" si="48"/>
        <v>34160.322219999951</v>
      </c>
      <c r="I9" s="38">
        <f t="shared" si="48"/>
        <v>35895.468930000061</v>
      </c>
      <c r="J9" s="38">
        <f t="shared" si="48"/>
        <v>35171.692259999982</v>
      </c>
      <c r="K9" s="38">
        <f t="shared" si="48"/>
        <v>47295.180489999984</v>
      </c>
      <c r="L9" s="38">
        <f t="shared" si="48"/>
        <v>51046.129140000005</v>
      </c>
      <c r="M9" s="38">
        <f t="shared" si="48"/>
        <v>41812.714849999888</v>
      </c>
      <c r="N9" s="38">
        <f t="shared" si="48"/>
        <v>50299.258840000126</v>
      </c>
      <c r="O9" s="38">
        <f t="shared" si="48"/>
        <v>49390.168749999953</v>
      </c>
      <c r="P9" s="38">
        <f t="shared" si="48"/>
        <v>53766.809129999907</v>
      </c>
      <c r="Q9" s="38">
        <f t="shared" si="48"/>
        <v>56818.32432999993</v>
      </c>
      <c r="R9" s="38">
        <f t="shared" si="49"/>
        <v>50556.622500000012</v>
      </c>
      <c r="S9" s="38">
        <f t="shared" si="49"/>
        <v>54977.190590000188</v>
      </c>
      <c r="T9" s="38">
        <f t="shared" si="50"/>
        <v>65850.361520000035</v>
      </c>
      <c r="U9" s="38">
        <f t="shared" si="50"/>
        <v>62222.603589999955</v>
      </c>
      <c r="V9" s="38">
        <f t="shared" si="51"/>
        <v>61291.298350000405</v>
      </c>
      <c r="W9" s="38">
        <f t="shared" si="51"/>
        <v>70766.312989999831</v>
      </c>
      <c r="X9" s="38">
        <f t="shared" si="52"/>
        <v>76521.531409999938</v>
      </c>
      <c r="Y9" s="38">
        <f t="shared" si="52"/>
        <v>69207.697490000195</v>
      </c>
      <c r="Z9" s="38">
        <f t="shared" si="53"/>
        <v>75272.447140000033</v>
      </c>
      <c r="AA9" s="38">
        <f t="shared" si="53"/>
        <v>69105.966049999843</v>
      </c>
      <c r="AB9" s="38">
        <f t="shared" si="54"/>
        <v>71645.671079999593</v>
      </c>
      <c r="AC9" s="38">
        <f t="shared" si="54"/>
        <v>77356.111759999971</v>
      </c>
      <c r="AD9" s="38">
        <f t="shared" si="55"/>
        <v>75128.106830000557</v>
      </c>
      <c r="AE9" s="38">
        <f t="shared" si="55"/>
        <v>83160.201020000153</v>
      </c>
      <c r="AF9" s="38">
        <f t="shared" si="56"/>
        <v>87340.383959999832</v>
      </c>
      <c r="AG9" s="38">
        <f t="shared" si="56"/>
        <v>96228.76118000003</v>
      </c>
      <c r="AH9" s="38">
        <f t="shared" si="57"/>
        <v>96772.010049999401</v>
      </c>
      <c r="AI9" s="38">
        <f t="shared" si="57"/>
        <v>97784.502200000512</v>
      </c>
      <c r="AJ9" s="38">
        <f t="shared" si="58"/>
        <v>91309.155869999668</v>
      </c>
      <c r="AK9" s="38">
        <f t="shared" si="58"/>
        <v>235607.48212999996</v>
      </c>
      <c r="AL9" s="38">
        <f t="shared" si="58"/>
        <v>97205.779480000201</v>
      </c>
      <c r="AM9" s="38">
        <f>+AM26+AM34</f>
        <v>93077.46841000038</v>
      </c>
      <c r="AN9" s="38">
        <f t="shared" si="59"/>
        <v>108664.49617999973</v>
      </c>
      <c r="AO9" s="38">
        <f t="shared" si="59"/>
        <v>112330.95616000029</v>
      </c>
      <c r="AP9" s="38">
        <f t="shared" si="60"/>
        <v>108199.03608999972</v>
      </c>
      <c r="AQ9" s="38">
        <f t="shared" si="60"/>
        <v>122578.32646000007</v>
      </c>
      <c r="AR9" s="38">
        <f t="shared" si="60"/>
        <v>112340.4008900004</v>
      </c>
      <c r="AS9" s="38">
        <f t="shared" si="60"/>
        <v>126451.98986999941</v>
      </c>
      <c r="AT9" s="38">
        <f t="shared" si="61"/>
        <v>135161.30659000023</v>
      </c>
      <c r="AU9" s="38">
        <f t="shared" si="61"/>
        <v>124653.92540000001</v>
      </c>
      <c r="AV9" s="38">
        <f t="shared" si="62"/>
        <v>120343.64373999997</v>
      </c>
      <c r="AW9" s="38">
        <f t="shared" si="62"/>
        <v>123801.95185999968</v>
      </c>
      <c r="AX9" s="38">
        <f t="shared" si="63"/>
        <v>122113.33739999973</v>
      </c>
      <c r="AY9" s="38">
        <f t="shared" si="63"/>
        <v>142644.83741999988</v>
      </c>
      <c r="AZ9" s="38">
        <f t="shared" si="64"/>
        <v>133275.41498000041</v>
      </c>
      <c r="BA9" s="38">
        <f t="shared" si="64"/>
        <v>124472.71536000021</v>
      </c>
      <c r="BB9" s="38">
        <f t="shared" si="65"/>
        <v>143055.9686900003</v>
      </c>
      <c r="BC9" s="38">
        <f t="shared" si="65"/>
        <v>187848.81236532441</v>
      </c>
      <c r="BD9" s="38">
        <f t="shared" si="66"/>
        <v>178794.37535627425</v>
      </c>
      <c r="BE9" s="38">
        <f t="shared" si="66"/>
        <v>191345.10860566172</v>
      </c>
      <c r="BF9" s="38">
        <f t="shared" si="67"/>
        <v>210862.69604529475</v>
      </c>
      <c r="BG9" s="38">
        <f t="shared" si="67"/>
        <v>220596.66293912963</v>
      </c>
      <c r="BH9" s="38">
        <f t="shared" si="68"/>
        <v>214619.5543899996</v>
      </c>
      <c r="BI9" s="38">
        <f t="shared" si="68"/>
        <v>225483.9901109293</v>
      </c>
      <c r="BJ9" s="38">
        <f t="shared" si="69"/>
        <v>225240.56901999959</v>
      </c>
      <c r="BK9" s="38">
        <f t="shared" si="69"/>
        <v>232857.73017237883</v>
      </c>
      <c r="BL9" s="38">
        <f t="shared" si="70"/>
        <v>223751.41740000079</v>
      </c>
      <c r="BM9" s="38">
        <f t="shared" si="70"/>
        <v>220729.62005192519</v>
      </c>
      <c r="BN9" s="38">
        <f t="shared" si="71"/>
        <v>250371.93439006846</v>
      </c>
      <c r="BO9" s="38">
        <f t="shared" si="71"/>
        <v>306138.13906082988</v>
      </c>
      <c r="BP9" s="38">
        <f t="shared" si="72"/>
        <v>244903.57743000041</v>
      </c>
      <c r="BQ9" s="38">
        <f t="shared" si="72"/>
        <v>271302.07351740124</v>
      </c>
      <c r="BR9" s="38">
        <f t="shared" si="73"/>
        <v>270430.54348999972</v>
      </c>
      <c r="BS9" s="38">
        <f t="shared" si="73"/>
        <v>273658.09241324133</v>
      </c>
      <c r="BT9" s="38">
        <f t="shared" si="74"/>
        <v>274982.7898599999</v>
      </c>
      <c r="BU9" s="38">
        <f t="shared" si="74"/>
        <v>266846.53011000046</v>
      </c>
      <c r="BV9" s="38">
        <f t="shared" si="75"/>
        <v>288372.59207000077</v>
      </c>
      <c r="BW9" s="38">
        <f t="shared" si="75"/>
        <v>277113.72925000073</v>
      </c>
      <c r="BX9" s="38">
        <f t="shared" si="76"/>
        <v>339576.82306000026</v>
      </c>
      <c r="BY9" s="38">
        <f t="shared" si="76"/>
        <v>283162.08340897132</v>
      </c>
      <c r="BZ9" s="38">
        <f t="shared" si="77"/>
        <v>264950.6704770283</v>
      </c>
      <c r="CA9" s="38">
        <f t="shared" si="77"/>
        <v>307898.73114000063</v>
      </c>
      <c r="CB9" s="38">
        <f t="shared" si="78"/>
        <v>313391.73463465349</v>
      </c>
      <c r="CC9" s="38">
        <f t="shared" si="78"/>
        <v>325366.78560558741</v>
      </c>
      <c r="CD9" s="38">
        <f t="shared" ref="CD9:CE9" si="106">+CD26+CD34</f>
        <v>323847.84013316344</v>
      </c>
      <c r="CE9" s="38">
        <f t="shared" si="106"/>
        <v>312151.15751293587</v>
      </c>
      <c r="CF9" s="38">
        <f t="shared" ref="CF9:CG9" si="107">+CF26+CF34</f>
        <v>325872.64959228475</v>
      </c>
      <c r="CG9" s="38">
        <f t="shared" si="107"/>
        <v>238120.93942291487</v>
      </c>
      <c r="CH9" s="38">
        <f t="shared" ref="CH9:CI9" si="108">+CH26+CH34</f>
        <v>347958.07052342361</v>
      </c>
      <c r="CI9" s="38">
        <f t="shared" si="108"/>
        <v>323327.96687057486</v>
      </c>
      <c r="CJ9" s="38">
        <f t="shared" ref="CJ9:CK9" si="109">+CJ26+CJ34</f>
        <v>324845.14517000009</v>
      </c>
      <c r="CK9" s="38">
        <f t="shared" si="109"/>
        <v>338329.61537093576</v>
      </c>
      <c r="CL9" s="38">
        <f t="shared" ref="CL9:CM9" si="110">+CL26+CL34</f>
        <v>332258.088573883</v>
      </c>
      <c r="CM9" s="38">
        <f t="shared" si="110"/>
        <v>384545.84574000037</v>
      </c>
      <c r="CN9" s="38">
        <f t="shared" ref="CN9:CO9" si="111">+CN26+CN34</f>
        <v>347470.07908000005</v>
      </c>
      <c r="CO9" s="38">
        <f t="shared" si="111"/>
        <v>374919.17330000078</v>
      </c>
      <c r="CP9" s="38">
        <f t="shared" ref="CP9:CQ9" si="112">+CP26+CP34</f>
        <v>341788.09346000088</v>
      </c>
      <c r="CQ9" s="38">
        <f t="shared" si="112"/>
        <v>355733.4060500015</v>
      </c>
      <c r="CR9" s="38">
        <f t="shared" ref="CR9:CS9" si="113">+CR26+CR34</f>
        <v>352790.58917999966</v>
      </c>
      <c r="CS9" s="38">
        <f t="shared" si="113"/>
        <v>345061.26539000106</v>
      </c>
      <c r="CT9" s="38">
        <f t="shared" ref="CT9:CU9" si="114">+CT26+CT34</f>
        <v>342025.3238000003</v>
      </c>
      <c r="CU9" s="38">
        <f t="shared" si="114"/>
        <v>334436.48979000037</v>
      </c>
      <c r="CV9" s="38">
        <f t="shared" ref="CV9:CW9" si="115">+CV26+CV34</f>
        <v>333863.85334999976</v>
      </c>
      <c r="CW9" s="38">
        <f t="shared" si="115"/>
        <v>408403.58065999945</v>
      </c>
      <c r="CX9" s="38">
        <f t="shared" ref="CX9:CY9" si="116">+CX26+CX34</f>
        <v>394159.22550999979</v>
      </c>
      <c r="CY9" s="38">
        <f t="shared" si="116"/>
        <v>438947.77754999982</v>
      </c>
      <c r="CZ9" s="38">
        <f t="shared" ref="CZ9:DA9" si="117">+CZ26+CZ34</f>
        <v>448392.12344000075</v>
      </c>
      <c r="DA9" s="38">
        <f t="shared" si="117"/>
        <v>432505.17061998916</v>
      </c>
      <c r="DB9" s="38">
        <f t="shared" ref="DB9:DC9" si="118">+DB26+DB34</f>
        <v>451098.81582998938</v>
      </c>
      <c r="DC9" s="38">
        <f t="shared" si="118"/>
        <v>547643.76615998906</v>
      </c>
      <c r="DD9" s="38">
        <f t="shared" ref="DD9:DE9" si="119">+DD26+DD34</f>
        <v>574117.0770999894</v>
      </c>
      <c r="DE9" s="38">
        <f t="shared" si="119"/>
        <v>567141.60908998968</v>
      </c>
      <c r="DF9" s="38">
        <f t="shared" ref="DF9:DG9" si="120">+DF26+DF34</f>
        <v>633313.50568999036</v>
      </c>
      <c r="DG9" s="38">
        <f t="shared" si="120"/>
        <v>587807.01789999031</v>
      </c>
    </row>
    <row r="10" spans="1:111" s="4" customFormat="1" ht="17.25" customHeight="1">
      <c r="A10" s="797"/>
      <c r="B10" s="852" t="s">
        <v>24</v>
      </c>
      <c r="C10" s="853"/>
      <c r="D10" s="80">
        <f t="shared" ref="D10:S10" si="121">+D8+D9</f>
        <v>952630.77313999925</v>
      </c>
      <c r="E10" s="80">
        <f t="shared" si="121"/>
        <v>961636.02523000003</v>
      </c>
      <c r="F10" s="63">
        <f t="shared" si="121"/>
        <v>960332.56434999907</v>
      </c>
      <c r="G10" s="63">
        <f t="shared" si="121"/>
        <v>952758.266089999</v>
      </c>
      <c r="H10" s="63">
        <f t="shared" si="121"/>
        <v>944639.92941999994</v>
      </c>
      <c r="I10" s="63">
        <f t="shared" si="121"/>
        <v>944927.79413000017</v>
      </c>
      <c r="J10" s="63">
        <f t="shared" si="121"/>
        <v>953013.79079999984</v>
      </c>
      <c r="K10" s="63">
        <f t="shared" si="121"/>
        <v>961734.64480999997</v>
      </c>
      <c r="L10" s="63">
        <f t="shared" si="121"/>
        <v>982139.87045999989</v>
      </c>
      <c r="M10" s="63">
        <f t="shared" si="121"/>
        <v>1002829.2471700001</v>
      </c>
      <c r="N10" s="63">
        <f t="shared" si="121"/>
        <v>1027679.8685799999</v>
      </c>
      <c r="O10" s="63">
        <f t="shared" si="121"/>
        <v>1054190.5705200001</v>
      </c>
      <c r="P10" s="63">
        <f t="shared" si="121"/>
        <v>1085020.0096799999</v>
      </c>
      <c r="Q10" s="63">
        <f t="shared" si="121"/>
        <v>1112519.90429</v>
      </c>
      <c r="R10" s="63">
        <f t="shared" si="121"/>
        <v>1125906.0942000002</v>
      </c>
      <c r="S10" s="63">
        <f t="shared" si="121"/>
        <v>1140126.6782400003</v>
      </c>
      <c r="T10" s="63">
        <f t="shared" ref="T10:Y10" si="122">+T8+T9</f>
        <v>1179209.0225799999</v>
      </c>
      <c r="U10" s="63">
        <f t="shared" si="122"/>
        <v>1211713.84589</v>
      </c>
      <c r="V10" s="63">
        <f t="shared" si="122"/>
        <v>1243245.8517</v>
      </c>
      <c r="W10" s="63">
        <f t="shared" si="122"/>
        <v>1283061.7188699997</v>
      </c>
      <c r="X10" s="63">
        <f t="shared" si="122"/>
        <v>1336252.2983900001</v>
      </c>
      <c r="Y10" s="63">
        <f t="shared" si="122"/>
        <v>1371442.1890000002</v>
      </c>
      <c r="Z10" s="63">
        <f t="shared" ref="Z10:AE10" si="123">+Z8+Z9</f>
        <v>1398176.19334</v>
      </c>
      <c r="AA10" s="63">
        <f t="shared" si="123"/>
        <v>1424627.05608</v>
      </c>
      <c r="AB10" s="63">
        <f t="shared" si="123"/>
        <v>1451908.4836099993</v>
      </c>
      <c r="AC10" s="63">
        <f t="shared" si="123"/>
        <v>1487859.43955</v>
      </c>
      <c r="AD10" s="63">
        <f t="shared" si="123"/>
        <v>1514367.5237500006</v>
      </c>
      <c r="AE10" s="63">
        <f t="shared" si="123"/>
        <v>1560491.9957500002</v>
      </c>
      <c r="AF10" s="63">
        <f t="shared" ref="AF10:AL10" si="124">+AF8+AF9</f>
        <v>1619212.3480700001</v>
      </c>
      <c r="AG10" s="63">
        <f t="shared" si="124"/>
        <v>1678143.8628100003</v>
      </c>
      <c r="AH10" s="63">
        <f t="shared" si="124"/>
        <v>1745219.5177699993</v>
      </c>
      <c r="AI10" s="63">
        <f t="shared" si="124"/>
        <v>1808983.7568900003</v>
      </c>
      <c r="AJ10" s="63">
        <f t="shared" si="124"/>
        <v>1887220.3124399998</v>
      </c>
      <c r="AK10" s="63">
        <f t="shared" si="124"/>
        <v>2108673.9145200001</v>
      </c>
      <c r="AL10" s="63">
        <f t="shared" si="124"/>
        <v>2043886.6678300002</v>
      </c>
      <c r="AM10" s="63">
        <f t="shared" ref="AM10:AS10" si="125">+AM8+AM9</f>
        <v>2122295.0642500003</v>
      </c>
      <c r="AN10" s="63">
        <f t="shared" si="125"/>
        <v>2206854.2248199997</v>
      </c>
      <c r="AO10" s="63">
        <f t="shared" si="125"/>
        <v>2299410.8246400002</v>
      </c>
      <c r="AP10" s="63">
        <f t="shared" si="125"/>
        <v>2386837.9159799996</v>
      </c>
      <c r="AQ10" s="63">
        <f t="shared" si="125"/>
        <v>2471052.3290400002</v>
      </c>
      <c r="AR10" s="63">
        <f t="shared" si="125"/>
        <v>2586261.0353900008</v>
      </c>
      <c r="AS10" s="63">
        <f t="shared" si="125"/>
        <v>2708167.0155999991</v>
      </c>
      <c r="AT10" s="63">
        <f t="shared" ref="AT10:AZ10" si="126">+AT8+AT9</f>
        <v>2846431.8783100001</v>
      </c>
      <c r="AU10" s="63">
        <f t="shared" si="126"/>
        <v>2978549.68744</v>
      </c>
      <c r="AV10" s="63">
        <f t="shared" si="126"/>
        <v>3088131.44967</v>
      </c>
      <c r="AW10" s="63">
        <f t="shared" si="126"/>
        <v>3196141.3909199992</v>
      </c>
      <c r="AX10" s="63">
        <f t="shared" si="126"/>
        <v>3292693.7105699992</v>
      </c>
      <c r="AY10" s="63">
        <f t="shared" si="126"/>
        <v>3416057.0553899999</v>
      </c>
      <c r="AZ10" s="63">
        <f t="shared" si="126"/>
        <v>3506140.3851100006</v>
      </c>
      <c r="BA10" s="63">
        <f t="shared" ref="BA10:BG10" si="127">+BA8+BA9</f>
        <v>3563731.1895200005</v>
      </c>
      <c r="BB10" s="63">
        <f t="shared" si="127"/>
        <v>3634430.6026400002</v>
      </c>
      <c r="BC10" s="63">
        <f t="shared" si="127"/>
        <v>3741235.170455324</v>
      </c>
      <c r="BD10" s="63">
        <f t="shared" si="127"/>
        <v>3842766.670286275</v>
      </c>
      <c r="BE10" s="63">
        <f t="shared" si="127"/>
        <v>3937381.1651656618</v>
      </c>
      <c r="BF10" s="63">
        <f t="shared" si="127"/>
        <v>4047157.9297152949</v>
      </c>
      <c r="BG10" s="63">
        <f t="shared" si="127"/>
        <v>4151645.2559191305</v>
      </c>
      <c r="BH10" s="63">
        <f t="shared" ref="BH10:BM10" si="128">+BH8+BH9</f>
        <v>4234994.3240199992</v>
      </c>
      <c r="BI10" s="63">
        <f t="shared" si="128"/>
        <v>4324370.6407009289</v>
      </c>
      <c r="BJ10" s="63">
        <f t="shared" si="128"/>
        <v>4392554.1376899993</v>
      </c>
      <c r="BK10" s="63">
        <f t="shared" si="128"/>
        <v>4497774.1595723787</v>
      </c>
      <c r="BL10" s="63">
        <f t="shared" si="128"/>
        <v>4563519.0708999997</v>
      </c>
      <c r="BM10" s="63">
        <f t="shared" si="128"/>
        <v>4620014.7182419244</v>
      </c>
      <c r="BN10" s="63">
        <f t="shared" ref="BN10:BS10" si="129">+BN8+BN9</f>
        <v>4649588.5803400679</v>
      </c>
      <c r="BO10" s="63">
        <f t="shared" si="129"/>
        <v>4719270.2376708295</v>
      </c>
      <c r="BP10" s="63">
        <f t="shared" si="129"/>
        <v>4747873.5483200001</v>
      </c>
      <c r="BQ10" s="63">
        <f t="shared" si="129"/>
        <v>4812416.1073674001</v>
      </c>
      <c r="BR10" s="63">
        <f t="shared" si="129"/>
        <v>4895806.1918499991</v>
      </c>
      <c r="BS10" s="63">
        <f t="shared" si="129"/>
        <v>4979904.5007532407</v>
      </c>
      <c r="BT10" s="63">
        <f t="shared" ref="BT10:BY10" si="130">+BT8+BT9</f>
        <v>5050732.4879900003</v>
      </c>
      <c r="BU10" s="63">
        <f t="shared" si="130"/>
        <v>5133663.4438200006</v>
      </c>
      <c r="BV10" s="63">
        <f t="shared" si="130"/>
        <v>5216981.6839100011</v>
      </c>
      <c r="BW10" s="63">
        <f t="shared" si="130"/>
        <v>5304999.8483600011</v>
      </c>
      <c r="BX10" s="63">
        <f t="shared" si="130"/>
        <v>5398280.8763600001</v>
      </c>
      <c r="BY10" s="63">
        <f t="shared" si="130"/>
        <v>5468546.8858289719</v>
      </c>
      <c r="BZ10" s="63">
        <f t="shared" ref="BZ10:CE10" si="131">+BZ8+BZ9</f>
        <v>5542837.2888470283</v>
      </c>
      <c r="CA10" s="63">
        <f t="shared" si="131"/>
        <v>5643154.9602700006</v>
      </c>
      <c r="CB10" s="63">
        <f t="shared" si="131"/>
        <v>5732140.6062346529</v>
      </c>
      <c r="CC10" s="63">
        <f t="shared" si="131"/>
        <v>5824715.0896755885</v>
      </c>
      <c r="CD10" s="63">
        <f t="shared" si="131"/>
        <v>5915906.6881031627</v>
      </c>
      <c r="CE10" s="63">
        <f t="shared" si="131"/>
        <v>5975280.097042935</v>
      </c>
      <c r="CF10" s="63">
        <f t="shared" ref="CF10:CG10" si="132">+CF8+CF9</f>
        <v>6069751.7895922856</v>
      </c>
      <c r="CG10" s="63">
        <f t="shared" si="132"/>
        <v>6155804.5391129144</v>
      </c>
      <c r="CH10" s="63">
        <f t="shared" ref="CH10:CI10" si="133">+CH8+CH9</f>
        <v>6258878.8889134228</v>
      </c>
      <c r="CI10" s="63">
        <f t="shared" si="133"/>
        <v>6361678.5227605756</v>
      </c>
      <c r="CJ10" s="63">
        <f t="shared" ref="CJ10:CK10" si="134">+CJ8+CJ9</f>
        <v>6434928.6163600013</v>
      </c>
      <c r="CK10" s="63">
        <f t="shared" si="134"/>
        <v>6520243.6340809353</v>
      </c>
      <c r="CL10" s="63">
        <f t="shared" ref="CL10:CM10" si="135">+CL8+CL9</f>
        <v>6590896.7156638829</v>
      </c>
      <c r="CM10" s="63">
        <f t="shared" si="135"/>
        <v>6684439.7150700008</v>
      </c>
      <c r="CN10" s="63">
        <f t="shared" ref="CN10:CO10" si="136">+CN8+CN9</f>
        <v>6754688.4800700005</v>
      </c>
      <c r="CO10" s="63">
        <f t="shared" si="136"/>
        <v>6832070.0545300003</v>
      </c>
      <c r="CP10" s="63">
        <f t="shared" ref="CP10:CQ10" si="137">+CP8+CP9</f>
        <v>6911883.6564800013</v>
      </c>
      <c r="CQ10" s="63">
        <f t="shared" si="137"/>
        <v>6974199.2171400022</v>
      </c>
      <c r="CR10" s="63">
        <f t="shared" ref="CR10:CS10" si="138">+CR8+CR9</f>
        <v>7046761.5316700004</v>
      </c>
      <c r="CS10" s="63">
        <f t="shared" si="138"/>
        <v>7088904.6289100004</v>
      </c>
      <c r="CT10" s="63">
        <f t="shared" ref="CT10:CU10" si="139">+CT8+CT9</f>
        <v>7136208.6640699999</v>
      </c>
      <c r="CU10" s="63">
        <f t="shared" si="139"/>
        <v>7203202.8866500007</v>
      </c>
      <c r="CV10" s="63">
        <f t="shared" ref="CV10:CW10" si="140">+CV8+CV9</f>
        <v>7218269.35769</v>
      </c>
      <c r="CW10" s="63">
        <f t="shared" si="140"/>
        <v>7279592.3240200011</v>
      </c>
      <c r="CX10" s="63">
        <f t="shared" ref="CX10:CY10" si="141">+CX8+CX9</f>
        <v>7319130.3744099997</v>
      </c>
      <c r="CY10" s="63">
        <f t="shared" si="141"/>
        <v>7381007.4298899993</v>
      </c>
      <c r="CZ10" s="63">
        <f t="shared" ref="CZ10:DA10" si="142">+CZ8+CZ9</f>
        <v>7460534.54868</v>
      </c>
      <c r="DA10" s="63">
        <f t="shared" si="142"/>
        <v>7508109.18397999</v>
      </c>
      <c r="DB10" s="63">
        <f t="shared" ref="DB10:DC10" si="143">+DB8+DB9</f>
        <v>7575406.3729099901</v>
      </c>
      <c r="DC10" s="63">
        <f t="shared" si="143"/>
        <v>7700402.32334999</v>
      </c>
      <c r="DD10" s="63">
        <f t="shared" ref="DD10:DE10" si="144">+DD8+DD9</f>
        <v>7855100.3461499894</v>
      </c>
      <c r="DE10" s="63">
        <f t="shared" si="144"/>
        <v>7985756.0538999904</v>
      </c>
      <c r="DF10" s="63">
        <f t="shared" ref="DF10:DG10" si="145">+DF8+DF9</f>
        <v>8166412.2585699912</v>
      </c>
      <c r="DG10" s="63">
        <f t="shared" si="145"/>
        <v>8313112.5844999887</v>
      </c>
    </row>
    <row r="11" spans="1:111" s="39" customFormat="1" ht="17.25" customHeight="1" thickBot="1">
      <c r="A11" s="797"/>
      <c r="B11" s="792" t="s">
        <v>25</v>
      </c>
      <c r="C11" s="793"/>
      <c r="D11" s="81">
        <f t="shared" ref="D11:S11" si="146">+D7/D10</f>
        <v>1.8200449396412639E-2</v>
      </c>
      <c r="E11" s="81">
        <f t="shared" si="146"/>
        <v>1.875575453372411E-2</v>
      </c>
      <c r="F11" s="62">
        <f t="shared" si="146"/>
        <v>1.8031149773329064E-2</v>
      </c>
      <c r="G11" s="62">
        <f t="shared" si="146"/>
        <v>1.7680273831818742E-2</v>
      </c>
      <c r="H11" s="62">
        <f t="shared" si="146"/>
        <v>1.8359137942272154E-2</v>
      </c>
      <c r="I11" s="62">
        <f t="shared" si="146"/>
        <v>1.7965953912521308E-2</v>
      </c>
      <c r="J11" s="62">
        <f t="shared" si="146"/>
        <v>1.7600222496171682E-2</v>
      </c>
      <c r="K11" s="62">
        <f t="shared" si="146"/>
        <v>1.8092091299713453E-2</v>
      </c>
      <c r="L11" s="62">
        <f t="shared" si="146"/>
        <v>1.7091023371384084E-2</v>
      </c>
      <c r="M11" s="62">
        <f t="shared" si="146"/>
        <v>1.7823452198308311E-2</v>
      </c>
      <c r="N11" s="62">
        <f t="shared" si="146"/>
        <v>1.7147045270380589E-2</v>
      </c>
      <c r="O11" s="62">
        <f t="shared" si="146"/>
        <v>1.6554340702736293E-2</v>
      </c>
      <c r="P11" s="62">
        <f t="shared" si="146"/>
        <v>1.6779074825882093E-2</v>
      </c>
      <c r="Q11" s="62">
        <f t="shared" si="146"/>
        <v>1.8101408255569173E-2</v>
      </c>
      <c r="R11" s="62">
        <f t="shared" si="146"/>
        <v>1.8198808173748339E-2</v>
      </c>
      <c r="S11" s="62">
        <f t="shared" si="146"/>
        <v>1.8125754632723229E-2</v>
      </c>
      <c r="T11" s="62">
        <f t="shared" ref="T11:Y11" si="147">+T7/T10</f>
        <v>1.7607262327906287E-2</v>
      </c>
      <c r="U11" s="62">
        <f t="shared" si="147"/>
        <v>1.7601014309063315E-2</v>
      </c>
      <c r="V11" s="62">
        <f t="shared" si="147"/>
        <v>1.7231875892210577E-2</v>
      </c>
      <c r="W11" s="62">
        <f t="shared" si="147"/>
        <v>1.6776087411412295E-2</v>
      </c>
      <c r="X11" s="62">
        <f t="shared" si="147"/>
        <v>1.6330529628493191E-2</v>
      </c>
      <c r="Y11" s="62">
        <f t="shared" si="147"/>
        <v>1.8017973552365337E-2</v>
      </c>
      <c r="Z11" s="62">
        <f t="shared" ref="Z11:AE11" si="148">+Z7/Z10</f>
        <v>1.8374739694736464E-2</v>
      </c>
      <c r="AA11" s="62">
        <f t="shared" si="148"/>
        <v>1.9244448161358289E-2</v>
      </c>
      <c r="AB11" s="62">
        <f t="shared" si="148"/>
        <v>1.8504954246976471E-2</v>
      </c>
      <c r="AC11" s="62">
        <f t="shared" si="148"/>
        <v>1.8426961190831412E-2</v>
      </c>
      <c r="AD11" s="62">
        <f t="shared" si="148"/>
        <v>1.8036185735391574E-2</v>
      </c>
      <c r="AE11" s="62">
        <f t="shared" si="148"/>
        <v>1.7519592189167443E-2</v>
      </c>
      <c r="AF11" s="62">
        <f t="shared" ref="AF11:AM11" si="149">+AF7/AF10</f>
        <v>1.713291932529205E-2</v>
      </c>
      <c r="AG11" s="62">
        <f t="shared" si="149"/>
        <v>1.6823439626163009E-2</v>
      </c>
      <c r="AH11" s="62">
        <f t="shared" si="149"/>
        <v>1.5737363598302152E-2</v>
      </c>
      <c r="AI11" s="62">
        <f t="shared" si="149"/>
        <v>1.5638956442946272E-2</v>
      </c>
      <c r="AJ11" s="62">
        <f t="shared" si="149"/>
        <v>1.5314554495565225E-2</v>
      </c>
      <c r="AK11" s="62">
        <f t="shared" si="149"/>
        <v>1.5285978646602309E-2</v>
      </c>
      <c r="AL11" s="62">
        <f t="shared" si="149"/>
        <v>1.6265036101681288E-2</v>
      </c>
      <c r="AM11" s="62">
        <f t="shared" si="149"/>
        <v>1.8122272820528664E-2</v>
      </c>
      <c r="AN11" s="62">
        <f t="shared" ref="AN11:AS11" si="150">+AN7/AN10</f>
        <v>1.8251179233773465E-2</v>
      </c>
      <c r="AO11" s="62">
        <f t="shared" si="150"/>
        <v>1.8113649124236384E-2</v>
      </c>
      <c r="AP11" s="62">
        <f t="shared" si="150"/>
        <v>1.7333797168633005E-2</v>
      </c>
      <c r="AQ11" s="62">
        <f t="shared" si="150"/>
        <v>1.6637177062928367E-2</v>
      </c>
      <c r="AR11" s="62">
        <f t="shared" si="150"/>
        <v>1.6077737939445735E-2</v>
      </c>
      <c r="AS11" s="62">
        <f t="shared" si="150"/>
        <v>1.5613343965284217E-2</v>
      </c>
      <c r="AT11" s="62">
        <f t="shared" ref="AT11:AZ11" si="151">+AT7/AT10</f>
        <v>1.5916655341458291E-2</v>
      </c>
      <c r="AU11" s="62">
        <f t="shared" si="151"/>
        <v>1.6066236031512898E-2</v>
      </c>
      <c r="AV11" s="62">
        <f t="shared" si="151"/>
        <v>1.6304709174663069E-2</v>
      </c>
      <c r="AW11" s="62">
        <f t="shared" si="151"/>
        <v>1.726725989243991E-2</v>
      </c>
      <c r="AX11" s="62">
        <f t="shared" si="151"/>
        <v>1.8554995936571232E-2</v>
      </c>
      <c r="AY11" s="62">
        <f t="shared" si="151"/>
        <v>1.9891783956823356E-2</v>
      </c>
      <c r="AZ11" s="62">
        <f t="shared" si="151"/>
        <v>2.0899612993591249E-2</v>
      </c>
      <c r="BA11" s="62">
        <f t="shared" ref="BA11:BG11" si="152">+BA7/BA10</f>
        <v>2.1821737478037583E-2</v>
      </c>
      <c r="BB11" s="62">
        <f t="shared" si="152"/>
        <v>2.1355814848581973E-2</v>
      </c>
      <c r="BC11" s="62">
        <f t="shared" si="152"/>
        <v>2.1042368328430674E-2</v>
      </c>
      <c r="BD11" s="62">
        <f t="shared" si="152"/>
        <v>2.0398801565581489E-2</v>
      </c>
      <c r="BE11" s="62">
        <f t="shared" si="152"/>
        <v>2.1633583546239211E-2</v>
      </c>
      <c r="BF11" s="62">
        <f t="shared" si="152"/>
        <v>2.3442488518522979E-2</v>
      </c>
      <c r="BG11" s="62">
        <f t="shared" si="152"/>
        <v>2.4578968454617819E-2</v>
      </c>
      <c r="BH11" s="62">
        <f t="shared" ref="BH11:BM11" si="153">+BH7/BH10</f>
        <v>2.6541023706332888E-2</v>
      </c>
      <c r="BI11" s="62">
        <f t="shared" si="153"/>
        <v>2.8574488890242614E-2</v>
      </c>
      <c r="BJ11" s="62">
        <f t="shared" si="153"/>
        <v>2.9453373899231496E-2</v>
      </c>
      <c r="BK11" s="62">
        <f t="shared" si="153"/>
        <v>3.0704678979064169E-2</v>
      </c>
      <c r="BL11" s="62">
        <f t="shared" si="153"/>
        <v>3.0094188920068494E-2</v>
      </c>
      <c r="BM11" s="62">
        <f t="shared" si="153"/>
        <v>2.897743642707366E-2</v>
      </c>
      <c r="BN11" s="62">
        <f t="shared" ref="BN11:BS11" si="154">+BN7/BN10</f>
        <v>2.7619385735115413E-2</v>
      </c>
      <c r="BO11" s="62">
        <f t="shared" si="154"/>
        <v>2.6536965012160262E-2</v>
      </c>
      <c r="BP11" s="62">
        <f t="shared" si="154"/>
        <v>2.7410178745398379E-2</v>
      </c>
      <c r="BQ11" s="62">
        <f t="shared" si="154"/>
        <v>2.7370162332461884E-2</v>
      </c>
      <c r="BR11" s="62">
        <f t="shared" si="154"/>
        <v>2.6670361244561416E-2</v>
      </c>
      <c r="BS11" s="62">
        <f t="shared" si="154"/>
        <v>2.6199858748348535E-2</v>
      </c>
      <c r="BT11" s="62">
        <f t="shared" ref="BT11:BY11" si="155">+BT7/BT10</f>
        <v>2.5847826979637594E-2</v>
      </c>
      <c r="BU11" s="62">
        <f t="shared" si="155"/>
        <v>2.6844786830718479E-2</v>
      </c>
      <c r="BV11" s="62">
        <f t="shared" si="155"/>
        <v>2.6590127666699531E-2</v>
      </c>
      <c r="BW11" s="62">
        <f t="shared" si="155"/>
        <v>2.6825758140972284E-2</v>
      </c>
      <c r="BX11" s="62">
        <f t="shared" si="155"/>
        <v>2.7779997870566384E-2</v>
      </c>
      <c r="BY11" s="62">
        <f t="shared" si="155"/>
        <v>2.6549706435952239E-2</v>
      </c>
      <c r="BZ11" s="62">
        <f t="shared" ref="BZ11:CE11" si="156">+BZ7/BZ10</f>
        <v>2.4684633138213712E-2</v>
      </c>
      <c r="CA11" s="62">
        <f t="shared" si="156"/>
        <v>2.3951021306622633E-2</v>
      </c>
      <c r="CB11" s="62">
        <f t="shared" si="156"/>
        <v>2.4352026186896664E-2</v>
      </c>
      <c r="CC11" s="62">
        <f t="shared" si="156"/>
        <v>2.4162376051570709E-2</v>
      </c>
      <c r="CD11" s="62">
        <f t="shared" si="156"/>
        <v>2.4286739276827226E-2</v>
      </c>
      <c r="CE11" s="62">
        <f t="shared" si="156"/>
        <v>2.5073694090783208E-2</v>
      </c>
      <c r="CF11" s="62">
        <f t="shared" ref="CF11:CG11" si="157">+CF7/CF10</f>
        <v>2.4326593086258359E-2</v>
      </c>
      <c r="CG11" s="62">
        <f t="shared" si="157"/>
        <v>2.4914412659714048E-2</v>
      </c>
      <c r="CH11" s="62">
        <f t="shared" ref="CH11:CI11" si="158">+CH7/CH10</f>
        <v>2.3268591230926193E-2</v>
      </c>
      <c r="CI11" s="62">
        <f t="shared" si="158"/>
        <v>2.3312391704390048E-2</v>
      </c>
      <c r="CJ11" s="62">
        <f t="shared" ref="CJ11:CK11" si="159">+CJ7/CJ10</f>
        <v>2.3338314889489998E-2</v>
      </c>
      <c r="CK11" s="62">
        <f t="shared" si="159"/>
        <v>2.2553173027364599E-2</v>
      </c>
      <c r="CL11" s="62">
        <f t="shared" ref="CL11:CM11" si="160">+CL7/CL10</f>
        <v>2.2837882061217868E-2</v>
      </c>
      <c r="CM11" s="62">
        <f t="shared" si="160"/>
        <v>2.288766370127969E-2</v>
      </c>
      <c r="CN11" s="62">
        <f t="shared" ref="CN11:CO11" si="161">+CN7/CN10</f>
        <v>2.3095958143784484E-2</v>
      </c>
      <c r="CO11" s="62">
        <f t="shared" si="161"/>
        <v>2.4308396120716443E-2</v>
      </c>
      <c r="CP11" s="62">
        <f t="shared" ref="CP11:CQ11" si="162">+CP7/CP10</f>
        <v>2.3987395254340207E-2</v>
      </c>
      <c r="CQ11" s="62">
        <f t="shared" si="162"/>
        <v>2.5105604378161412E-2</v>
      </c>
      <c r="CR11" s="62">
        <f t="shared" ref="CR11:CS11" si="163">+CR7/CR10</f>
        <v>2.4819331484962515E-2</v>
      </c>
      <c r="CS11" s="62">
        <f t="shared" si="163"/>
        <v>2.5079937977291862E-2</v>
      </c>
      <c r="CT11" s="62">
        <f t="shared" ref="CT11:CU11" si="164">+CT7/CT10</f>
        <v>2.4597059031327407E-2</v>
      </c>
      <c r="CU11" s="62">
        <f t="shared" si="164"/>
        <v>2.4817519469195266E-2</v>
      </c>
      <c r="CV11" s="62">
        <f t="shared" ref="CV11:CW11" si="165">+CV7/CV10</f>
        <v>2.4895418022680759E-2</v>
      </c>
      <c r="CW11" s="62">
        <f t="shared" si="165"/>
        <v>2.4677841929037443E-2</v>
      </c>
      <c r="CX11" s="62">
        <f t="shared" ref="CX11" si="166">+CX7/CX10</f>
        <v>2.3253594597120373E-2</v>
      </c>
      <c r="CY11" s="62">
        <f t="shared" ref="CY11:DD11" si="167">+CY7/CY10</f>
        <v>2.1952867823141427E-2</v>
      </c>
      <c r="CZ11" s="62">
        <f t="shared" si="167"/>
        <v>2.1899400489862643E-2</v>
      </c>
      <c r="DA11" s="62">
        <f t="shared" si="167"/>
        <v>2.2624195901737788E-2</v>
      </c>
      <c r="DB11" s="62">
        <f t="shared" si="167"/>
        <v>2.2757408963101758E-2</v>
      </c>
      <c r="DC11" s="62">
        <f t="shared" si="167"/>
        <v>2.1911451313182392E-2</v>
      </c>
      <c r="DD11" s="62">
        <f t="shared" si="167"/>
        <v>2.0699346684946239E-2</v>
      </c>
      <c r="DE11" s="62">
        <f t="shared" ref="DE11:DF11" si="168">+DE7/DE10</f>
        <v>2.0775931175480118E-2</v>
      </c>
      <c r="DF11" s="62">
        <f t="shared" si="168"/>
        <v>1.9689387461582299E-2</v>
      </c>
      <c r="DG11" s="62">
        <f t="shared" ref="DG11" si="169">+DG7/DG10</f>
        <v>2.0490245875846646E-2</v>
      </c>
    </row>
    <row r="12" spans="1:111" s="39" customFormat="1" ht="17.25" hidden="1" customHeight="1">
      <c r="A12" s="798"/>
      <c r="B12" s="780" t="s">
        <v>29</v>
      </c>
      <c r="C12" s="109" t="str">
        <f>+'NPL (ALL)'!C6</f>
        <v>Credit Card</v>
      </c>
      <c r="D12" s="82">
        <f>+'NPL (ALL)'!D6</f>
        <v>0</v>
      </c>
      <c r="E12" s="82">
        <f>+'NPL (ALL)'!E6</f>
        <v>0</v>
      </c>
      <c r="F12" s="40">
        <f>+'[2]NPL (ALL)'!F6</f>
        <v>0</v>
      </c>
      <c r="G12" s="40">
        <f>+'[2]NPL (ALL)'!G6</f>
        <v>-13.700939271950801</v>
      </c>
      <c r="H12" s="40">
        <f>+'[2]NPL (ALL)'!H6</f>
        <v>-245.66720410085372</v>
      </c>
      <c r="I12" s="40">
        <f>+'[2]NPL (ALL)'!I6</f>
        <v>-422.14000647640182</v>
      </c>
      <c r="J12" s="40">
        <f>+'[2]NPL (ALL)'!J6</f>
        <v>36.438881583196121</v>
      </c>
      <c r="K12" s="40">
        <f>+'[2]NPL (ALL)'!K6</f>
        <v>-224.87308472922496</v>
      </c>
      <c r="L12" s="40">
        <f>+'[2]NPL (ALL)'!L6</f>
        <v>-320.10141527737608</v>
      </c>
      <c r="M12" s="40">
        <f>+'[2]NPL (ALL)'!M6</f>
        <v>151.87493029586062</v>
      </c>
      <c r="N12" s="40">
        <f>+'[2]NPL (ALL)'!N6</f>
        <v>-250.16185313431492</v>
      </c>
      <c r="O12" s="40">
        <f>+'[2]NPL (ALL)'!O6</f>
        <v>557.8726477613103</v>
      </c>
      <c r="P12" s="40">
        <f>+'[2]NPL (ALL)'!P6</f>
        <v>279.10318332169334</v>
      </c>
      <c r="Q12" s="40">
        <f>+'[2]NPL (ALL)'!Q6</f>
        <v>554.33886669283334</v>
      </c>
      <c r="R12" s="40">
        <f>+'NPL (ALL)'!R6</f>
        <v>459.42404177630863</v>
      </c>
      <c r="S12" s="40">
        <f>+'NPL (ALL)'!S6</f>
        <v>-189.06030197824418</v>
      </c>
      <c r="T12" s="40">
        <f>+'NPL (ALL)'!T6</f>
        <v>-364.27676043020097</v>
      </c>
      <c r="U12" s="40">
        <f>+'NPL (ALL)'!U6</f>
        <v>123.99453991069311</v>
      </c>
      <c r="V12" s="40">
        <f>+'NPL (ALL)'!V6</f>
        <v>-46.281483922867778</v>
      </c>
      <c r="W12" s="40">
        <f>+'NPL (ALL)'!W6</f>
        <v>270.51758270146911</v>
      </c>
      <c r="X12" s="40">
        <f>+'NPL (ALL)'!X6</f>
        <v>-106.84029024008987</v>
      </c>
      <c r="Y12" s="40">
        <f>+'NPL (ALL)'!Y6</f>
        <v>2124.0827563268899</v>
      </c>
      <c r="Z12" s="40">
        <f>+'NPL (ALL)'!Z6</f>
        <v>69.952214902171136</v>
      </c>
      <c r="AA12" s="40">
        <f>+'NPL (ALL)'!AA6</f>
        <v>911.21048112450967</v>
      </c>
      <c r="AB12" s="40">
        <f>+'NPL (ALL)'!AB6</f>
        <v>-420.7665396196719</v>
      </c>
      <c r="AC12" s="40">
        <f>+'NPL (ALL)'!AC6</f>
        <v>-207.60125993549696</v>
      </c>
      <c r="AD12" s="40">
        <f>+'NPL (ALL)'!AD6</f>
        <v>1002.8506084131</v>
      </c>
      <c r="AE12" s="40">
        <f>+'NPL (ALL)'!AE6</f>
        <v>-387.1967360359572</v>
      </c>
      <c r="AF12" s="40">
        <f>+'NPL (ALL)'!AF6</f>
        <v>-340.10813018581939</v>
      </c>
      <c r="AG12" s="40">
        <f>+'NPL (ALL)'!AG6</f>
        <v>-57.590301521582887</v>
      </c>
      <c r="AH12" s="40">
        <f>+'NPL (ALL)'!AH6</f>
        <v>-469.29481466981338</v>
      </c>
      <c r="AI12" s="40">
        <f>+'NPL (ALL)'!AI6</f>
        <v>-480.80764550009758</v>
      </c>
      <c r="AJ12" s="40">
        <f>+'NPL (ALL)'!AJ6</f>
        <v>-985</v>
      </c>
      <c r="AK12" s="40">
        <f>+'NPL (ALL)'!AK6</f>
        <v>1495.7975430704901</v>
      </c>
      <c r="AL12" s="40">
        <f>+'NPL (ALL)'!AL6</f>
        <v>-197.214526073028</v>
      </c>
      <c r="AM12" s="40">
        <f>+'NPL (ALL)'!AM6</f>
        <v>464.44813819149198</v>
      </c>
      <c r="AN12" s="40">
        <f>+'NPL (ALL)'!AN6</f>
        <v>-405.57741657660199</v>
      </c>
      <c r="AO12" s="40">
        <f>+'NPL (ALL)'!AO6</f>
        <v>245.95363896497</v>
      </c>
      <c r="AP12" s="40">
        <f>+'NPL (ALL)'!AP6</f>
        <v>-416.34109039488197</v>
      </c>
      <c r="AQ12" s="40">
        <f>+'NPL (ALL)'!AQ6</f>
        <v>-165.06533181129532</v>
      </c>
      <c r="AR12" s="40">
        <f>+'NPL (ALL)'!AR6</f>
        <v>-263.06501677021424</v>
      </c>
      <c r="AS12" s="40">
        <f>+'NPL (ALL)'!AS6</f>
        <v>361.26055930401992</v>
      </c>
      <c r="AT12" s="40">
        <f>+'NPL (ALL)'!AT6</f>
        <v>242.29195199351113</v>
      </c>
      <c r="AU12" s="40">
        <f>+'NPL (ALL)'!AU6</f>
        <v>-78.908311719164317</v>
      </c>
      <c r="AV12" s="40">
        <f>+'NPL (ALL)'!AV6</f>
        <v>137.79130818261058</v>
      </c>
      <c r="AW12" s="40">
        <f>+'NPL (ALL)'!AW6</f>
        <v>-39.820200632968181</v>
      </c>
      <c r="AX12" s="40">
        <f>+'NPL (ALL)'!AZ6</f>
        <v>271.58363966538059</v>
      </c>
      <c r="AY12" s="40">
        <f>+'NPL (ALL)'!BB6</f>
        <v>-138.64239168819574</v>
      </c>
      <c r="AZ12" s="40">
        <f>+'NPL (ALL)'!BC6</f>
        <v>-987.99207044167599</v>
      </c>
      <c r="BA12" s="40">
        <f>+'NPL (ALL)'!BD6</f>
        <v>-231.38570412671413</v>
      </c>
      <c r="BB12" s="40">
        <f>+'NPL (ALL)'!BE6</f>
        <v>113.54291995464644</v>
      </c>
      <c r="BC12" s="40">
        <f>+'NPL (ALL)'!BF6</f>
        <v>384.02938166750641</v>
      </c>
      <c r="BD12" s="40">
        <f>+'NPL (ALL)'!BG6</f>
        <v>-386.8497353903507</v>
      </c>
      <c r="BE12" s="40">
        <f>+'NPL (ALL)'!BI6</f>
        <v>743.37454725149121</v>
      </c>
      <c r="BF12" s="40">
        <f>+'NPL (ALL)'!BJ6</f>
        <v>-891.24799382039714</v>
      </c>
      <c r="BG12" s="40">
        <f>+'NPL (ALL)'!BK6</f>
        <v>744.76158595402205</v>
      </c>
      <c r="BH12" s="40">
        <f>+'NPL (ALL)'!BL6</f>
        <v>-926.17421262251594</v>
      </c>
      <c r="BI12" s="40">
        <f>+'NPL (ALL)'!BM6</f>
        <v>-322.01053102329456</v>
      </c>
      <c r="BJ12" s="40">
        <f>+'NPL (ALL)'!BQ6</f>
        <v>458.39983434009935</v>
      </c>
      <c r="BK12" s="40">
        <f>+'NPL (ALL)'!BR6</f>
        <v>71.690275850449325</v>
      </c>
      <c r="BL12" s="40">
        <f>+'NPL (ALL)'!BS6</f>
        <v>-399.89778424690849</v>
      </c>
      <c r="BM12" s="40">
        <f>+'NPL (ALL)'!BT6</f>
        <v>527</v>
      </c>
      <c r="BN12" s="40">
        <f>+'NPL (ALL)'!BU6</f>
        <v>-436.18327316246001</v>
      </c>
      <c r="BO12" s="40">
        <f>+'NPL (ALL)'!BV6</f>
        <v>236.40801281776828</v>
      </c>
      <c r="BP12" s="40">
        <f>+'NPL (ALL)'!BY6</f>
        <v>-4497.5696902555937</v>
      </c>
      <c r="BQ12" s="40">
        <f>+'NPL (ALL)'!BZ6</f>
        <v>250.0691126586737</v>
      </c>
      <c r="BR12" s="40">
        <f>+'NPL (ALL)'!CA6</f>
        <v>-231.002321088298</v>
      </c>
      <c r="BS12" s="40">
        <f>+'NPL (ALL)'!CB6</f>
        <v>23.461769808929375</v>
      </c>
      <c r="BT12" s="40">
        <f>+'NPL (ALL)'!CC6</f>
        <v>-165.78630992693741</v>
      </c>
      <c r="BU12" s="40">
        <f>+'NPL (ALL)'!CD6</f>
        <v>-151.98819776744654</v>
      </c>
      <c r="BV12" s="40">
        <f>+'NPL (ALL)'!CE6</f>
        <v>822.20102301970121</v>
      </c>
      <c r="BW12" s="40">
        <f>+'NPL (ALL)'!CF6</f>
        <v>-148.85487139198671</v>
      </c>
      <c r="BX12" s="40">
        <f>+'NPL (ALL)'!CG6</f>
        <v>282.92577319075116</v>
      </c>
      <c r="BY12" s="40">
        <f>+'NPL (ALL)'!CH6</f>
        <v>430.79447704943397</v>
      </c>
      <c r="BZ12" s="40">
        <f>+'NPL (ALL)'!CI6</f>
        <v>-252.30655420192056</v>
      </c>
      <c r="CA12" s="40">
        <f>+'NPL (ALL)'!CJ6</f>
        <v>390.66748133001164</v>
      </c>
      <c r="CB12" s="40">
        <f>+'NPL (ALL)'!CK6</f>
        <v>234.49204055962429</v>
      </c>
      <c r="CC12" s="40">
        <f>+'NPL (ALL)'!CL6</f>
        <v>42.047802059155856</v>
      </c>
      <c r="CD12" s="40">
        <f>+'NPL (ALL)'!CM6</f>
        <v>-48.644329779393217</v>
      </c>
      <c r="CE12" s="40">
        <f>+'NPL (ALL)'!CN6</f>
        <v>-54.02563753376927</v>
      </c>
      <c r="CF12" s="40">
        <f>+'NPL (ALL)'!CO6</f>
        <v>-256.50074345977129</v>
      </c>
      <c r="CG12" s="40">
        <f>+'NPL (ALL)'!CP6</f>
        <v>-259.11995264801686</v>
      </c>
      <c r="CH12" s="40">
        <f>+'NPL (ALL)'!CQ6</f>
        <v>104.20415614579184</v>
      </c>
      <c r="CI12" s="40">
        <f>+'NPL (ALL)'!CR6</f>
        <v>69.173726090227206</v>
      </c>
      <c r="CJ12" s="40">
        <f>+'NPL (ALL)'!CS6</f>
        <v>249.53451669063287</v>
      </c>
      <c r="CK12" s="40">
        <f>+'NPL (ALL)'!CT6</f>
        <v>-14.755887463068007</v>
      </c>
      <c r="CL12" s="40">
        <f>+'NPL (ALL)'!CU6</f>
        <v>-529.92668278384667</v>
      </c>
      <c r="CM12" s="40">
        <f>+'NPL (ALL)'!CV6</f>
        <v>-212.13533414852901</v>
      </c>
      <c r="CN12" s="40">
        <f>+'NPL (ALL)'!CW6</f>
        <v>-306.03521893679721</v>
      </c>
      <c r="CO12" s="40">
        <f>+'NPL (ALL)'!CX6</f>
        <v>-302.83415021982245</v>
      </c>
      <c r="CP12" s="40">
        <f>+'NPL (ALL)'!CY6</f>
        <v>-163.3344092255374</v>
      </c>
      <c r="CQ12" s="40">
        <f>+'NPL (ALL)'!CZ6</f>
        <v>-322.010045558885</v>
      </c>
      <c r="CR12" s="40">
        <f>+'NPL (ALL)'!DA6</f>
        <v>773</v>
      </c>
      <c r="CS12" s="40">
        <f>+'NPL (ALL)'!DB6</f>
        <v>-1469</v>
      </c>
      <c r="CT12" s="40">
        <f>+'NPL (ALL)'!DC6</f>
        <v>946</v>
      </c>
      <c r="CU12" s="40">
        <f>+'NPL (ALL)'!DD6</f>
        <v>290</v>
      </c>
      <c r="CV12" s="40">
        <f>+'NPL (ALL)'!DE6</f>
        <v>6533</v>
      </c>
      <c r="CW12" s="40">
        <f>+'NPL (ALL)'!DF6</f>
        <v>-13</v>
      </c>
      <c r="CX12" s="40">
        <f>+'NPL (ALL)'!DG6</f>
        <v>2128.168696240632</v>
      </c>
      <c r="CY12" s="40">
        <f>+'NPL (ALL)'!DH6</f>
        <v>0</v>
      </c>
      <c r="CZ12" s="40">
        <f>+'NPL (ALL)'!DI6</f>
        <v>0</v>
      </c>
      <c r="DA12" s="40">
        <f>+'NPL (ALL)'!DJ6</f>
        <v>0</v>
      </c>
      <c r="DB12" s="40">
        <f>+'NPL (ALL)'!DK6</f>
        <v>0</v>
      </c>
      <c r="DC12" s="40">
        <f>+'NPL (ALL)'!DL6</f>
        <v>0</v>
      </c>
      <c r="DD12" s="40">
        <f>+'NPL (ALL)'!DM6</f>
        <v>0</v>
      </c>
      <c r="DE12" s="40">
        <f>+'NPL (ALL)'!DN6</f>
        <v>0</v>
      </c>
      <c r="DF12" s="40">
        <f>+'NPL (ALL)'!DO6</f>
        <v>0</v>
      </c>
      <c r="DG12" s="40">
        <f>+'NPL (ALL)'!DP6</f>
        <v>0</v>
      </c>
    </row>
    <row r="13" spans="1:111" s="39" customFormat="1" ht="17.25" hidden="1" customHeight="1">
      <c r="A13" s="798"/>
      <c r="B13" s="781"/>
      <c r="C13" s="110" t="str">
        <f>+'NPL (ALL)'!C7</f>
        <v>Easy Payment</v>
      </c>
      <c r="D13" s="83">
        <f>+'NPL (ALL)'!D7</f>
        <v>-251.80250277394501</v>
      </c>
      <c r="E13" s="83">
        <f>+'NPL (ALL)'!E7</f>
        <v>-725.24797781334598</v>
      </c>
      <c r="F13" s="41">
        <f>+'[2]NPL (ALL)'!F7</f>
        <v>1226.34455695776</v>
      </c>
      <c r="G13" s="41">
        <f>+'[2]NPL (ALL)'!G7</f>
        <v>-559.80770109233436</v>
      </c>
      <c r="H13" s="41">
        <f>+'[2]NPL (ALL)'!H7</f>
        <v>176.69931260273233</v>
      </c>
      <c r="I13" s="41">
        <f>+'[2]NPL (ALL)'!I7</f>
        <v>-24.293884103556138</v>
      </c>
      <c r="J13" s="41">
        <f>+'[2]NPL (ALL)'!J7</f>
        <v>49.870070516122581</v>
      </c>
      <c r="K13" s="41">
        <f>+'[2]NPL (ALL)'!K7</f>
        <v>-102.95793451250228</v>
      </c>
      <c r="L13" s="41">
        <f>+'[2]NPL (ALL)'!L7</f>
        <v>-530.80825210388468</v>
      </c>
      <c r="M13" s="41">
        <f>+'[2]NPL (ALL)'!M7</f>
        <v>1399.2239297304798</v>
      </c>
      <c r="N13" s="41">
        <f>+'[2]NPL (ALL)'!N7</f>
        <v>52.071280571064307</v>
      </c>
      <c r="O13" s="41">
        <f>+'[2]NPL (ALL)'!O7</f>
        <v>244.60609413932386</v>
      </c>
      <c r="P13" s="41">
        <f>+'[2]NPL (ALL)'!P7</f>
        <v>238.5045654538464</v>
      </c>
      <c r="Q13" s="41">
        <f>+'[2]NPL (ALL)'!Q7</f>
        <v>844.74373338238502</v>
      </c>
      <c r="R13" s="41">
        <f>+'NPL (ALL)'!R7</f>
        <v>201.69768785023965</v>
      </c>
      <c r="S13" s="41">
        <f>+'NPL (ALL)'!S7</f>
        <v>190.16192342842618</v>
      </c>
      <c r="T13" s="41">
        <f>+'NPL (ALL)'!T7</f>
        <v>190.39227447647909</v>
      </c>
      <c r="U13" s="41">
        <f>+'NPL (ALL)'!U7</f>
        <v>686.75775547264209</v>
      </c>
      <c r="V13" s="41">
        <f>+'NPL (ALL)'!V7</f>
        <v>257.13168329888538</v>
      </c>
      <c r="W13" s="41">
        <f>+'NPL (ALL)'!W7</f>
        <v>371.15063897941178</v>
      </c>
      <c r="X13" s="41">
        <f>+'NPL (ALL)'!X7</f>
        <v>322.7468261125104</v>
      </c>
      <c r="Y13" s="41">
        <f>+'NPL (ALL)'!Y7</f>
        <v>1811.1001934750545</v>
      </c>
      <c r="Z13" s="41">
        <f>+'NPL (ALL)'!Z7</f>
        <v>186.0317418181246</v>
      </c>
      <c r="AA13" s="41">
        <f>+'NPL (ALL)'!AA7</f>
        <v>709.33303708394715</v>
      </c>
      <c r="AB13" s="41">
        <f>+'NPL (ALL)'!AB7</f>
        <v>-522.13199761609781</v>
      </c>
      <c r="AC13" s="41">
        <f>+'NPL (ALL)'!AC7</f>
        <v>97.049806928244124</v>
      </c>
      <c r="AD13" s="41">
        <f>+'NPL (ALL)'!AD7</f>
        <v>314.63230776080616</v>
      </c>
      <c r="AE13" s="41">
        <f>+'NPL (ALL)'!AE7</f>
        <v>552.22849609824868</v>
      </c>
      <c r="AF13" s="41">
        <f>+'NPL (ALL)'!AF7</f>
        <v>733.25718444239067</v>
      </c>
      <c r="AG13" s="41">
        <f>+'NPL (ALL)'!AG7</f>
        <v>21.018808435944138</v>
      </c>
      <c r="AH13" s="41">
        <f>+'NPL (ALL)'!AH7</f>
        <v>330.53073992768105</v>
      </c>
      <c r="AI13" s="41">
        <f>+'NPL (ALL)'!AI7</f>
        <v>1460.5122101732686</v>
      </c>
      <c r="AJ13" s="41">
        <f>+'NPL (ALL)'!AJ7</f>
        <v>1034.7890256894782</v>
      </c>
      <c r="AK13" s="41">
        <f>+'NPL (ALL)'!AK7</f>
        <v>4950.4814377967741</v>
      </c>
      <c r="AL13" s="41">
        <f>+'NPL (ALL)'!AL7</f>
        <v>549.91384165040313</v>
      </c>
      <c r="AM13" s="41">
        <f>+'NPL (ALL)'!AM7</f>
        <v>3410.0935718176288</v>
      </c>
      <c r="AN13" s="41">
        <f>+'NPL (ALL)'!AN7</f>
        <v>1076.0712517093145</v>
      </c>
      <c r="AO13" s="41">
        <f>+'NPL (ALL)'!AO7</f>
        <v>3511.2306138783633</v>
      </c>
      <c r="AP13" s="41">
        <f>+'NPL (ALL)'!AP7</f>
        <v>-274.68587992804197</v>
      </c>
      <c r="AQ13" s="41">
        <f>+'NPL (ALL)'!AQ7</f>
        <v>-392.01363996278826</v>
      </c>
      <c r="AR13" s="41">
        <f>+'NPL (ALL)'!AR7</f>
        <v>1214.8022619868727</v>
      </c>
      <c r="AS13" s="41">
        <f>+'NPL (ALL)'!AS7</f>
        <v>1523.4223763455741</v>
      </c>
      <c r="AT13" s="41">
        <f>+'NPL (ALL)'!AT7</f>
        <v>4582.5533255069549</v>
      </c>
      <c r="AU13" s="41">
        <f>+'NPL (ALL)'!AU7</f>
        <v>3527.8635899970727</v>
      </c>
      <c r="AV13" s="41">
        <f>+'NPL (ALL)'!AV7</f>
        <v>3585.3353254293843</v>
      </c>
      <c r="AW13" s="41">
        <f>+'NPL (ALL)'!AW7</f>
        <v>5636.3940256136275</v>
      </c>
      <c r="AX13" s="41">
        <f>+'NPL (ALL)'!AZ7</f>
        <v>2798.4281249088795</v>
      </c>
      <c r="AY13" s="41">
        <f>+'NPL (ALL)'!BB7</f>
        <v>164.68302152551323</v>
      </c>
      <c r="AZ13" s="41">
        <f>+'NPL (ALL)'!BC7</f>
        <v>-205.61620948098818</v>
      </c>
      <c r="BA13" s="41">
        <f>+'NPL (ALL)'!BD7</f>
        <v>773.21661494334955</v>
      </c>
      <c r="BB13" s="41">
        <f>+'NPL (ALL)'!BE7</f>
        <v>6257.1159127821002</v>
      </c>
      <c r="BC13" s="41">
        <f>+'NPL (ALL)'!BF7</f>
        <v>8532.2915100676219</v>
      </c>
      <c r="BD13" s="41">
        <f>+'NPL (ALL)'!BG7</f>
        <v>4396.3235811464074</v>
      </c>
      <c r="BE13" s="41">
        <f>+'NPL (ALL)'!BI7</f>
        <v>10011.223597420681</v>
      </c>
      <c r="BF13" s="41">
        <f>+'NPL (ALL)'!BJ7</f>
        <v>4253.0702291050711</v>
      </c>
      <c r="BG13" s="41">
        <f>+'NPL (ALL)'!BK7</f>
        <v>7659.3136269180195</v>
      </c>
      <c r="BH13" s="41">
        <f>+'NPL (ALL)'!BL7</f>
        <v>1011.8338557909901</v>
      </c>
      <c r="BI13" s="41">
        <f>+'NPL (ALL)'!BM7</f>
        <v>-3991.4830507989377</v>
      </c>
      <c r="BJ13" s="41">
        <f>+'NPL (ALL)'!BQ7</f>
        <v>709.65519311623621</v>
      </c>
      <c r="BK13" s="41">
        <f>+'NPL (ALL)'!BR7</f>
        <v>-869.95594130961808</v>
      </c>
      <c r="BL13" s="41">
        <f>+'NPL (ALL)'!BS7</f>
        <v>513.82948503729699</v>
      </c>
      <c r="BM13" s="41">
        <f>+'NPL (ALL)'!BT7</f>
        <v>2127.4225355047383</v>
      </c>
      <c r="BN13" s="41">
        <f>+'NPL (ALL)'!BU7</f>
        <v>7572.6739057305012</v>
      </c>
      <c r="BO13" s="41">
        <f>+'NPL (ALL)'!BV7</f>
        <v>-2283.5810506259231</v>
      </c>
      <c r="BP13" s="41">
        <f>+'NPL (ALL)'!BY7</f>
        <v>-32580.403779715263</v>
      </c>
      <c r="BQ13" s="41">
        <f>+'NPL (ALL)'!BZ7</f>
        <v>14330.923682481</v>
      </c>
      <c r="BR13" s="41">
        <f>+'NPL (ALL)'!CA7</f>
        <v>-1549.0597654610424</v>
      </c>
      <c r="BS13" s="41">
        <f>+'NPL (ALL)'!CB7</f>
        <v>4086.3795568690471</v>
      </c>
      <c r="BT13" s="41">
        <f>+'NPL (ALL)'!CC7</f>
        <v>919.80252116790541</v>
      </c>
      <c r="BU13" s="41">
        <f>+'NPL (ALL)'!CD7</f>
        <v>3008.4390333612246</v>
      </c>
      <c r="BV13" s="41">
        <f>+'NPL (ALL)'!CE7</f>
        <v>5131.4477110310563</v>
      </c>
      <c r="BW13" s="41">
        <f>+'NPL (ALL)'!CF7</f>
        <v>-2165.6381201905374</v>
      </c>
      <c r="BX13" s="41">
        <f>+'NPL (ALL)'!CG7</f>
        <v>3986.2971046190414</v>
      </c>
      <c r="BY13" s="41">
        <f>+'NPL (ALL)'!CH7</f>
        <v>-8269.738568723682</v>
      </c>
      <c r="BZ13" s="41">
        <f>+'NPL (ALL)'!CI7</f>
        <v>3968.6354428600662</v>
      </c>
      <c r="CA13" s="41">
        <f>+'NPL (ALL)'!CJ7</f>
        <v>877.46013030289271</v>
      </c>
      <c r="CB13" s="41">
        <f>+'NPL (ALL)'!CK7</f>
        <v>-4167.399674858143</v>
      </c>
      <c r="CC13" s="41">
        <f>+'NPL (ALL)'!CL7</f>
        <v>3985.8258230293227</v>
      </c>
      <c r="CD13" s="41">
        <f>+'NPL (ALL)'!CM7</f>
        <v>-440.555946198642</v>
      </c>
      <c r="CE13" s="41">
        <f>+'NPL (ALL)'!CN7</f>
        <v>2048.8439932328738</v>
      </c>
      <c r="CF13" s="41">
        <f>+'NPL (ALL)'!CO7</f>
        <v>8742.4042750152457</v>
      </c>
      <c r="CG13" s="41">
        <f>+'NPL (ALL)'!CP7</f>
        <v>-1856.9897190119329</v>
      </c>
      <c r="CH13" s="41">
        <f>+'NPL (ALL)'!CQ7</f>
        <v>8354.0827842765211</v>
      </c>
      <c r="CI13" s="41">
        <f>+'NPL (ALL)'!CR7</f>
        <v>92.29840566268048</v>
      </c>
      <c r="CJ13" s="41">
        <f>+'NPL (ALL)'!CS7</f>
        <v>900.74417137584737</v>
      </c>
      <c r="CK13" s="41">
        <f>+'NPL (ALL)'!CT7</f>
        <v>-1838.4300932985666</v>
      </c>
      <c r="CL13" s="41">
        <f>+'NPL (ALL)'!CU7</f>
        <v>2085.3587039458143</v>
      </c>
      <c r="CM13" s="41">
        <f>+'NPL (ALL)'!CV7</f>
        <v>1445.9519339900226</v>
      </c>
      <c r="CN13" s="41">
        <f>+'NPL (ALL)'!CW7</f>
        <v>597.02609100538893</v>
      </c>
      <c r="CO13" s="41">
        <f>+'NPL (ALL)'!CX7</f>
        <v>-7443.1983008674306</v>
      </c>
      <c r="CP13" s="41">
        <f>+'NPL (ALL)'!CY7</f>
        <v>-9100.3187928378793</v>
      </c>
      <c r="CQ13" s="41">
        <f>+'NPL (ALL)'!CZ7</f>
        <v>1828.5674668852912</v>
      </c>
      <c r="CR13" s="41">
        <f>+'NPL (ALL)'!DA7</f>
        <v>6668</v>
      </c>
      <c r="CS13" s="41">
        <f>+'NPL (ALL)'!DB7</f>
        <v>3580</v>
      </c>
      <c r="CT13" s="41">
        <f>+'NPL (ALL)'!DC7</f>
        <v>10069</v>
      </c>
      <c r="CU13" s="41">
        <f>+'NPL (ALL)'!DD7</f>
        <v>-289</v>
      </c>
      <c r="CV13" s="41">
        <f>+'NPL (ALL)'!DE7</f>
        <v>-50273</v>
      </c>
      <c r="CW13" s="41">
        <f>+'NPL (ALL)'!DF7</f>
        <v>14150</v>
      </c>
      <c r="CX13" s="41">
        <f>+'NPL (ALL)'!DG7</f>
        <v>1692.8812226191915</v>
      </c>
      <c r="CY13" s="41">
        <f>+'NPL (ALL)'!DH7</f>
        <v>0</v>
      </c>
      <c r="CZ13" s="41">
        <f>+'NPL (ALL)'!DI7</f>
        <v>0</v>
      </c>
      <c r="DA13" s="41">
        <f>+'NPL (ALL)'!DJ7</f>
        <v>0</v>
      </c>
      <c r="DB13" s="41">
        <f>+'NPL (ALL)'!DK7</f>
        <v>0</v>
      </c>
      <c r="DC13" s="41">
        <f>+'NPL (ALL)'!DL7</f>
        <v>0</v>
      </c>
      <c r="DD13" s="41">
        <f>+'NPL (ALL)'!DM7</f>
        <v>0</v>
      </c>
      <c r="DE13" s="41">
        <f>+'NPL (ALL)'!DN7</f>
        <v>0</v>
      </c>
      <c r="DF13" s="41">
        <f>+'NPL (ALL)'!DO7</f>
        <v>0</v>
      </c>
      <c r="DG13" s="41">
        <f>+'NPL (ALL)'!DP7</f>
        <v>0</v>
      </c>
    </row>
    <row r="14" spans="1:111" s="39" customFormat="1" ht="17.25" hidden="1" customHeight="1">
      <c r="A14" s="798"/>
      <c r="B14" s="781"/>
      <c r="C14" s="110" t="str">
        <f>+'NPL (ALL)'!C14</f>
        <v>Recoverable amount from Coway recourse scheme</v>
      </c>
      <c r="D14" s="83">
        <f>+'NPL (ALL)'!D14</f>
        <v>0</v>
      </c>
      <c r="E14" s="83">
        <f>+'NPL (ALL)'!E14</f>
        <v>-7.3925000000000001</v>
      </c>
      <c r="F14" s="41">
        <f>+'[2]NPL (ALL)'!F12</f>
        <v>-1.3814900000000001</v>
      </c>
      <c r="G14" s="41">
        <f>+'[2]NPL (ALL)'!G12</f>
        <v>84.786000000000001</v>
      </c>
      <c r="H14" s="41">
        <f>+'[2]NPL (ALL)'!H12</f>
        <v>-1.7860000000000014</v>
      </c>
      <c r="I14" s="41">
        <f>+'[2]NPL (ALL)'!I12</f>
        <v>17</v>
      </c>
      <c r="J14" s="41">
        <f>+'[2]NPL (ALL)'!J12</f>
        <v>-2</v>
      </c>
      <c r="K14" s="41">
        <f>+'[2]NPL (ALL)'!K12</f>
        <v>-1</v>
      </c>
      <c r="L14" s="41">
        <f>+'[2]NPL (ALL)'!L12</f>
        <v>-2</v>
      </c>
      <c r="M14" s="41">
        <f>+'[2]NPL (ALL)'!M12</f>
        <v>12.440999999999999</v>
      </c>
      <c r="N14" s="41">
        <f>+'[2]NPL (ALL)'!N12</f>
        <v>-2.5069999999999979</v>
      </c>
      <c r="O14" s="41">
        <f>+'[2]NPL (ALL)'!O12</f>
        <v>-2.8390000000000022</v>
      </c>
      <c r="P14" s="41">
        <f>+'[2]NPL (ALL)'!P12</f>
        <v>-8.8490000000000002</v>
      </c>
      <c r="Q14" s="41">
        <f>+'[2]NPL (ALL)'!Q12</f>
        <v>8.8010000000000019</v>
      </c>
      <c r="R14" s="41">
        <f>+'NPL (ALL)'!R14</f>
        <v>-0.67500000000000071</v>
      </c>
      <c r="S14" s="41">
        <f>+'NPL (ALL)'!S14</f>
        <v>8.1080000000000005</v>
      </c>
      <c r="T14" s="41">
        <f>+'NPL (ALL)'!T14</f>
        <v>-1.3709999999999987</v>
      </c>
      <c r="U14" s="41">
        <f>+'NPL (ALL)'!U14</f>
        <v>-0.60700000000000287</v>
      </c>
      <c r="V14" s="41">
        <f>+'NPL (ALL)'!V14</f>
        <v>5.7055000000000007</v>
      </c>
      <c r="W14" s="41">
        <f>+'NPL (ALL)'!W14</f>
        <v>4.3129999999999997</v>
      </c>
      <c r="X14" s="41">
        <f>+'NPL (ALL)'!X14</f>
        <v>-0.23549999999999915</v>
      </c>
      <c r="Y14" s="41">
        <f>+'NPL (ALL)'!Y14</f>
        <v>0</v>
      </c>
      <c r="Z14" s="41">
        <f>+'NPL (ALL)'!Z14</f>
        <v>-2.2364999999999995</v>
      </c>
      <c r="AA14" s="41">
        <f>+'NPL (ALL)'!AA14</f>
        <v>4.2759999999999998</v>
      </c>
      <c r="AB14" s="41">
        <f>+'NPL (ALL)'!AB14</f>
        <v>-0.89150000000000063</v>
      </c>
      <c r="AC14" s="41">
        <f>+'NPL (ALL)'!AC14</f>
        <v>-1.0005000000000006</v>
      </c>
      <c r="AD14" s="41">
        <f>+'NPL (ALL)'!AD14</f>
        <v>-2.0829999999999984</v>
      </c>
      <c r="AE14" s="41">
        <f>+'NPL (ALL)'!AE14</f>
        <v>3.4194999999999993</v>
      </c>
      <c r="AF14" s="41">
        <f>+'NPL (ALL)'!AF14</f>
        <v>-0.94899999999999984</v>
      </c>
      <c r="AG14" s="41">
        <f>+'NPL (ALL)'!AG14</f>
        <v>2.7315000000000005</v>
      </c>
      <c r="AH14" s="41">
        <f>+'NPL (ALL)'!AH14</f>
        <v>0.51599999999999913</v>
      </c>
      <c r="AI14" s="41">
        <f>+'NPL (ALL)'!AI14</f>
        <v>0</v>
      </c>
      <c r="AJ14" s="41">
        <f>+'NPL (ALL)'!AJ14</f>
        <v>0.314</v>
      </c>
      <c r="AK14" s="41">
        <f>+'NPL (ALL)'!AK14</f>
        <v>0.69550000000000001</v>
      </c>
      <c r="AL14" s="41">
        <f>+'NPL (ALL)'!AL14</f>
        <v>0.219</v>
      </c>
      <c r="AM14" s="41">
        <f>+'NPL (ALL)'!AM14</f>
        <v>-3.6500000000000199E-2</v>
      </c>
      <c r="AN14" s="41">
        <f>+'NPL (ALL)'!AN14</f>
        <v>0.99250000000000005</v>
      </c>
      <c r="AO14" s="41">
        <f>+'NPL (ALL)'!AO14</f>
        <v>-0.42649999999999999</v>
      </c>
      <c r="AP14" s="41">
        <f>+'NPL (ALL)'!AP14</f>
        <v>0.83050000000000024</v>
      </c>
      <c r="AQ14" s="41">
        <f>+'NPL (ALL)'!AQ14</f>
        <v>5.0000000000000044E-2</v>
      </c>
      <c r="AR14" s="41">
        <f>+'NPL (ALL)'!AR14</f>
        <v>0</v>
      </c>
      <c r="AS14" s="41">
        <f>+'NPL (ALL)'!AS14</f>
        <v>0.14999999999999991</v>
      </c>
      <c r="AT14" s="41">
        <f>+'NPL (ALL)'!AT14</f>
        <v>0</v>
      </c>
      <c r="AU14" s="41">
        <f>+'NPL (ALL)'!AU14</f>
        <v>0</v>
      </c>
      <c r="AV14" s="41">
        <f>+'NPL (ALL)'!AV14</f>
        <v>0</v>
      </c>
      <c r="AW14" s="41">
        <f>+'NPL (ALL)'!AW14</f>
        <v>5.0000000000000044E-2</v>
      </c>
      <c r="AX14" s="41">
        <f>+'NPL (ALL)'!AZ14</f>
        <v>0</v>
      </c>
      <c r="AY14" s="41">
        <f>+'NPL (ALL)'!BB14</f>
        <v>0</v>
      </c>
      <c r="AZ14" s="41">
        <f>+'NPL (ALL)'!BC14</f>
        <v>0</v>
      </c>
      <c r="BA14" s="41">
        <f>+'NPL (ALL)'!BD14</f>
        <v>0</v>
      </c>
      <c r="BB14" s="41">
        <f>+'NPL (ALL)'!BE14</f>
        <v>0</v>
      </c>
      <c r="BC14" s="41">
        <f>+'NPL (ALL)'!BF14</f>
        <v>0</v>
      </c>
      <c r="BD14" s="41">
        <f>+'NPL (ALL)'!BG14</f>
        <v>0</v>
      </c>
      <c r="BE14" s="41">
        <f>+'NPL (ALL)'!BI14</f>
        <v>0</v>
      </c>
      <c r="BF14" s="41">
        <f>+'NPL (ALL)'!BJ14</f>
        <v>0</v>
      </c>
      <c r="BG14" s="41">
        <f>+'NPL (ALL)'!BK14</f>
        <v>0</v>
      </c>
      <c r="BH14" s="41">
        <f>+'NPL (ALL)'!BL14</f>
        <v>0</v>
      </c>
      <c r="BI14" s="41">
        <f>+'NPL (ALL)'!BM14</f>
        <v>0</v>
      </c>
      <c r="BJ14" s="41">
        <f>+'NPL (ALL)'!BQ14</f>
        <v>0</v>
      </c>
      <c r="BK14" s="41">
        <f>+'NPL (ALL)'!BR14</f>
        <v>0</v>
      </c>
      <c r="BL14" s="41">
        <f>+'NPL (ALL)'!BS14</f>
        <v>0</v>
      </c>
      <c r="BM14" s="41">
        <f>+'NPL (ALL)'!BT14</f>
        <v>0</v>
      </c>
      <c r="BN14" s="41">
        <f>+'NPL (ALL)'!BU14</f>
        <v>0</v>
      </c>
      <c r="BO14" s="41">
        <f>+'NPL (ALL)'!BV14</f>
        <v>0</v>
      </c>
      <c r="BP14" s="41">
        <f>+'NPL (ALL)'!BY14</f>
        <v>0</v>
      </c>
      <c r="BQ14" s="41">
        <f>+'NPL (ALL)'!BZ14</f>
        <v>0</v>
      </c>
      <c r="BR14" s="41">
        <f>+'NPL (ALL)'!CA14</f>
        <v>0</v>
      </c>
      <c r="BS14" s="41">
        <f>+'NPL (ALL)'!CB14</f>
        <v>0</v>
      </c>
      <c r="BT14" s="41">
        <f>+'NPL (ALL)'!CC14</f>
        <v>0</v>
      </c>
      <c r="BU14" s="41">
        <f>+'NPL (ALL)'!CD14</f>
        <v>0</v>
      </c>
      <c r="BV14" s="41">
        <f>+'NPL (ALL)'!CE14</f>
        <v>0</v>
      </c>
      <c r="BW14" s="41">
        <f>+'NPL (ALL)'!CF14</f>
        <v>0</v>
      </c>
      <c r="BX14" s="41">
        <f>+'NPL (ALL)'!CG14</f>
        <v>0</v>
      </c>
      <c r="BY14" s="41">
        <f>+'NPL (ALL)'!CH14</f>
        <v>0</v>
      </c>
      <c r="BZ14" s="41">
        <f>+'NPL (ALL)'!CI14</f>
        <v>0</v>
      </c>
      <c r="CA14" s="41">
        <f>+'NPL (ALL)'!CJ14</f>
        <v>0</v>
      </c>
      <c r="CB14" s="41">
        <f>+'NPL (ALL)'!CK14</f>
        <v>0</v>
      </c>
      <c r="CC14" s="41">
        <f>+'NPL (ALL)'!CL14</f>
        <v>0</v>
      </c>
      <c r="CD14" s="41">
        <f>+'NPL (ALL)'!CM14</f>
        <v>0</v>
      </c>
      <c r="CE14" s="41">
        <f>+'NPL (ALL)'!CN14</f>
        <v>0</v>
      </c>
      <c r="CF14" s="41">
        <f>+'NPL (ALL)'!CO14</f>
        <v>0</v>
      </c>
      <c r="CG14" s="41">
        <f>+'NPL (ALL)'!CP14</f>
        <v>0</v>
      </c>
      <c r="CH14" s="41">
        <f>+'NPL (ALL)'!CQ14</f>
        <v>0</v>
      </c>
      <c r="CI14" s="41">
        <f>+'NPL (ALL)'!CR14</f>
        <v>0</v>
      </c>
      <c r="CJ14" s="41">
        <f>+'NPL (ALL)'!CS14</f>
        <v>0</v>
      </c>
      <c r="CK14" s="41">
        <f>+'NPL (ALL)'!CT14</f>
        <v>0</v>
      </c>
      <c r="CL14" s="41">
        <f>+'NPL (ALL)'!CU14</f>
        <v>0</v>
      </c>
      <c r="CM14" s="41">
        <f>+'NPL (ALL)'!CV14</f>
        <v>0</v>
      </c>
      <c r="CN14" s="41">
        <f>+'NPL (ALL)'!CW14</f>
        <v>0</v>
      </c>
      <c r="CO14" s="41">
        <f>+'NPL (ALL)'!CX14</f>
        <v>0</v>
      </c>
      <c r="CP14" s="41">
        <f>+'NPL (ALL)'!CY14</f>
        <v>0</v>
      </c>
      <c r="CQ14" s="41">
        <f>+'NPL (ALL)'!CZ14</f>
        <v>0</v>
      </c>
      <c r="CR14" s="41">
        <f>+'NPL (ALL)'!DA14</f>
        <v>0</v>
      </c>
      <c r="CS14" s="41">
        <f>+'NPL (ALL)'!DB14</f>
        <v>0</v>
      </c>
      <c r="CT14" s="41">
        <f>+'NPL (ALL)'!DC14</f>
        <v>0</v>
      </c>
      <c r="CU14" s="41">
        <f>+'NPL (ALL)'!DD14</f>
        <v>0</v>
      </c>
      <c r="CV14" s="41">
        <f>+'NPL (ALL)'!DE14</f>
        <v>0</v>
      </c>
      <c r="CW14" s="41">
        <f>+'NPL (ALL)'!DF14</f>
        <v>0</v>
      </c>
      <c r="CX14" s="41">
        <f>+'NPL (ALL)'!DG14</f>
        <v>0</v>
      </c>
      <c r="CY14" s="41">
        <f>+'NPL (ALL)'!DH14</f>
        <v>0</v>
      </c>
      <c r="CZ14" s="41">
        <f>+'NPL (ALL)'!DI14</f>
        <v>0</v>
      </c>
      <c r="DA14" s="41">
        <f>+'NPL (ALL)'!DJ14</f>
        <v>0</v>
      </c>
      <c r="DB14" s="41">
        <f>+'NPL (ALL)'!DK14</f>
        <v>0</v>
      </c>
      <c r="DC14" s="41">
        <f>+'NPL (ALL)'!DL14</f>
        <v>0</v>
      </c>
      <c r="DD14" s="41">
        <f>+'NPL (ALL)'!DM14</f>
        <v>0</v>
      </c>
      <c r="DE14" s="41">
        <f>+'NPL (ALL)'!DN14</f>
        <v>0</v>
      </c>
      <c r="DF14" s="41">
        <f>+'NPL (ALL)'!DO14</f>
        <v>0</v>
      </c>
      <c r="DG14" s="41">
        <f>+'NPL (ALL)'!DP14</f>
        <v>0</v>
      </c>
    </row>
    <row r="15" spans="1:111" s="39" customFormat="1" ht="17.25" hidden="1" customHeight="1">
      <c r="A15" s="798"/>
      <c r="B15" s="781"/>
      <c r="C15" s="110" t="str">
        <f>+'NPL (ALL)'!C16</f>
        <v>Recoverable amount UCEP scheme</v>
      </c>
      <c r="D15" s="83">
        <f>+'NPL (ALL)'!D16</f>
        <v>0</v>
      </c>
      <c r="E15" s="83">
        <f>+'NPL (ALL)'!E16</f>
        <v>0</v>
      </c>
      <c r="F15" s="41">
        <f>+'[2]NPL (ALL)'!F14</f>
        <v>0</v>
      </c>
      <c r="G15" s="41">
        <f>+'[2]NPL (ALL)'!G14</f>
        <v>0</v>
      </c>
      <c r="H15" s="41">
        <f>+'[2]NPL (ALL)'!H14</f>
        <v>0</v>
      </c>
      <c r="I15" s="41">
        <f>+'[2]NPL (ALL)'!I14</f>
        <v>0</v>
      </c>
      <c r="J15" s="41">
        <f>+'[2]NPL (ALL)'!J14</f>
        <v>-9</v>
      </c>
      <c r="K15" s="41">
        <f>+'[2]NPL (ALL)'!K14</f>
        <v>-9</v>
      </c>
      <c r="L15" s="41">
        <f>+'[2]NPL (ALL)'!L14</f>
        <v>-8</v>
      </c>
      <c r="M15" s="41">
        <f>+'[2]NPL (ALL)'!M14</f>
        <v>9.1735000000000007</v>
      </c>
      <c r="N15" s="41">
        <f>+'[2]NPL (ALL)'!N14</f>
        <v>-28.742999999999999</v>
      </c>
      <c r="O15" s="41">
        <f>+'[2]NPL (ALL)'!O14</f>
        <v>35.146999999999998</v>
      </c>
      <c r="P15" s="41">
        <f>+'[2]NPL (ALL)'!P14</f>
        <v>0</v>
      </c>
      <c r="Q15" s="41">
        <f>+'[2]NPL (ALL)'!Q14</f>
        <v>-52.532499999999999</v>
      </c>
      <c r="R15" s="41">
        <f>+'NPL (ALL)'!R16</f>
        <v>-29.498999999999995</v>
      </c>
      <c r="S15" s="41">
        <f>+'NPL (ALL)'!S16</f>
        <v>7.4489999999999981</v>
      </c>
      <c r="T15" s="41">
        <f>+'NPL (ALL)'!T16</f>
        <v>6.0884999999999962</v>
      </c>
      <c r="U15" s="41">
        <f>+'NPL (ALL)'!U16</f>
        <v>-0.69350000000000023</v>
      </c>
      <c r="V15" s="41">
        <f>+'NPL (ALL)'!V16</f>
        <v>-42.506500000000003</v>
      </c>
      <c r="W15" s="41">
        <f>+'NPL (ALL)'!W16</f>
        <v>13.041499999999985</v>
      </c>
      <c r="X15" s="41">
        <f>+'NPL (ALL)'!X16</f>
        <v>122.075</v>
      </c>
      <c r="Y15" s="41">
        <f>+'NPL (ALL)'!Y16</f>
        <v>-16</v>
      </c>
      <c r="Z15" s="41">
        <f>+'NPL (ALL)'!Z16</f>
        <v>0</v>
      </c>
      <c r="AA15" s="41">
        <f>+'NPL (ALL)'!AA16</f>
        <v>-17</v>
      </c>
      <c r="AB15" s="41">
        <f>+'NPL (ALL)'!AB16</f>
        <v>-7</v>
      </c>
      <c r="AC15" s="41">
        <f>+'NPL (ALL)'!AC16</f>
        <v>0</v>
      </c>
      <c r="AD15" s="41">
        <f>+'NPL (ALL)'!AD16</f>
        <v>-8</v>
      </c>
      <c r="AE15" s="41">
        <f>+'NPL (ALL)'!AE16</f>
        <v>8</v>
      </c>
      <c r="AF15" s="41">
        <f>+'NPL (ALL)'!AF16</f>
        <v>-8</v>
      </c>
      <c r="AG15" s="41">
        <f>+'NPL (ALL)'!AG16</f>
        <v>0</v>
      </c>
      <c r="AH15" s="41">
        <f>+'NPL (ALL)'!AH16</f>
        <v>-37</v>
      </c>
      <c r="AI15" s="41">
        <f>+'NPL (ALL)'!AI16</f>
        <v>24</v>
      </c>
      <c r="AJ15" s="41">
        <f>+'NPL (ALL)'!AJ16</f>
        <v>36.175343420730897</v>
      </c>
      <c r="AK15" s="41">
        <f>+'NPL (ALL)'!AK16</f>
        <v>-36.947232475203499</v>
      </c>
      <c r="AL15" s="41">
        <f>+'NPL (ALL)'!AL16</f>
        <v>-38.083940749481698</v>
      </c>
      <c r="AM15" s="41">
        <f>+'NPL (ALL)'!AM16</f>
        <v>-78.981924389253507</v>
      </c>
      <c r="AN15" s="41">
        <f>+'NPL (ALL)'!AN16</f>
        <v>10.240022934775601</v>
      </c>
      <c r="AO15" s="41">
        <f>+'NPL (ALL)'!AO16</f>
        <v>8.6266015657072597</v>
      </c>
      <c r="AP15" s="41">
        <f>+'NPL (ALL)'!AP16</f>
        <v>1.8954712758983305</v>
      </c>
      <c r="AQ15" s="41">
        <f>+'NPL (ALL)'!AQ16</f>
        <v>33.656509252799353</v>
      </c>
      <c r="AR15" s="41">
        <f>+'NPL (ALL)'!AR16</f>
        <v>1.474671309684183</v>
      </c>
      <c r="AS15" s="41">
        <f>+'NPL (ALL)'!AS16</f>
        <v>4.131845867000294</v>
      </c>
      <c r="AT15" s="41">
        <f>+'NPL (ALL)'!AT16</f>
        <v>-58.294943621589198</v>
      </c>
      <c r="AU15" s="41">
        <f>+'NPL (ALL)'!AU16</f>
        <v>16.511912755844151</v>
      </c>
      <c r="AV15" s="41">
        <f>+'NPL (ALL)'!AV16</f>
        <v>-34.353588153305367</v>
      </c>
      <c r="AW15" s="41">
        <f>+'NPL (ALL)'!AW16</f>
        <v>-18.710009598344726</v>
      </c>
      <c r="AX15" s="41">
        <f>+'NPL (ALL)'!AZ16</f>
        <v>118.71455262126167</v>
      </c>
      <c r="AY15" s="41">
        <f>+'NPL (ALL)'!BB16</f>
        <v>-139.74370894291337</v>
      </c>
      <c r="AZ15" s="41">
        <f>+'NPL (ALL)'!BC16</f>
        <v>117.15597286477151</v>
      </c>
      <c r="BA15" s="41">
        <f>+'NPL (ALL)'!BD16</f>
        <v>284.72798497973349</v>
      </c>
      <c r="BB15" s="41">
        <f>+'NPL (ALL)'!BE16</f>
        <v>0</v>
      </c>
      <c r="BC15" s="41">
        <f>+'NPL (ALL)'!BF16</f>
        <v>0</v>
      </c>
      <c r="BD15" s="41">
        <f>+'NPL (ALL)'!BG16</f>
        <v>0</v>
      </c>
      <c r="BE15" s="41">
        <f>+'NPL (ALL)'!BI16</f>
        <v>0</v>
      </c>
      <c r="BF15" s="41">
        <f>+'NPL (ALL)'!BJ16</f>
        <v>0</v>
      </c>
      <c r="BG15" s="41">
        <f>+'NPL (ALL)'!BK16</f>
        <v>0</v>
      </c>
      <c r="BH15" s="41">
        <f>+'NPL (ALL)'!BL16</f>
        <v>22</v>
      </c>
      <c r="BI15" s="41">
        <f>+'NPL (ALL)'!BM16</f>
        <v>0</v>
      </c>
      <c r="BJ15" s="41">
        <f>+'NPL (ALL)'!BQ16</f>
        <v>0</v>
      </c>
      <c r="BK15" s="41">
        <f>+'NPL (ALL)'!BR16</f>
        <v>0</v>
      </c>
      <c r="BL15" s="41">
        <f>+'NPL (ALL)'!BS16</f>
        <v>0</v>
      </c>
      <c r="BM15" s="41">
        <f>+'NPL (ALL)'!BT16</f>
        <v>0</v>
      </c>
      <c r="BN15" s="41">
        <f>+'NPL (ALL)'!BU16</f>
        <v>0</v>
      </c>
      <c r="BO15" s="41">
        <f>+'NPL (ALL)'!BV16</f>
        <v>0</v>
      </c>
      <c r="BP15" s="41">
        <f>+'NPL (ALL)'!BY16</f>
        <v>0</v>
      </c>
      <c r="BQ15" s="41">
        <f>+'NPL (ALL)'!BZ16</f>
        <v>0</v>
      </c>
      <c r="BR15" s="41">
        <f>+'NPL (ALL)'!CA16</f>
        <v>0</v>
      </c>
      <c r="BS15" s="41">
        <f>+'NPL (ALL)'!CB16</f>
        <v>0</v>
      </c>
      <c r="BT15" s="41">
        <f>+'NPL (ALL)'!CC16</f>
        <v>0</v>
      </c>
      <c r="BU15" s="41">
        <f>+'NPL (ALL)'!CD16</f>
        <v>0</v>
      </c>
      <c r="BV15" s="41">
        <f>+'NPL (ALL)'!CE16</f>
        <v>0</v>
      </c>
      <c r="BW15" s="41">
        <f>+'NPL (ALL)'!CF16</f>
        <v>0</v>
      </c>
      <c r="BX15" s="41">
        <f>+'NPL (ALL)'!CG16</f>
        <v>0</v>
      </c>
      <c r="BY15" s="41">
        <f>+'NPL (ALL)'!CH16</f>
        <v>0</v>
      </c>
      <c r="BZ15" s="41">
        <f>+'NPL (ALL)'!CI16</f>
        <v>0</v>
      </c>
      <c r="CA15" s="41">
        <f>+'NPL (ALL)'!CJ16</f>
        <v>0</v>
      </c>
      <c r="CB15" s="41">
        <f>+'NPL (ALL)'!CK16</f>
        <v>0</v>
      </c>
      <c r="CC15" s="41">
        <f>+'NPL (ALL)'!CL16</f>
        <v>0</v>
      </c>
      <c r="CD15" s="41">
        <f>+'NPL (ALL)'!CM16</f>
        <v>0</v>
      </c>
      <c r="CE15" s="41">
        <f>+'NPL (ALL)'!CN16</f>
        <v>0</v>
      </c>
      <c r="CF15" s="41">
        <f>+'NPL (ALL)'!CO16</f>
        <v>0</v>
      </c>
      <c r="CG15" s="41">
        <f>+'NPL (ALL)'!CP16</f>
        <v>0</v>
      </c>
      <c r="CH15" s="41">
        <f>+'NPL (ALL)'!CQ16</f>
        <v>0</v>
      </c>
      <c r="CI15" s="41">
        <f>+'NPL (ALL)'!CR16</f>
        <v>0</v>
      </c>
      <c r="CJ15" s="41">
        <f>+'NPL (ALL)'!CS16</f>
        <v>0</v>
      </c>
      <c r="CK15" s="41">
        <f>+'NPL (ALL)'!CT16</f>
        <v>0</v>
      </c>
      <c r="CL15" s="41">
        <f>+'NPL (ALL)'!CU16</f>
        <v>0</v>
      </c>
      <c r="CM15" s="41">
        <f>+'NPL (ALL)'!CV16</f>
        <v>0</v>
      </c>
      <c r="CN15" s="41">
        <f>+'NPL (ALL)'!CW16</f>
        <v>0</v>
      </c>
      <c r="CO15" s="41">
        <f>+'NPL (ALL)'!CX16</f>
        <v>0</v>
      </c>
      <c r="CP15" s="41">
        <f>+'NPL (ALL)'!CY16</f>
        <v>0</v>
      </c>
      <c r="CQ15" s="41">
        <f>+'NPL (ALL)'!CZ16</f>
        <v>0</v>
      </c>
      <c r="CR15" s="41">
        <f>+'NPL (ALL)'!DA16</f>
        <v>0</v>
      </c>
      <c r="CS15" s="41">
        <f>+'NPL (ALL)'!DB16</f>
        <v>0</v>
      </c>
      <c r="CT15" s="41">
        <f>+'NPL (ALL)'!DC16</f>
        <v>0</v>
      </c>
      <c r="CU15" s="41">
        <f>+'NPL (ALL)'!DD16</f>
        <v>0</v>
      </c>
      <c r="CV15" s="41">
        <f>+'NPL (ALL)'!DE16</f>
        <v>0</v>
      </c>
      <c r="CW15" s="41">
        <f>+'NPL (ALL)'!DF16</f>
        <v>0</v>
      </c>
      <c r="CX15" s="41">
        <f>+'NPL (ALL)'!DG16</f>
        <v>0</v>
      </c>
      <c r="CY15" s="41">
        <f>+'NPL (ALL)'!DH16</f>
        <v>0</v>
      </c>
      <c r="CZ15" s="41">
        <f>+'NPL (ALL)'!DI16</f>
        <v>0</v>
      </c>
      <c r="DA15" s="41">
        <f>+'NPL (ALL)'!DJ16</f>
        <v>0</v>
      </c>
      <c r="DB15" s="41">
        <f>+'NPL (ALL)'!DK16</f>
        <v>0</v>
      </c>
      <c r="DC15" s="41">
        <f>+'NPL (ALL)'!DL16</f>
        <v>0</v>
      </c>
      <c r="DD15" s="41">
        <f>+'NPL (ALL)'!DM16</f>
        <v>0</v>
      </c>
      <c r="DE15" s="41">
        <f>+'NPL (ALL)'!DN16</f>
        <v>0</v>
      </c>
      <c r="DF15" s="41">
        <f>+'NPL (ALL)'!DO16</f>
        <v>0</v>
      </c>
      <c r="DG15" s="41">
        <f>+'NPL (ALL)'!DP16</f>
        <v>0</v>
      </c>
    </row>
    <row r="16" spans="1:111" s="39" customFormat="1" ht="17.25" hidden="1" customHeight="1">
      <c r="A16" s="798"/>
      <c r="B16" s="781"/>
      <c r="C16" s="110" t="str">
        <f>+'NPL (ALL)'!C18</f>
        <v>AKPK Accounts</v>
      </c>
      <c r="D16" s="83">
        <f>+'NPL (ALL)'!D18</f>
        <v>44.571894596445723</v>
      </c>
      <c r="E16" s="83">
        <f>+'NPL (ALL)'!E18</f>
        <v>10.17903894447838</v>
      </c>
      <c r="F16" s="41">
        <f>+'[2]NPL (ALL)'!F15</f>
        <v>48.701142268225318</v>
      </c>
      <c r="G16" s="41">
        <f>+'[2]NPL (ALL)'!G15</f>
        <v>-60.524476381607656</v>
      </c>
      <c r="H16" s="41">
        <f>+'[2]NPL (ALL)'!H15</f>
        <v>-46.520279418392306</v>
      </c>
      <c r="I16" s="41">
        <f>+'[2]NPL (ALL)'!I15</f>
        <v>11.664875120000602</v>
      </c>
      <c r="J16" s="41">
        <f>+'[2]NPL (ALL)'!J15</f>
        <v>-10.454219320000561</v>
      </c>
      <c r="K16" s="41">
        <f>+'[2]NPL (ALL)'!K15</f>
        <v>-19.164821183754498</v>
      </c>
      <c r="L16" s="41">
        <f>+'[2]NPL (ALL)'!L15</f>
        <v>-34.821345555096855</v>
      </c>
      <c r="M16" s="41">
        <f>+'[2]NPL (ALL)'!M15</f>
        <v>2.3392394112447619</v>
      </c>
      <c r="N16" s="41">
        <f>+'[2]NPL (ALL)'!N15</f>
        <v>-61.165523362007661</v>
      </c>
      <c r="O16" s="41">
        <f>+'[2]NPL (ALL)'!O15</f>
        <v>-48.44761446158094</v>
      </c>
      <c r="P16" s="41">
        <f>+'[2]NPL (ALL)'!P15</f>
        <v>-12.312566405843825</v>
      </c>
      <c r="Q16" s="41">
        <f>+'[2]NPL (ALL)'!Q15</f>
        <v>-50.799980632905942</v>
      </c>
      <c r="R16" s="41">
        <f>+'NPL (ALL)'!R18</f>
        <v>-89.313433614495125</v>
      </c>
      <c r="S16" s="41">
        <f>+'NPL (ALL)'!S18</f>
        <v>17.706506333307686</v>
      </c>
      <c r="T16" s="41">
        <f>+'NPL (ALL)'!T18</f>
        <v>24.761082264177901</v>
      </c>
      <c r="U16" s="41">
        <f>+'NPL (ALL)'!U18</f>
        <v>-31.1263712786361</v>
      </c>
      <c r="V16" s="41">
        <f>+'NPL (ALL)'!V18</f>
        <v>-25.281709955073609</v>
      </c>
      <c r="W16" s="41">
        <f>+'NPL (ALL)'!W18</f>
        <v>-13.938123355560776</v>
      </c>
      <c r="X16" s="41">
        <f>+'NPL (ALL)'!X18</f>
        <v>-4.387267162375565</v>
      </c>
      <c r="Y16" s="41">
        <f>+'NPL (ALL)'!Y18</f>
        <v>-48.865132887537698</v>
      </c>
      <c r="Z16" s="41">
        <f>+'NPL (ALL)'!Z18</f>
        <v>26.766134135004734</v>
      </c>
      <c r="AA16" s="41">
        <f>+'NPL (ALL)'!AA18</f>
        <v>-3.5933748028355694E-2</v>
      </c>
      <c r="AB16" s="41">
        <f>+'NPL (ALL)'!AB18</f>
        <v>-31.307505452874636</v>
      </c>
      <c r="AC16" s="41">
        <f>+'NPL (ALL)'!AC18</f>
        <v>36.980373828295797</v>
      </c>
      <c r="AD16" s="41">
        <f>+'NPL (ALL)'!AD18</f>
        <v>20.686265878884114</v>
      </c>
      <c r="AE16" s="41">
        <f>+'NPL (ALL)'!AE18</f>
        <v>50.654272228681464</v>
      </c>
      <c r="AF16" s="41">
        <f>+'NPL (ALL)'!AF18</f>
        <v>264.76344780902537</v>
      </c>
      <c r="AG16" s="41">
        <f>+'NPL (ALL)'!AG18</f>
        <v>-173.63141955171369</v>
      </c>
      <c r="AH16" s="41">
        <f>+'NPL (ALL)'!AH18</f>
        <v>40.222383002490119</v>
      </c>
      <c r="AI16" s="41">
        <f>+'NPL (ALL)'!AI18</f>
        <v>127.851958392073</v>
      </c>
      <c r="AJ16" s="41">
        <f>+'NPL (ALL)'!AJ18</f>
        <v>52.612175797680699</v>
      </c>
      <c r="AK16" s="41">
        <f>+'NPL (ALL)'!AK18</f>
        <v>125.45781837276</v>
      </c>
      <c r="AL16" s="41">
        <f>+'NPL (ALL)'!AL18</f>
        <v>83.183348059007997</v>
      </c>
      <c r="AM16" s="41">
        <f>+'NPL (ALL)'!AM18</f>
        <v>64.401547277332796</v>
      </c>
      <c r="AN16" s="41">
        <f>+'NPL (ALL)'!AN18</f>
        <v>51.3473352892698</v>
      </c>
      <c r="AO16" s="41">
        <f>+'NPL (ALL)'!AO18</f>
        <v>50.779705369082301</v>
      </c>
      <c r="AP16" s="41">
        <f>+'NPL (ALL)'!AP18</f>
        <v>65.985054788711977</v>
      </c>
      <c r="AQ16" s="41">
        <f>+'NPL (ALL)'!AQ18</f>
        <v>60.82002373612454</v>
      </c>
      <c r="AR16" s="41">
        <f>+'NPL (ALL)'!AR18</f>
        <v>-223.99952994887644</v>
      </c>
      <c r="AS16" s="41">
        <f>+'NPL (ALL)'!AS18</f>
        <v>271.64145515935957</v>
      </c>
      <c r="AT16" s="41">
        <f>+'NPL (ALL)'!AT18</f>
        <v>139.40802265784487</v>
      </c>
      <c r="AU16" s="41">
        <f>+'NPL (ALL)'!AU18</f>
        <v>-533.92360593684884</v>
      </c>
      <c r="AV16" s="41">
        <f>+'NPL (ALL)'!AV18</f>
        <v>122.0178446252603</v>
      </c>
      <c r="AW16" s="41">
        <f>+'NPL (ALL)'!AW18</f>
        <v>-34.549759709990212</v>
      </c>
      <c r="AX16" s="41">
        <f>+'NPL (ALL)'!AZ18</f>
        <v>188.75417902681329</v>
      </c>
      <c r="AY16" s="41">
        <f>+'NPL (ALL)'!BB18</f>
        <v>-19.948712415008686</v>
      </c>
      <c r="AZ16" s="41">
        <f>+'NPL (ALL)'!BC18</f>
        <v>58.507925383538122</v>
      </c>
      <c r="BA16" s="41">
        <f>+'NPL (ALL)'!BD18</f>
        <v>110.26410045598141</v>
      </c>
      <c r="BB16" s="41">
        <f>+'NPL (ALL)'!BE18</f>
        <v>114.03999716339649</v>
      </c>
      <c r="BC16" s="41">
        <f>+'NPL (ALL)'!BF18</f>
        <v>41.38962507124711</v>
      </c>
      <c r="BD16" s="41">
        <f>+'NPL (ALL)'!BG18</f>
        <v>664.51728589312302</v>
      </c>
      <c r="BE16" s="41">
        <f>+'NPL (ALL)'!BI18</f>
        <v>220.33853018085438</v>
      </c>
      <c r="BF16" s="41">
        <f>+'NPL (ALL)'!BJ18</f>
        <v>108.01328918812942</v>
      </c>
      <c r="BG16" s="41">
        <f>+'NPL (ALL)'!BK18</f>
        <v>237.55895174432362</v>
      </c>
      <c r="BH16" s="41">
        <f>+'NPL (ALL)'!BL18</f>
        <v>-404.0431852465349</v>
      </c>
      <c r="BI16" s="41">
        <f>+'NPL (ALL)'!BM18</f>
        <v>-400.4109681292623</v>
      </c>
      <c r="BJ16" s="41">
        <f>+'NPL (ALL)'!BQ18</f>
        <v>-601.26651310311524</v>
      </c>
      <c r="BK16" s="41">
        <f>+'NPL (ALL)'!BR18</f>
        <v>39.016483860722587</v>
      </c>
      <c r="BL16" s="41">
        <f>+'NPL (ALL)'!BS18</f>
        <v>-452.24757785242184</v>
      </c>
      <c r="BM16" s="41">
        <f>+'NPL (ALL)'!BT18</f>
        <v>-135.00882829907499</v>
      </c>
      <c r="BN16" s="41">
        <f>+'NPL (ALL)'!BU18</f>
        <v>-205.29096151419401</v>
      </c>
      <c r="BO16" s="41">
        <f>+'NPL (ALL)'!BV18</f>
        <v>-165.31387645493817</v>
      </c>
      <c r="BP16" s="41">
        <f>+'NPL (ALL)'!BY18</f>
        <v>309.30748657163258</v>
      </c>
      <c r="BQ16" s="41">
        <f>+'NPL (ALL)'!BZ18</f>
        <v>265.38873238400686</v>
      </c>
      <c r="BR16" s="41">
        <f>+'NPL (ALL)'!CA18</f>
        <v>236.82403466528422</v>
      </c>
      <c r="BS16" s="41">
        <f>+'NPL (ALL)'!CB18</f>
        <v>-42.991919819513782</v>
      </c>
      <c r="BT16" s="41">
        <f>+'NPL (ALL)'!CC18</f>
        <v>612.54230251986098</v>
      </c>
      <c r="BU16" s="41">
        <f>+'NPL (ALL)'!CD18</f>
        <v>-250.89120951444625</v>
      </c>
      <c r="BV16" s="41">
        <f>+'NPL (ALL)'!CE18</f>
        <v>683.97999120686927</v>
      </c>
      <c r="BW16" s="41">
        <f>+'NPL (ALL)'!CF18</f>
        <v>209.01897623574337</v>
      </c>
      <c r="BX16" s="41">
        <f>+'NPL (ALL)'!CG18</f>
        <v>237.04312787795948</v>
      </c>
      <c r="BY16" s="41">
        <f>+'NPL (ALL)'!CH18</f>
        <v>35.645956135483402</v>
      </c>
      <c r="BZ16" s="41">
        <f>+'NPL (ALL)'!CI18</f>
        <v>-288.75619386143103</v>
      </c>
      <c r="CA16" s="41">
        <f>+'NPL (ALL)'!CJ18</f>
        <v>956.91626077649425</v>
      </c>
      <c r="CB16" s="41">
        <f>+'NPL (ALL)'!CK18</f>
        <v>218.21952041503982</v>
      </c>
      <c r="CC16" s="41">
        <f>+'NPL (ALL)'!CL18</f>
        <v>576.42985432740034</v>
      </c>
      <c r="CD16" s="41">
        <f>+'NPL (ALL)'!CM18</f>
        <v>638.7500380374363</v>
      </c>
      <c r="CE16" s="41">
        <f>+'NPL (ALL)'!CN18</f>
        <v>280.00232323975069</v>
      </c>
      <c r="CF16" s="41">
        <f>+'NPL (ALL)'!CO18</f>
        <v>-777.08750469255165</v>
      </c>
      <c r="CG16" s="41">
        <f>+'NPL (ALL)'!CP18</f>
        <v>440.13294794554758</v>
      </c>
      <c r="CH16" s="41">
        <f>+'NPL (ALL)'!CQ18</f>
        <v>-1058.441540472526</v>
      </c>
      <c r="CI16" s="41">
        <f>+'NPL (ALL)'!CR18</f>
        <v>228.37178070865048</v>
      </c>
      <c r="CJ16" s="41">
        <f>+'NPL (ALL)'!CS18</f>
        <v>-71.80507099902934</v>
      </c>
      <c r="CK16" s="41">
        <f>+'NPL (ALL)'!CT18</f>
        <v>-180.52557716970477</v>
      </c>
      <c r="CL16" s="41">
        <f>+'NPL (ALL)'!CU18</f>
        <v>-312.8892558499515</v>
      </c>
      <c r="CM16" s="41">
        <f>+'NPL (ALL)'!CV18</f>
        <v>67.377951815994948</v>
      </c>
      <c r="CN16" s="41">
        <f>+'NPL (ALL)'!CW18</f>
        <v>-24.523494116656366</v>
      </c>
      <c r="CO16" s="41">
        <f>+'NPL (ALL)'!CX18</f>
        <v>281.31140576225789</v>
      </c>
      <c r="CP16" s="41">
        <f>+'NPL (ALL)'!CY18</f>
        <v>-1367.4186906321991</v>
      </c>
      <c r="CQ16" s="41">
        <f>+'NPL (ALL)'!CZ18</f>
        <v>-1652.7201419538401</v>
      </c>
      <c r="CR16" s="41">
        <f>+'NPL (ALL)'!DA18</f>
        <v>1592</v>
      </c>
      <c r="CS16" s="41">
        <f>+'NPL (ALL)'!DB18</f>
        <v>-2568</v>
      </c>
      <c r="CT16" s="41">
        <f>+'NPL (ALL)'!DC18</f>
        <v>-295</v>
      </c>
      <c r="CU16" s="41">
        <f>+'NPL (ALL)'!DD18</f>
        <v>3299</v>
      </c>
      <c r="CV16" s="41">
        <f>+'NPL (ALL)'!DE18</f>
        <v>5163</v>
      </c>
      <c r="CW16" s="41">
        <f>+'NPL (ALL)'!DF18</f>
        <v>1448</v>
      </c>
      <c r="CX16" s="41">
        <f>+'NPL (ALL)'!DG18</f>
        <v>2498.7018955313979</v>
      </c>
      <c r="CY16" s="41">
        <f>+'NPL (ALL)'!DH18</f>
        <v>0</v>
      </c>
      <c r="CZ16" s="41">
        <f>+'NPL (ALL)'!DI18</f>
        <v>0</v>
      </c>
      <c r="DA16" s="41">
        <f>+'NPL (ALL)'!DJ18</f>
        <v>0</v>
      </c>
      <c r="DB16" s="41">
        <f>+'NPL (ALL)'!DK18</f>
        <v>0</v>
      </c>
      <c r="DC16" s="41">
        <f>+'NPL (ALL)'!DL18</f>
        <v>0</v>
      </c>
      <c r="DD16" s="41">
        <f>+'NPL (ALL)'!DM18</f>
        <v>0</v>
      </c>
      <c r="DE16" s="41">
        <f>+'NPL (ALL)'!DN18</f>
        <v>0</v>
      </c>
      <c r="DF16" s="41">
        <f>+'NPL (ALL)'!DO18</f>
        <v>0</v>
      </c>
      <c r="DG16" s="41">
        <f>+'NPL (ALL)'!DP18</f>
        <v>0</v>
      </c>
    </row>
    <row r="17" spans="1:111" s="39" customFormat="1" ht="17.25" hidden="1" customHeight="1" thickBot="1">
      <c r="A17" s="798"/>
      <c r="B17" s="781"/>
      <c r="C17" s="111" t="str">
        <f>+'NPL (ALL)'!C19</f>
        <v>Adjustment</v>
      </c>
      <c r="D17" s="84">
        <f>+'NPL (ALL)'!D19</f>
        <v>44.391500000000001</v>
      </c>
      <c r="E17" s="84">
        <f>+'NPL (ALL)'!E19</f>
        <v>0</v>
      </c>
      <c r="F17" s="42">
        <f>+'[2]NPL (ALL)'!F16</f>
        <v>79.170249999999996</v>
      </c>
      <c r="G17" s="42">
        <f>+'[2]NPL (ALL)'!G16</f>
        <v>952</v>
      </c>
      <c r="H17" s="42">
        <f>+'[2]NPL (ALL)'!H16</f>
        <v>-300</v>
      </c>
      <c r="I17" s="42">
        <f>+'[2]NPL (ALL)'!I16</f>
        <v>-502.46242472289151</v>
      </c>
      <c r="J17" s="42">
        <f>+'[2]NPL (ALL)'!J16</f>
        <v>-361.89553277931827</v>
      </c>
      <c r="K17" s="42">
        <f>+'[2]NPL (ALL)'!K16</f>
        <v>-1.8303915103570001</v>
      </c>
      <c r="L17" s="42">
        <f>+'[2]NPL (ALL)'!L16</f>
        <v>0</v>
      </c>
      <c r="M17" s="42">
        <f>+'[2]NPL (ALL)'!M16</f>
        <v>-374.59719000000001</v>
      </c>
      <c r="N17" s="42">
        <f>+'[2]NPL (ALL)'!N16</f>
        <v>338.76071130611308</v>
      </c>
      <c r="O17" s="42">
        <f>+'[2]NPL (ALL)'!O16</f>
        <v>36</v>
      </c>
      <c r="P17" s="42">
        <f>+'[2]NPL (ALL)'!P16</f>
        <v>100</v>
      </c>
      <c r="Q17" s="42">
        <f>+'[2]NPL (ALL)'!Q16</f>
        <v>-445</v>
      </c>
      <c r="R17" s="42">
        <f>+'NPL (ALL)'!R19</f>
        <v>345</v>
      </c>
      <c r="S17" s="42">
        <f>+'NPL (ALL)'!S19</f>
        <v>796</v>
      </c>
      <c r="T17" s="42">
        <f>+'NPL (ALL)'!T19</f>
        <v>900</v>
      </c>
      <c r="U17" s="42">
        <f>+'NPL (ALL)'!U19</f>
        <v>0</v>
      </c>
      <c r="V17" s="42">
        <f>+'NPL (ALL)'!V19</f>
        <v>100</v>
      </c>
      <c r="W17" s="42">
        <f>+'NPL (ALL)'!W19</f>
        <v>0</v>
      </c>
      <c r="X17" s="42">
        <f>+'NPL (ALL)'!X19</f>
        <v>0</v>
      </c>
      <c r="Y17" s="42">
        <f>+'NPL (ALL)'!Y19</f>
        <v>-1290</v>
      </c>
      <c r="Z17" s="42">
        <f>+'NPL (ALL)'!Z19</f>
        <v>0</v>
      </c>
      <c r="AA17" s="42">
        <f>+'NPL (ALL)'!AA19</f>
        <v>-707</v>
      </c>
      <c r="AB17" s="42">
        <f>+'NPL (ALL)'!AB19</f>
        <v>950</v>
      </c>
      <c r="AC17" s="42">
        <f>+'NPL (ALL)'!AC19</f>
        <v>259.81</v>
      </c>
      <c r="AD17" s="42">
        <f>+'NPL (ALL)'!AD19</f>
        <v>-1239.9065464144041</v>
      </c>
      <c r="AE17" s="42">
        <f>+'NPL (ALL)'!AE19</f>
        <v>0</v>
      </c>
      <c r="AF17" s="42">
        <f>+'NPL (ALL)'!AF19</f>
        <v>0</v>
      </c>
      <c r="AG17" s="42">
        <f>+'NPL (ALL)'!AG19</f>
        <v>900</v>
      </c>
      <c r="AH17" s="42">
        <f>+'NPL (ALL)'!AH19</f>
        <v>500</v>
      </c>
      <c r="AI17" s="42">
        <f>+'NPL (ALL)'!AI19</f>
        <v>-260.73248000000001</v>
      </c>
      <c r="AJ17" s="42">
        <f>+'NPL (ALL)'!AJ19</f>
        <v>260.73248000000001</v>
      </c>
      <c r="AK17" s="42">
        <f>+'NPL (ALL)'!AK19</f>
        <v>-3614</v>
      </c>
      <c r="AL17" s="42">
        <f>+'NPL (ALL)'!AL19</f>
        <v>400</v>
      </c>
      <c r="AM17" s="42">
        <f>+'NPL (ALL)'!AM19</f>
        <v>1000</v>
      </c>
      <c r="AN17" s="42">
        <f>+'NPL (ALL)'!AN19</f>
        <v>500</v>
      </c>
      <c r="AO17" s="42">
        <f>+'NPL (ALL)'!AO19</f>
        <v>-500</v>
      </c>
      <c r="AP17" s="42">
        <f>+'NPL (ALL)'!AP19</f>
        <v>-51.626040000000003</v>
      </c>
      <c r="AQ17" s="42">
        <f>+'NPL (ALL)'!AQ19</f>
        <v>500</v>
      </c>
      <c r="AR17" s="42">
        <f>+'NPL (ALL)'!AR19</f>
        <v>500</v>
      </c>
      <c r="AS17" s="42">
        <f>+'NPL (ALL)'!AS19</f>
        <v>-300</v>
      </c>
      <c r="AT17" s="42">
        <f>+'NPL (ALL)'!AT19</f>
        <v>0</v>
      </c>
      <c r="AU17" s="42">
        <f>+'NPL (ALL)'!AU19</f>
        <v>1000</v>
      </c>
      <c r="AV17" s="42">
        <f>+'NPL (ALL)'!AV19</f>
        <v>0</v>
      </c>
      <c r="AW17" s="42">
        <f>+'NPL (ALL)'!AW19</f>
        <v>0</v>
      </c>
      <c r="AX17" s="42">
        <f>+'NPL (ALL)'!AZ19</f>
        <v>0</v>
      </c>
      <c r="AY17" s="42">
        <f>+'NPL (ALL)'!BB19</f>
        <v>0</v>
      </c>
      <c r="AZ17" s="42">
        <f>+'NPL (ALL)'!BC19</f>
        <v>1000</v>
      </c>
      <c r="BA17" s="42">
        <f>+'NPL (ALL)'!BD19</f>
        <v>-1000</v>
      </c>
      <c r="BB17" s="42">
        <f>+'NPL (ALL)'!BE19</f>
        <v>0</v>
      </c>
      <c r="BC17" s="42">
        <f>+'NPL (ALL)'!BF19</f>
        <v>0</v>
      </c>
      <c r="BD17" s="42">
        <f>+'NPL (ALL)'!BG19</f>
        <v>0</v>
      </c>
      <c r="BE17" s="42">
        <f>+'NPL (ALL)'!BI19</f>
        <v>0</v>
      </c>
      <c r="BF17" s="42">
        <f>+'NPL (ALL)'!BJ19</f>
        <v>0</v>
      </c>
      <c r="BG17" s="42">
        <f>+'NPL (ALL)'!BK19</f>
        <v>0</v>
      </c>
      <c r="BH17" s="42">
        <f>+'NPL (ALL)'!BL19</f>
        <v>0</v>
      </c>
      <c r="BI17" s="42">
        <f>+'NPL (ALL)'!BM19</f>
        <v>0</v>
      </c>
      <c r="BJ17" s="42">
        <f>+'NPL (ALL)'!BQ19</f>
        <v>0</v>
      </c>
      <c r="BK17" s="42">
        <f>+'NPL (ALL)'!BR19</f>
        <v>0</v>
      </c>
      <c r="BL17" s="42">
        <f>+'NPL (ALL)'!BS19</f>
        <v>0</v>
      </c>
      <c r="BM17" s="42">
        <f>+'NPL (ALL)'!BT19</f>
        <v>0</v>
      </c>
      <c r="BN17" s="42">
        <f>+'NPL (ALL)'!BU19</f>
        <v>0</v>
      </c>
      <c r="BO17" s="42">
        <f>+'NPL (ALL)'!BV19</f>
        <v>0</v>
      </c>
      <c r="BP17" s="42">
        <f>+'NPL (ALL)'!BY19</f>
        <v>3.5662399999999996</v>
      </c>
      <c r="BQ17" s="42">
        <f>+'NPL (ALL)'!BZ19</f>
        <v>0</v>
      </c>
      <c r="BR17" s="42">
        <f>+'NPL (ALL)'!CA19</f>
        <v>0</v>
      </c>
      <c r="BS17" s="42">
        <f>+'NPL (ALL)'!CB19</f>
        <v>0</v>
      </c>
      <c r="BT17" s="42">
        <f>+'NPL (ALL)'!CC19</f>
        <v>0</v>
      </c>
      <c r="BU17" s="42">
        <f>+'NPL (ALL)'!CD19</f>
        <v>0</v>
      </c>
      <c r="BV17" s="42">
        <f>+'NPL (ALL)'!CE19</f>
        <v>0</v>
      </c>
      <c r="BW17" s="42">
        <f>+'NPL (ALL)'!CF19</f>
        <v>0</v>
      </c>
      <c r="BX17" s="42">
        <f>+'NPL (ALL)'!CG19</f>
        <v>0</v>
      </c>
      <c r="BY17" s="42">
        <f>+'NPL (ALL)'!CH19</f>
        <v>0</v>
      </c>
      <c r="BZ17" s="42">
        <f>+'NPL (ALL)'!CI19</f>
        <v>0</v>
      </c>
      <c r="CA17" s="42">
        <f>+'NPL (ALL)'!CJ19</f>
        <v>0</v>
      </c>
      <c r="CB17" s="42">
        <f>+'NPL (ALL)'!CK19</f>
        <v>0</v>
      </c>
      <c r="CC17" s="42">
        <f>+'NPL (ALL)'!CL19</f>
        <v>0</v>
      </c>
      <c r="CD17" s="42">
        <f>+'NPL (ALL)'!CM19</f>
        <v>0</v>
      </c>
      <c r="CE17" s="42">
        <f>+'NPL (ALL)'!CN19</f>
        <v>0</v>
      </c>
      <c r="CF17" s="42">
        <f>+'NPL (ALL)'!CO19</f>
        <v>0</v>
      </c>
      <c r="CG17" s="42">
        <f>+'NPL (ALL)'!CP19</f>
        <v>0</v>
      </c>
      <c r="CH17" s="42">
        <f>+'NPL (ALL)'!CQ19</f>
        <v>0</v>
      </c>
      <c r="CI17" s="42">
        <f>+'NPL (ALL)'!CR19</f>
        <v>0</v>
      </c>
      <c r="CJ17" s="42">
        <f>+'NPL (ALL)'!CS19</f>
        <v>0</v>
      </c>
      <c r="CK17" s="42">
        <f>+'NPL (ALL)'!CT19</f>
        <v>0</v>
      </c>
      <c r="CL17" s="42">
        <f>+'NPL (ALL)'!CU19</f>
        <v>0</v>
      </c>
      <c r="CM17" s="42">
        <f>+'NPL (ALL)'!CV19</f>
        <v>0</v>
      </c>
      <c r="CN17" s="42">
        <f>+'NPL (ALL)'!CW19</f>
        <v>0</v>
      </c>
      <c r="CO17" s="42">
        <f>+'NPL (ALL)'!CX19</f>
        <v>0</v>
      </c>
      <c r="CP17" s="42">
        <f>+'NPL (ALL)'!CY19</f>
        <v>0</v>
      </c>
      <c r="CQ17" s="42">
        <f>+'NPL (ALL)'!CZ19</f>
        <v>0</v>
      </c>
      <c r="CR17" s="42">
        <f>+'NPL (ALL)'!DA19</f>
        <v>-24493</v>
      </c>
      <c r="CS17" s="42">
        <f>+'NPL (ALL)'!DB19</f>
        <v>4.2646998570780896</v>
      </c>
      <c r="CT17" s="42">
        <f>+'NPL (ALL)'!DC19</f>
        <v>6.96</v>
      </c>
      <c r="CU17" s="42">
        <f>+'NPL (ALL)'!DD19</f>
        <v>16.66</v>
      </c>
      <c r="CV17" s="42">
        <f>+'NPL (ALL)'!DE19</f>
        <v>1.18</v>
      </c>
      <c r="CW17" s="42">
        <f>+'NPL (ALL)'!DF19</f>
        <v>76.37</v>
      </c>
      <c r="CX17" s="42">
        <f>+'NPL (ALL)'!DG19</f>
        <v>9.4129999999786378</v>
      </c>
      <c r="CY17" s="42">
        <f>+'NPL (ALL)'!DH19</f>
        <v>0</v>
      </c>
      <c r="CZ17" s="42">
        <f>+'NPL (ALL)'!DI19</f>
        <v>0</v>
      </c>
      <c r="DA17" s="42">
        <f>+'NPL (ALL)'!DJ19</f>
        <v>0</v>
      </c>
      <c r="DB17" s="42">
        <f>+'NPL (ALL)'!DK19</f>
        <v>0</v>
      </c>
      <c r="DC17" s="42">
        <f>+'NPL (ALL)'!DL19</f>
        <v>0</v>
      </c>
      <c r="DD17" s="42">
        <f>+'NPL (ALL)'!DM19</f>
        <v>0</v>
      </c>
      <c r="DE17" s="42">
        <f>+'NPL (ALL)'!DN19</f>
        <v>0</v>
      </c>
      <c r="DF17" s="42">
        <f>+'NPL (ALL)'!DO19</f>
        <v>0</v>
      </c>
      <c r="DG17" s="42">
        <f>+'NPL (ALL)'!DP19</f>
        <v>0</v>
      </c>
    </row>
    <row r="18" spans="1:111" s="39" customFormat="1" ht="17.25" hidden="1" customHeight="1" thickBot="1">
      <c r="A18" s="798"/>
      <c r="B18" s="782"/>
      <c r="C18" s="43" t="s">
        <v>9</v>
      </c>
      <c r="D18" s="85">
        <f>+'NPL (ALL)'!D20</f>
        <v>4615.8976416462792</v>
      </c>
      <c r="E18" s="85">
        <f>+'NPL (ALL)'!E20</f>
        <v>4345.4122269057498</v>
      </c>
      <c r="F18" s="44">
        <f>+'[2]NPL (ALL)'!F17</f>
        <v>4755.906434399998</v>
      </c>
      <c r="G18" s="44">
        <f>+'[2]NPL (ALL)'!G17</f>
        <v>4595.2499032541073</v>
      </c>
      <c r="H18" s="44">
        <f>+'[2]NPL (ALL)'!H17</f>
        <v>3890.0926390834857</v>
      </c>
      <c r="I18" s="44">
        <f>+'[2]NPL (ALL)'!I17</f>
        <v>3722.7130198171517</v>
      </c>
      <c r="J18" s="44">
        <f>+'[2]NPL (ALL)'!J17</f>
        <v>4181</v>
      </c>
      <c r="K18" s="44">
        <f>+'[2]NPL (ALL)'!K17</f>
        <v>4120.4952117732773</v>
      </c>
      <c r="L18" s="44">
        <f>+'[2]NPL (ALL)'!L17</f>
        <v>3733.1267570636419</v>
      </c>
      <c r="M18" s="44">
        <f>+'[2]NPL (ALL)'!M17</f>
        <v>4542.1909194375858</v>
      </c>
      <c r="N18" s="44">
        <f>+'[2]NPL (ALL)'!N17</f>
        <v>4248.8610553808539</v>
      </c>
      <c r="O18" s="44">
        <f>+'[2]NPL (ALL)'!O17</f>
        <v>4669.8624374390529</v>
      </c>
      <c r="P18" s="44">
        <f>+'[2]NPL (ALL)'!P17</f>
        <v>4563.8976523696956</v>
      </c>
      <c r="Q18" s="44">
        <f>+'[2]NPL (ALL)'!Q17</f>
        <v>4833.2970594423123</v>
      </c>
      <c r="R18" s="44">
        <f>+'NPL (ALL)'!R20</f>
        <v>5121.6133760120529</v>
      </c>
      <c r="S18" s="44">
        <f>+'NPL (ALL)'!S20</f>
        <v>4993.46055778349</v>
      </c>
      <c r="T18" s="44">
        <f>+'NPL (ALL)'!T20</f>
        <v>5170.6904263104561</v>
      </c>
      <c r="U18" s="44">
        <f>+'NPL (ALL)'!U20</f>
        <v>5123.3015841046999</v>
      </c>
      <c r="V18" s="44">
        <f>+'NPL (ALL)'!V20</f>
        <v>4764.7186894209444</v>
      </c>
      <c r="W18" s="44">
        <f>+'NPL (ALL)'!W20</f>
        <v>4911.4195883253196</v>
      </c>
      <c r="X18" s="44">
        <f>+'NPL (ALL)'!X20</f>
        <v>4661.2547087100447</v>
      </c>
      <c r="Y18" s="44">
        <f>+'NPL (ALL)'!Y20</f>
        <v>5903.0279069144071</v>
      </c>
      <c r="Z18" s="44">
        <f>+'NPL (ALL)'!Z20</f>
        <v>4852.3333208553004</v>
      </c>
      <c r="AA18" s="44">
        <f>+'NPL (ALL)'!AA20</f>
        <v>6205.8549144604276</v>
      </c>
      <c r="AB18" s="44">
        <f>+'NPL (ALL)'!AB20</f>
        <v>5782.3664873113557</v>
      </c>
      <c r="AC18" s="44">
        <f>+'NPL (ALL)'!AC20</f>
        <v>5706.5637008210433</v>
      </c>
      <c r="AD18" s="44">
        <f>+'NPL (ALL)'!AD20</f>
        <v>5939.6924056383859</v>
      </c>
      <c r="AE18" s="44">
        <f>+'NPL (ALL)'!AE20</f>
        <v>6020.6041922909735</v>
      </c>
      <c r="AF18" s="44">
        <f>+'NPL (ALL)'!AF20</f>
        <v>6197.3252620655958</v>
      </c>
      <c r="AG18" s="44">
        <f>+'NPL (ALL)'!AG20</f>
        <v>6119.8155773626468</v>
      </c>
      <c r="AH18" s="44">
        <f>+'NPL (ALL)'!AH20</f>
        <v>6218.4515782603576</v>
      </c>
      <c r="AI18" s="44">
        <f>+'NPL (ALL)'!AI20</f>
        <v>6924.5497930652446</v>
      </c>
      <c r="AJ18" s="44">
        <f>+'NPL (ALL)'!AJ20</f>
        <v>6232.0394614871584</v>
      </c>
      <c r="AK18" s="44">
        <f>+'NPL (ALL)'!AK20</f>
        <v>8070.301319240024</v>
      </c>
      <c r="AL18" s="44">
        <f>+'NPL (ALL)'!AL20</f>
        <v>7169.9646236363824</v>
      </c>
      <c r="AM18" s="44">
        <f>+'NPL (ALL)'!AM20</f>
        <v>9769.9413872864534</v>
      </c>
      <c r="AN18" s="44">
        <f>+'NPL (ALL)'!AN20</f>
        <v>7424.7855104219825</v>
      </c>
      <c r="AO18" s="44">
        <f>+'NPL (ALL)'!AO20</f>
        <v>9813.5319882124168</v>
      </c>
      <c r="AP18" s="44">
        <f>+'NPL (ALL)'!AP20</f>
        <v>7186.9456344657883</v>
      </c>
      <c r="AQ18" s="44">
        <f>+'NPL (ALL)'!AQ20</f>
        <v>7950.5584919620414</v>
      </c>
      <c r="AR18" s="44">
        <f>+'NPL (ALL)'!AR20</f>
        <v>8273.6793052677822</v>
      </c>
      <c r="AS18" s="44">
        <f>+'NPL (ALL)'!AS20</f>
        <v>9678.178310808953</v>
      </c>
      <c r="AT18" s="44">
        <f>+'NPL (ALL)'!AT20</f>
        <v>12056.03501015831</v>
      </c>
      <c r="AU18" s="44">
        <f>+'NPL (ALL)'!AU20</f>
        <v>11920.047232341059</v>
      </c>
      <c r="AV18" s="44">
        <f>+'NPL (ALL)'!AV20</f>
        <v>12682.364668237255</v>
      </c>
      <c r="AW18" s="44">
        <f>+'NPL (ALL)'!AW20</f>
        <v>13673.431855270668</v>
      </c>
      <c r="AX18" s="44">
        <f>+'NPL (ALL)'!AZ20</f>
        <v>14239.565893601073</v>
      </c>
      <c r="AY18" s="44">
        <f>+'NPL (ALL)'!BB20</f>
        <v>12995.914287422309</v>
      </c>
      <c r="AZ18" s="44">
        <f>+'NPL (ALL)'!BC20</f>
        <v>12286.425675460874</v>
      </c>
      <c r="BA18" s="44">
        <f>+'NPL (ALL)'!BD20</f>
        <v>16430.675461272614</v>
      </c>
      <c r="BB18" s="44">
        <f>+'NPL (ALL)'!BE20</f>
        <v>17544.592269900142</v>
      </c>
      <c r="BC18" s="44">
        <f>+'NPL (ALL)'!BF20</f>
        <v>20868.619086806375</v>
      </c>
      <c r="BD18" s="44">
        <f>+'NPL (ALL)'!BG20</f>
        <v>17899.156561649179</v>
      </c>
      <c r="BE18" s="44">
        <f>+'NPL (ALL)'!BI20</f>
        <v>20836.196964853025</v>
      </c>
      <c r="BF18" s="44">
        <f>+'NPL (ALL)'!BJ20</f>
        <v>18235.264704472804</v>
      </c>
      <c r="BG18" s="44">
        <f>+'NPL (ALL)'!BK20</f>
        <v>22654.996644616363</v>
      </c>
      <c r="BH18" s="44">
        <f>+'NPL (ALL)'!BL20</f>
        <v>19708.909787921941</v>
      </c>
      <c r="BI18" s="44">
        <f>+'NPL (ALL)'!BM20</f>
        <v>18255.730290048508</v>
      </c>
      <c r="BJ18" s="44">
        <f>+'NPL (ALL)'!BQ20</f>
        <v>23567.397004353224</v>
      </c>
      <c r="BK18" s="44">
        <f>+'NPL (ALL)'!BR20</f>
        <v>22310.651378401551</v>
      </c>
      <c r="BL18" s="44">
        <f>+'NPL (ALL)'!BS20</f>
        <v>22819.489582937953</v>
      </c>
      <c r="BM18" s="44">
        <f>+'NPL (ALL)'!BT20</f>
        <v>25499.734547205659</v>
      </c>
      <c r="BN18" s="44">
        <f>+'NPL (ALL)'!BU20</f>
        <v>26369.956781053846</v>
      </c>
      <c r="BO18" s="44">
        <f>+'NPL (ALL)'!BV20</f>
        <v>21045.476285736877</v>
      </c>
      <c r="BP18" s="44">
        <f>+'NPL (ALL)'!BY20</f>
        <v>11953.635216600778</v>
      </c>
      <c r="BQ18" s="44">
        <f>+'NPL (ALL)'!BZ20</f>
        <v>27299.397187523668</v>
      </c>
      <c r="BR18" s="44">
        <f>+'NPL (ALL)'!CA20</f>
        <v>20839.076118115892</v>
      </c>
      <c r="BS18" s="44">
        <f>+'NPL (ALL)'!CB20</f>
        <v>27313.124896858419</v>
      </c>
      <c r="BT18" s="44">
        <f>+'NPL (ALL)'!CC20</f>
        <v>23004.886173760791</v>
      </c>
      <c r="BU18" s="44">
        <f>+'NPL (ALL)'!CD20</f>
        <v>27089.035646079275</v>
      </c>
      <c r="BV18" s="44">
        <f>+'NPL (ALL)'!CE20</f>
        <v>32459.177385257561</v>
      </c>
      <c r="BW18" s="44">
        <f>+'NPL (ALL)'!CF20</f>
        <v>23014.519634653163</v>
      </c>
      <c r="BX18" s="44">
        <f>+'NPL (ALL)'!CG20</f>
        <v>28408.688525687721</v>
      </c>
      <c r="BY18" s="44">
        <f>+'NPL (ALL)'!CH20</f>
        <v>17033.282204461193</v>
      </c>
      <c r="BZ18" s="44">
        <f>+'NPL (ALL)'!CI20</f>
        <v>29702.231424796668</v>
      </c>
      <c r="CA18" s="44">
        <f>+'NPL (ALL)'!CJ20</f>
        <v>26304.024282409351</v>
      </c>
      <c r="CB18" s="44">
        <f>+'NPL (ALL)'!CK20</f>
        <v>21655.709656116473</v>
      </c>
      <c r="CC18" s="44">
        <f>+'NPL (ALL)'!CL20</f>
        <v>29701.989599415829</v>
      </c>
      <c r="CD18" s="44">
        <f>+'NPL (ALL)'!CM20</f>
        <v>23750.198682059367</v>
      </c>
      <c r="CE18" s="44">
        <f>+'NPL (ALL)'!CN20</f>
        <v>26325.183178938823</v>
      </c>
      <c r="CF18" s="44">
        <f>+'NPL (ALL)'!CO20</f>
        <v>32567.608556862888</v>
      </c>
      <c r="CG18" s="44">
        <f>+'NPL (ALL)'!CP20</f>
        <v>24401.182836285574</v>
      </c>
      <c r="CH18" s="44">
        <f>+'NPL (ALL)'!CQ20</f>
        <v>33344.147079949733</v>
      </c>
      <c r="CI18" s="44">
        <f>+'NPL (ALL)'!CR20</f>
        <v>26798.627922461546</v>
      </c>
      <c r="CJ18" s="44">
        <f>+'NPL (ALL)'!CS20</f>
        <v>28741.55825706742</v>
      </c>
      <c r="CK18" s="44">
        <f>+'NPL (ALL)'!CT20</f>
        <v>27813.847382068627</v>
      </c>
      <c r="CL18" s="44">
        <f>+'NPL (ALL)'!CU20</f>
        <v>29923.722625312013</v>
      </c>
      <c r="CM18" s="44">
        <f>+'NPL (ALL)'!CV20</f>
        <v>30101.139781657417</v>
      </c>
      <c r="CN18" s="44">
        <f>+'NPL (ALL)'!CW20</f>
        <v>30054.434997951907</v>
      </c>
      <c r="CO18" s="44">
        <f>+'NPL (ALL)'!CX20</f>
        <v>22074.558594674985</v>
      </c>
      <c r="CP18" s="44">
        <f>+'NPL (ALL)'!CY20</f>
        <v>18435.281297304413</v>
      </c>
      <c r="CQ18" s="44">
        <f>+'NPL (ALL)'!CZ20</f>
        <v>27165.441409372565</v>
      </c>
      <c r="CR18" s="44">
        <f>+'NPL (ALL)'!DA20</f>
        <v>11494.75112999999</v>
      </c>
      <c r="CS18" s="44">
        <f>+'NPL (ALL)'!DB20</f>
        <v>29121.012839857071</v>
      </c>
      <c r="CT18" s="44">
        <f>+'NPL (ALL)'!DC20</f>
        <v>37214.723660000003</v>
      </c>
      <c r="CU18" s="44">
        <f>+'NPL (ALL)'!DD20</f>
        <v>27814.680150000004</v>
      </c>
      <c r="CV18" s="44">
        <f>+'NPL (ALL)'!DE20</f>
        <v>-14310.238450000004</v>
      </c>
      <c r="CW18" s="44">
        <f>+'NPL (ALL)'!DF20</f>
        <v>44175.367990000013</v>
      </c>
      <c r="CX18" s="44">
        <f>+'NPL (ALL)'!DG20</f>
        <v>31648.9613688598</v>
      </c>
      <c r="CY18" s="44">
        <f>+'NPL (ALL)'!DH20</f>
        <v>0</v>
      </c>
      <c r="CZ18" s="44">
        <f>+'NPL (ALL)'!DI20</f>
        <v>0</v>
      </c>
      <c r="DA18" s="44">
        <f>+'NPL (ALL)'!DJ20</f>
        <v>0</v>
      </c>
      <c r="DB18" s="44">
        <f>+'NPL (ALL)'!DK20</f>
        <v>0</v>
      </c>
      <c r="DC18" s="44">
        <f>+'NPL (ALL)'!DL20</f>
        <v>0</v>
      </c>
      <c r="DD18" s="44">
        <f>+'NPL (ALL)'!DM20</f>
        <v>0</v>
      </c>
      <c r="DE18" s="44">
        <f>+'NPL (ALL)'!DN20</f>
        <v>0</v>
      </c>
      <c r="DF18" s="44">
        <f>+'NPL (ALL)'!DO20</f>
        <v>0</v>
      </c>
      <c r="DG18" s="44">
        <f>+'NPL (ALL)'!DP20</f>
        <v>0</v>
      </c>
    </row>
    <row r="19" spans="1:111" s="39" customFormat="1" ht="17.25" customHeight="1" thickBot="1">
      <c r="A19" s="798"/>
      <c r="B19" s="783" t="s">
        <v>30</v>
      </c>
      <c r="C19" s="784"/>
      <c r="D19" s="217">
        <f>+'NPL (ALL)'!D25</f>
        <v>20907.189879605565</v>
      </c>
      <c r="E19" s="217">
        <f>+'NPL (ALL)'!E25</f>
        <v>20819.802966511317</v>
      </c>
      <c r="F19" s="218">
        <f>+'[2]NPL (ALL)'!F21</f>
        <v>23311.86919189219</v>
      </c>
      <c r="G19" s="218">
        <f>+'[2]NPL (ALL)'!G21</f>
        <v>22677.836075146297</v>
      </c>
      <c r="H19" s="218">
        <f>+'[2]NPL (ALL)'!H21</f>
        <v>22565.490402206586</v>
      </c>
      <c r="I19" s="218">
        <f>+'[2]NPL (ALL)'!I21</f>
        <v>22130.721386746627</v>
      </c>
      <c r="J19" s="218">
        <f>+'[2]NPL (ALL)'!J21</f>
        <v>22199.838161991218</v>
      </c>
      <c r="K19" s="218">
        <f>+'[2]NPL (ALL)'!K21</f>
        <v>21852.842321565735</v>
      </c>
      <c r="L19" s="218">
        <f>+'[2]NPL (ALL)'!L21</f>
        <v>20967.111308629377</v>
      </c>
      <c r="M19" s="218">
        <f>+'[2]NPL (ALL)'!M21</f>
        <v>22520.549408066963</v>
      </c>
      <c r="N19" s="218">
        <f>+'[2]NPL (ALL)'!N21</f>
        <v>22261.293312141705</v>
      </c>
      <c r="O19" s="218">
        <f>+'[2]NPL (ALL)'!O21</f>
        <v>23015.324439580756</v>
      </c>
      <c r="P19" s="218">
        <f>+'[2]NPL (ALL)'!P21</f>
        <v>23520.619621950453</v>
      </c>
      <c r="Q19" s="218">
        <f>+'[2]NPL (ALL)'!Q21</f>
        <v>24868.902241392763</v>
      </c>
      <c r="R19" s="218">
        <f>+'NPL (ALL)'!R25</f>
        <v>25440.710537404819</v>
      </c>
      <c r="S19" s="218">
        <f>+'NPL (ALL)'!S25</f>
        <v>25459.518665188309</v>
      </c>
      <c r="T19" s="218">
        <f>+'NPL (ALL)'!T25</f>
        <v>25310.395261498765</v>
      </c>
      <c r="U19" s="218">
        <f>+'NPL (ALL)'!U25</f>
        <v>26090.021185603466</v>
      </c>
      <c r="V19" s="218">
        <f>+'NPL (ALL)'!V25</f>
        <v>26275.58967502441</v>
      </c>
      <c r="W19" s="218">
        <f>+'NPL (ALL)'!W25</f>
        <v>26903.319773349729</v>
      </c>
      <c r="X19" s="218">
        <f>+'NPL (ALL)'!X25</f>
        <v>27114.839042059775</v>
      </c>
      <c r="Y19" s="218">
        <f>+'NPL (ALL)'!Y25</f>
        <v>31001.156858974184</v>
      </c>
      <c r="Z19" s="218">
        <f>+'NPL (ALL)'!Z25</f>
        <v>31283.906949829485</v>
      </c>
      <c r="AA19" s="218">
        <f>+'NPL (ALL)'!AA25</f>
        <v>32904.414534289914</v>
      </c>
      <c r="AB19" s="218">
        <f>+'NPL (ALL)'!AB25</f>
        <v>31930.208491601268</v>
      </c>
      <c r="AC19" s="218">
        <f>+'NPL (ALL)'!AC25</f>
        <v>31856.637412422311</v>
      </c>
      <c r="AD19" s="218">
        <f>+'NPL (ALL)'!AD25</f>
        <v>33194.8065944751</v>
      </c>
      <c r="AE19" s="218">
        <f>+'NPL (ALL)'!AE25</f>
        <v>33410.492626766078</v>
      </c>
      <c r="AF19" s="218">
        <f>+'NPL (ALL)'!AF25</f>
        <v>34068.40512883167</v>
      </c>
      <c r="AG19" s="218">
        <f>+'NPL (ALL)'!AG25</f>
        <v>33858.202216194317</v>
      </c>
      <c r="AH19" s="218">
        <f>+'NPL (ALL)'!AH25</f>
        <v>33759.660524454674</v>
      </c>
      <c r="AI19" s="218">
        <f>+'NPL (ALL)'!AI25</f>
        <v>34867.217047519916</v>
      </c>
      <c r="AJ19" s="218">
        <f>+'NPL (ALL)'!AJ25</f>
        <v>34969.618249007079</v>
      </c>
      <c r="AK19" s="218">
        <f>+'NPL (ALL)'!AK25</f>
        <v>41541.355048247104</v>
      </c>
      <c r="AL19" s="218">
        <f>+'NPL (ALL)'!AL25</f>
        <v>41977.237711883492</v>
      </c>
      <c r="AM19" s="218">
        <f>+'NPL (ALL)'!AM25</f>
        <v>45916.180969169945</v>
      </c>
      <c r="AN19" s="218">
        <f>+'NPL (ALL)'!AN25</f>
        <v>46638.022139591922</v>
      </c>
      <c r="AO19" s="218">
        <f>+'NPL (ALL)'!AO25</f>
        <v>50445.986097804343</v>
      </c>
      <c r="AP19" s="218">
        <f>+'NPL (ALL)'!AP25</f>
        <v>49820.944182270134</v>
      </c>
      <c r="AQ19" s="218">
        <f>+'NPL (ALL)'!AQ25</f>
        <v>49324.685234232173</v>
      </c>
      <c r="AR19" s="218">
        <f>+'NPL (ALL)'!AR25</f>
        <v>50052.42294949996</v>
      </c>
      <c r="AS19" s="218">
        <f>+'NPL (ALL)'!AS25</f>
        <v>52208.747340308917</v>
      </c>
      <c r="AT19" s="218">
        <f>+'NPL (ALL)'!AT25</f>
        <v>57173.000640467224</v>
      </c>
      <c r="AU19" s="218">
        <f>+'NPL (ALL)'!AU25</f>
        <v>60088.032312808282</v>
      </c>
      <c r="AV19" s="218">
        <f>+'NPL (ALL)'!AV25</f>
        <v>63933.176791045538</v>
      </c>
      <c r="AW19" s="218">
        <f>+'NPL (ALL)'!AW25</f>
        <v>69495.200856316209</v>
      </c>
      <c r="AX19" s="218">
        <f>+'NPL (ALL)'!AX25</f>
        <v>76352.902588695521</v>
      </c>
      <c r="AY19" s="218">
        <f>+'NPL (ALL)'!AY25</f>
        <v>83834.020879971256</v>
      </c>
      <c r="AZ19" s="218">
        <f>+'NPL (ALL)'!AZ25</f>
        <v>87092.786823572329</v>
      </c>
      <c r="BA19" s="218">
        <f>+'NPL (ALL)'!BA25</f>
        <v>91528.195508961348</v>
      </c>
      <c r="BB19" s="218">
        <f>+'NPL (ALL)'!BB25</f>
        <v>91534.287426383657</v>
      </c>
      <c r="BC19" s="218">
        <f>+'NPL (ALL)'!BC25</f>
        <v>90399.187071844528</v>
      </c>
      <c r="BD19" s="218">
        <f>+'NPL (ALL)'!BD25</f>
        <v>91051.282083117141</v>
      </c>
      <c r="BE19" s="218">
        <f>+'NPL (ALL)'!BE25</f>
        <v>97535.980913017294</v>
      </c>
      <c r="BF19" s="218">
        <f>+'NPL (ALL)'!BF25</f>
        <v>106493.69142982368</v>
      </c>
      <c r="BG19" s="218">
        <f>+'NPL (ALL)'!BG25</f>
        <v>111167.68256147286</v>
      </c>
      <c r="BH19" s="218">
        <f>+'NPL (ALL)'!BH25</f>
        <v>120997.2732745119</v>
      </c>
      <c r="BI19" s="218">
        <f>+'NPL (ALL)'!BI25</f>
        <v>131972.20994936491</v>
      </c>
      <c r="BJ19" s="218">
        <f>+'NPL (ALL)'!BJ25</f>
        <v>135442.0454738377</v>
      </c>
      <c r="BK19" s="218">
        <f>+'NPL (ALL)'!BK25</f>
        <v>144083.67963845408</v>
      </c>
      <c r="BL19" s="218">
        <f>+'NPL (ALL)'!BL25</f>
        <v>143765.29609637603</v>
      </c>
      <c r="BM19" s="218">
        <f>+'NPL (ALL)'!BM25</f>
        <v>139051.39154642454</v>
      </c>
      <c r="BN19" s="218">
        <f>+'NPL (ALL)'!BN25</f>
        <v>137936.57782315521</v>
      </c>
      <c r="BO19" s="218">
        <f>+'NPL (ALL)'!BO25</f>
        <v>137313.82807640953</v>
      </c>
      <c r="BP19" s="218">
        <f>+'NPL (ALL)'!BP25</f>
        <v>143812.19168809897</v>
      </c>
      <c r="BQ19" s="218">
        <f>+'NPL (ALL)'!BQ25</f>
        <v>144378.98020245219</v>
      </c>
      <c r="BR19" s="218">
        <f>+'NPL (ALL)'!BR25</f>
        <v>143619.73102085374</v>
      </c>
      <c r="BS19" s="218">
        <f>+'NPL (ALL)'!BS25</f>
        <v>143281.4151437917</v>
      </c>
      <c r="BT19" s="218">
        <f>+'NPL (ALL)'!BT25</f>
        <v>145800.82885099738</v>
      </c>
      <c r="BU19" s="218">
        <f>+'NPL (ALL)'!BU25</f>
        <v>152732.02852205123</v>
      </c>
      <c r="BV19" s="218">
        <f>+'NPL (ALL)'!BV25</f>
        <v>150519.54160778812</v>
      </c>
      <c r="BW19" s="218">
        <f>+'NPL (ALL)'!BW25</f>
        <v>157977.51867381477</v>
      </c>
      <c r="BX19" s="218">
        <f>+'NPL (ALL)'!BX25</f>
        <v>161953.99728557837</v>
      </c>
      <c r="BY19" s="218">
        <f>+'NPL (ALL)'!BY25</f>
        <v>125185.33130217914</v>
      </c>
      <c r="BZ19" s="218">
        <f>+'NPL (ALL)'!BZ25</f>
        <v>140031.71282970282</v>
      </c>
      <c r="CA19" s="218">
        <f>+'NPL (ALL)'!CA25</f>
        <v>138488.47477781874</v>
      </c>
      <c r="CB19" s="218">
        <f>+'NPL (ALL)'!CB25</f>
        <v>142555.32418467721</v>
      </c>
      <c r="CC19" s="218">
        <f>+'NPL (ALL)'!CC25</f>
        <v>143921.88269843804</v>
      </c>
      <c r="CD19" s="218">
        <f>+'NPL (ALL)'!CD25</f>
        <v>146527.44232451738</v>
      </c>
      <c r="CE19" s="218">
        <f>+'NPL (ALL)'!CE25</f>
        <v>153165.07104977503</v>
      </c>
      <c r="CF19" s="218">
        <f>+'NPL (ALL)'!CF25</f>
        <v>151059.59703442824</v>
      </c>
      <c r="CG19" s="218">
        <f>+'NPL (ALL)'!CG25</f>
        <v>155565.86304011598</v>
      </c>
      <c r="CH19" s="218">
        <f>+'NPL (ALL)'!CH25</f>
        <v>147762.56490457722</v>
      </c>
      <c r="CI19" s="218">
        <f>+'NPL (ALL)'!CI25</f>
        <v>151190.13759937391</v>
      </c>
      <c r="CJ19" s="218">
        <f>+'NPL (ALL)'!CJ25</f>
        <v>153415.18147178332</v>
      </c>
      <c r="CK19" s="218">
        <f>+'NPL (ALL)'!CK25</f>
        <v>149700.49335789983</v>
      </c>
      <c r="CL19" s="218">
        <f>+'NPL (ALL)'!CL25</f>
        <v>154304.79683731572</v>
      </c>
      <c r="CM19" s="218">
        <f>+'NPL (ALL)'!CM25</f>
        <v>154454.3465993751</v>
      </c>
      <c r="CN19" s="218">
        <f>+'NPL (ALL)'!CN25</f>
        <v>156729.16727831395</v>
      </c>
      <c r="CO19" s="218">
        <f>+'NPL (ALL)'!CO25</f>
        <v>164437.98330517689</v>
      </c>
      <c r="CP19" s="218">
        <f>+'NPL (ALL)'!CP25</f>
        <v>162762.00658146251</v>
      </c>
      <c r="CQ19" s="218">
        <f>+'NPL (ALL)'!CQ25</f>
        <v>170161.8519814123</v>
      </c>
      <c r="CR19" s="218">
        <f>+'NPL (ALL)'!CR25</f>
        <v>170551.69589387387</v>
      </c>
      <c r="CS19" s="218">
        <f>+'NPL (ALL)'!CS25</f>
        <v>171630.16951094131</v>
      </c>
      <c r="CT19" s="218">
        <f>+'NPL (ALL)'!CT25</f>
        <v>169596.45795300996</v>
      </c>
      <c r="CU19" s="218">
        <f>+'NPL (ALL)'!CU25</f>
        <v>170839.00071832197</v>
      </c>
      <c r="CV19" s="218">
        <f>+'NPL (ALL)'!CV25</f>
        <v>172140.19526997945</v>
      </c>
      <c r="CW19" s="218">
        <f>+'NPL (ALL)'!CW25</f>
        <v>172406.66264793137</v>
      </c>
      <c r="CX19" s="218">
        <f>+'NPL (ALL)'!CX25</f>
        <v>164941.94160260636</v>
      </c>
      <c r="CY19" s="218">
        <f>+'NPL (ALL)'!CY25</f>
        <v>154310.86970991074</v>
      </c>
      <c r="CZ19" s="218">
        <f>+'NPL (ALL)'!CZ25</f>
        <v>154164.7069892833</v>
      </c>
      <c r="DA19" s="218">
        <f>+'NPL (ALL)'!DA25</f>
        <v>616513.09279928333</v>
      </c>
      <c r="DB19" s="218">
        <f>+'NPL (ALL)'!DB25</f>
        <v>611481.09279928333</v>
      </c>
      <c r="DC19" s="218">
        <f>+'NPL (ALL)'!DC25</f>
        <v>616705.79279928328</v>
      </c>
      <c r="DD19" s="218">
        <f>+'NPL (ALL)'!DD25</f>
        <v>603576.67279928329</v>
      </c>
      <c r="DE19" s="218">
        <f>+'NPL (ALL)'!DE25</f>
        <v>562804.03279928328</v>
      </c>
      <c r="DF19" s="218">
        <f>+'NPL (ALL)'!DF25</f>
        <v>558308.87279928324</v>
      </c>
      <c r="DG19" s="218">
        <f>+'NPL (ALL)'!DG25</f>
        <v>556077.12461367447</v>
      </c>
    </row>
    <row r="20" spans="1:111" s="39" customFormat="1" ht="17.25" customHeight="1">
      <c r="A20" s="797"/>
      <c r="B20" s="848" t="s">
        <v>7</v>
      </c>
      <c r="C20" s="849"/>
      <c r="D20" s="82">
        <f>+'NPL (ALL)'!D21</f>
        <v>23293.0321</v>
      </c>
      <c r="E20" s="82">
        <f>+'NPL (ALL)'!E21</f>
        <v>22955.888480000001</v>
      </c>
      <c r="F20" s="40">
        <f>+'[2]NPL (ALL)'!F18</f>
        <v>25271.257969999999</v>
      </c>
      <c r="G20" s="40">
        <f>+'[2]NPL (ALL)'!G18</f>
        <v>24308.431490000003</v>
      </c>
      <c r="H20" s="40">
        <f>+'[2]NPL (ALL)'!H18</f>
        <v>22674.566729999999</v>
      </c>
      <c r="I20" s="40">
        <f>+'[2]NPL (ALL)'!I18</f>
        <v>23151.922120000003</v>
      </c>
      <c r="J20" s="40">
        <f>+'[2]NPL (ALL)'!J18</f>
        <v>23573.269880000003</v>
      </c>
      <c r="K20" s="40">
        <f>+'[2]NPL (ALL)'!K18</f>
        <v>21339.9532</v>
      </c>
      <c r="L20" s="40">
        <f>+'[2]NPL (ALL)'!L18</f>
        <v>19790.554649999998</v>
      </c>
      <c r="M20" s="40">
        <f>+'[2]NPL (ALL)'!M18</f>
        <v>21581.714550000001</v>
      </c>
      <c r="N20" s="40">
        <f>+'[2]NPL (ALL)'!N18</f>
        <v>21222.475869999998</v>
      </c>
      <c r="O20" s="40">
        <f>+'[2]NPL (ALL)'!O18</f>
        <v>23293.543160000001</v>
      </c>
      <c r="P20" s="40">
        <f>+'[2]NPL (ALL)'!P18</f>
        <v>22554.806329999999</v>
      </c>
      <c r="Q20" s="40">
        <f>+'[2]NPL (ALL)'!Q18</f>
        <v>20231.267889999999</v>
      </c>
      <c r="R20" s="40">
        <f>+'NPL (ALL)'!R21</f>
        <v>20856.92182</v>
      </c>
      <c r="S20" s="40">
        <f>+'NPL (ALL)'!S21</f>
        <v>21388.341640000002</v>
      </c>
      <c r="T20" s="40">
        <f>+'NPL (ALL)'!T21</f>
        <v>20741.579150000001</v>
      </c>
      <c r="U20" s="40">
        <f>+'NPL (ALL)'!U21</f>
        <v>21170.941409999999</v>
      </c>
      <c r="V20" s="40">
        <f>+'NPL (ALL)'!V21</f>
        <v>21054.77404</v>
      </c>
      <c r="W20" s="40">
        <f>+'NPL (ALL)'!W21</f>
        <v>22412.177589999996</v>
      </c>
      <c r="X20" s="40">
        <f>+'NPL (ALL)'!X21</f>
        <v>22509.7474</v>
      </c>
      <c r="Y20" s="40">
        <f>+'NPL (ALL)'!Y21</f>
        <v>24452.709849999999</v>
      </c>
      <c r="Z20" s="40">
        <f>+'NPL (ALL)'!Z21</f>
        <v>25008.94025</v>
      </c>
      <c r="AA20" s="40">
        <f>+'NPL (ALL)'!AA21</f>
        <v>24584.634709999998</v>
      </c>
      <c r="AB20" s="40">
        <f>+'NPL (ALL)'!AB21</f>
        <v>24988.417910000004</v>
      </c>
      <c r="AC20" s="40">
        <f>+'NPL (ALL)'!AC21</f>
        <v>23663.663059999999</v>
      </c>
      <c r="AD20" s="40">
        <f>+'NPL (ALL)'!AD21</f>
        <v>25620.027439999998</v>
      </c>
      <c r="AE20" s="40">
        <f>+'NPL (ALL)'!AE21</f>
        <v>27692.579899999997</v>
      </c>
      <c r="AF20" s="40">
        <f>+'NPL (ALL)'!AF21</f>
        <v>28210.799290000003</v>
      </c>
      <c r="AG20" s="40">
        <f>+'NPL (ALL)'!AG21</f>
        <v>27279.04392</v>
      </c>
      <c r="AH20" s="40">
        <f>+'NPL (ALL)'!AH21</f>
        <v>28461.109350000002</v>
      </c>
      <c r="AI20" s="40">
        <f>+'NPL (ALL)'!AI21</f>
        <v>29843.136879999998</v>
      </c>
      <c r="AJ20" s="40">
        <f>+'NPL (ALL)'!AJ21</f>
        <v>28759.542580000001</v>
      </c>
      <c r="AK20" s="40">
        <f>+'NPL (ALL)'!AK21</f>
        <v>32014.804460000003</v>
      </c>
      <c r="AL20" s="40">
        <f>+'NPL (ALL)'!AL21</f>
        <v>36843.201359999999</v>
      </c>
      <c r="AM20" s="40">
        <f>+'NPL (ALL)'!AM21</f>
        <v>34956.091349999995</v>
      </c>
      <c r="AN20" s="40">
        <f>+'NPL (ALL)'!AN21</f>
        <v>32473.825669999998</v>
      </c>
      <c r="AO20" s="40">
        <f>+'NPL (ALL)'!AO21</f>
        <v>35048.406669999997</v>
      </c>
      <c r="AP20" s="40">
        <f>+'NPL (ALL)'!AP21</f>
        <v>36415.270280000004</v>
      </c>
      <c r="AQ20" s="40">
        <f>+'NPL (ALL)'!AQ21</f>
        <v>35499.33468</v>
      </c>
      <c r="AR20" s="40">
        <f>+'NPL (ALL)'!AR21</f>
        <v>36346.985479999996</v>
      </c>
      <c r="AS20" s="40">
        <f>+'NPL (ALL)'!AS21</f>
        <v>38180.943329999995</v>
      </c>
      <c r="AT20" s="40">
        <f>+'NPL (ALL)'!AT21</f>
        <v>41756.783920000002</v>
      </c>
      <c r="AU20" s="40">
        <f>+'NPL (ALL)'!AU21</f>
        <v>46137.76483</v>
      </c>
      <c r="AV20" s="40">
        <f>+'NPL (ALL)'!AV21</f>
        <v>49973.136779999993</v>
      </c>
      <c r="AW20" s="40">
        <f>+'NPL (ALL)'!AW21</f>
        <v>53015.352819999993</v>
      </c>
      <c r="AX20" s="40">
        <f>+'NPL (ALL)'!AX21</f>
        <v>60947.507989999998</v>
      </c>
      <c r="AY20" s="40">
        <f>+'NPL (ALL)'!AY21</f>
        <v>59869.396599999993</v>
      </c>
      <c r="AZ20" s="40">
        <f>+'NPL (ALL)'!AZ21</f>
        <v>62981.178179999995</v>
      </c>
      <c r="BA20" s="40">
        <f>+'NPL (ALL)'!BA21</f>
        <v>65520.908870000007</v>
      </c>
      <c r="BB20" s="40">
        <f>+'NPL (ALL)'!BB21</f>
        <v>64997.889999999992</v>
      </c>
      <c r="BC20" s="40">
        <f>+'NPL (ALL)'!BC21</f>
        <v>66877.057359999992</v>
      </c>
      <c r="BD20" s="40">
        <f>+'NPL (ALL)'!BD21</f>
        <v>70061.116250000006</v>
      </c>
      <c r="BE20" s="40">
        <f>+'NPL (ALL)'!BE21</f>
        <v>71924.356939999998</v>
      </c>
      <c r="BF20" s="40">
        <f>+'NPL (ALL)'!BF21</f>
        <v>78135.880290000001</v>
      </c>
      <c r="BG20" s="40">
        <f>+'NPL (ALL)'!BG21</f>
        <v>78490.02436000001</v>
      </c>
      <c r="BH20" s="40">
        <f>+'NPL (ALL)'!BH21</f>
        <v>76630.977410000007</v>
      </c>
      <c r="BI20" s="40">
        <f>+'NPL (ALL)'!BI21</f>
        <v>84399.736990000005</v>
      </c>
      <c r="BJ20" s="40">
        <f>+'NPL (ALL)'!BJ21</f>
        <v>84259.470840000009</v>
      </c>
      <c r="BK20" s="40">
        <f>+'NPL (ALL)'!BK21</f>
        <v>87890.241399999999</v>
      </c>
      <c r="BL20" s="40">
        <f>+'NPL (ALL)'!BL21</f>
        <v>89124.506980000006</v>
      </c>
      <c r="BM20" s="40">
        <f>+'NPL (ALL)'!BM21</f>
        <v>85267.642349999995</v>
      </c>
      <c r="BN20" s="40">
        <f>+'NPL (ALL)'!BN21</f>
        <v>84937.478319999995</v>
      </c>
      <c r="BO20" s="40">
        <f>+'NPL (ALL)'!BO21</f>
        <v>89912.291439999986</v>
      </c>
      <c r="BP20" s="40">
        <f>+'NPL (ALL)'!BP21</f>
        <v>99176.661390000008</v>
      </c>
      <c r="BQ20" s="40">
        <f>+'NPL (ALL)'!BQ21</f>
        <v>99479.209450000009</v>
      </c>
      <c r="BR20" s="40">
        <f>+'NPL (ALL)'!BR21</f>
        <v>99186.645329999999</v>
      </c>
      <c r="BS20" s="40">
        <f>+'NPL (ALL)'!BS21</f>
        <v>98063.535659999994</v>
      </c>
      <c r="BT20" s="40">
        <f>+'NPL (ALL)'!BT21</f>
        <v>101784.85377</v>
      </c>
      <c r="BU20" s="40">
        <f>+'NPL (ALL)'!BU21</f>
        <v>106515.81758999999</v>
      </c>
      <c r="BV20" s="40">
        <f>+'NPL (ALL)'!BV21</f>
        <v>100653.02155999999</v>
      </c>
      <c r="BW20" s="40">
        <f>+'NPL (ALL)'!BW21</f>
        <v>111093.95984000002</v>
      </c>
      <c r="BX20" s="40">
        <f>+'NPL (ALL)'!BX21</f>
        <v>110549.17133</v>
      </c>
      <c r="BY20" s="40">
        <f>+'NPL (ALL)'!BY21</f>
        <v>106003.68194000001</v>
      </c>
      <c r="BZ20" s="40">
        <f>+'NPL (ALL)'!BZ21</f>
        <v>111339.15349</v>
      </c>
      <c r="CA20" s="40">
        <f>+'NPL (ALL)'!CA21</f>
        <v>114272.14313</v>
      </c>
      <c r="CB20" s="40">
        <f>+'NPL (ALL)'!CB21</f>
        <v>120264.10586000001</v>
      </c>
      <c r="CC20" s="40">
        <f>+'NPL (ALL)'!CC21</f>
        <v>120446.36210999999</v>
      </c>
      <c r="CD20" s="40">
        <f>+'NPL (ALL)'!CD21</f>
        <v>125123.62535999999</v>
      </c>
      <c r="CE20" s="40">
        <f>+'NPL (ALL)'!CE21</f>
        <v>131156.18167999998</v>
      </c>
      <c r="CF20" s="40">
        <f>+'NPL (ALL)'!CF21</f>
        <v>129760.24586000001</v>
      </c>
      <c r="CG20" s="40">
        <f>+'NPL (ALL)'!CG21</f>
        <v>135004.49609</v>
      </c>
      <c r="CH20" s="40">
        <f>+'NPL (ALL)'!CH21</f>
        <v>131512.41997000002</v>
      </c>
      <c r="CI20" s="40">
        <f>+'NPL (ALL)'!CI21</f>
        <v>138613.75463000004</v>
      </c>
      <c r="CJ20" s="40">
        <f>+'NPL (ALL)'!CJ21</f>
        <v>143355.21780999997</v>
      </c>
      <c r="CK20" s="40">
        <f>+'NPL (ALL)'!CK21</f>
        <v>140067.09663000001</v>
      </c>
      <c r="CL20" s="40">
        <f>+'NPL (ALL)'!CL21</f>
        <v>152938.41131999998</v>
      </c>
      <c r="CM20" s="40">
        <f>+'NPL (ALL)'!CM21</f>
        <v>153929.20688000001</v>
      </c>
      <c r="CN20" s="40">
        <f>+'NPL (ALL)'!CN21</f>
        <v>157391.95371000003</v>
      </c>
      <c r="CO20" s="40">
        <f>+'NPL (ALL)'!CO21</f>
        <v>166398.62566000002</v>
      </c>
      <c r="CP20" s="40">
        <f>+'NPL (ALL)'!CP21</f>
        <v>164841.50466000001</v>
      </c>
      <c r="CQ20" s="40">
        <f>+'NPL (ALL)'!CQ21</f>
        <v>170976.30561000001</v>
      </c>
      <c r="CR20" s="40">
        <f>+'NPL (ALL)'!CR21</f>
        <v>177404.13852999997</v>
      </c>
      <c r="CS20" s="40">
        <f>+'NPL (ALL)'!CS21</f>
        <v>175174.17543</v>
      </c>
      <c r="CT20" s="40">
        <f>+'NPL (ALL)'!CT21</f>
        <v>178934.36233999999</v>
      </c>
      <c r="CU20" s="40">
        <f>+'NPL (ALL)'!CU21</f>
        <v>178508.55783999999</v>
      </c>
      <c r="CV20" s="40">
        <f>+'NPL (ALL)'!CV21</f>
        <v>182528.75806000002</v>
      </c>
      <c r="CW20" s="40">
        <f>+'NPL (ALL)'!CW21</f>
        <v>184938.94359000001</v>
      </c>
      <c r="CX20" s="40">
        <f>+'NPL (ALL)'!CX21</f>
        <v>180616.77076999997</v>
      </c>
      <c r="CY20" s="40">
        <f>+'NPL (ALL)'!CY21</f>
        <v>167317.82290999999</v>
      </c>
      <c r="CZ20" s="40">
        <f>+'NPL (ALL)'!CZ21</f>
        <v>171744.66894999999</v>
      </c>
      <c r="DA20" s="40">
        <f>+'NPL (ALL)'!DA21</f>
        <v>175897.88217</v>
      </c>
      <c r="DB20" s="40">
        <f>+'NPL (ALL)'!DB21</f>
        <v>182874.05095</v>
      </c>
      <c r="DC20" s="40">
        <f>+'NPL (ALL)'!DC21</f>
        <v>171615.79339000001</v>
      </c>
      <c r="DD20" s="40">
        <f>+'NPL (ALL)'!DD21</f>
        <v>173366.93281</v>
      </c>
      <c r="DE20" s="40">
        <f>+'NPL (ALL)'!DE21</f>
        <v>180695.36895999999</v>
      </c>
      <c r="DF20" s="40">
        <f>+'NPL (ALL)'!DF21</f>
        <v>183182.75591000001</v>
      </c>
      <c r="DG20" s="40">
        <f>+'NPL (ALL)'!DG21</f>
        <v>193570.47691999999</v>
      </c>
    </row>
    <row r="21" spans="1:111" s="39" customFormat="1" ht="17.25" customHeight="1" thickBot="1">
      <c r="A21" s="799"/>
      <c r="B21" s="850"/>
      <c r="C21" s="851"/>
      <c r="D21" s="86">
        <f t="shared" ref="D21:S21" si="170">+(D19-D7)/D20</f>
        <v>0.15321670808179416</v>
      </c>
      <c r="E21" s="86">
        <f t="shared" si="170"/>
        <v>0.12125837468397185</v>
      </c>
      <c r="F21" s="45">
        <f t="shared" si="170"/>
        <v>0.23726436171124196</v>
      </c>
      <c r="G21" s="45">
        <f t="shared" si="170"/>
        <v>0.23995003698802156</v>
      </c>
      <c r="H21" s="45">
        <f t="shared" si="170"/>
        <v>0.23033364625647137</v>
      </c>
      <c r="I21" s="45">
        <f t="shared" si="170"/>
        <v>0.22262480670208051</v>
      </c>
      <c r="J21" s="45">
        <f t="shared" si="170"/>
        <v>0.23020070739508314</v>
      </c>
      <c r="K21" s="45">
        <f t="shared" si="170"/>
        <v>0.20867202846376096</v>
      </c>
      <c r="L21" s="45">
        <f t="shared" si="170"/>
        <v>0.2112793654638368</v>
      </c>
      <c r="M21" s="45">
        <f t="shared" si="170"/>
        <v>0.21530588996076566</v>
      </c>
      <c r="N21" s="45">
        <f t="shared" si="170"/>
        <v>0.21861822864410549</v>
      </c>
      <c r="O21" s="45">
        <f t="shared" si="170"/>
        <v>0.23885995064654317</v>
      </c>
      <c r="P21" s="45">
        <f t="shared" si="170"/>
        <v>0.23564767589606789</v>
      </c>
      <c r="Q21" s="45">
        <f t="shared" si="170"/>
        <v>0.23383236716128178</v>
      </c>
      <c r="R21" s="45">
        <f t="shared" si="170"/>
        <v>0.2373582041554006</v>
      </c>
      <c r="S21" s="45">
        <f t="shared" si="170"/>
        <v>0.22413435907639057</v>
      </c>
      <c r="T21" s="45">
        <f t="shared" ref="T21:Y21" si="171">+(T19-T7)/T20</f>
        <v>0.21925778305547849</v>
      </c>
      <c r="U21" s="45">
        <f t="shared" si="171"/>
        <v>0.2249606360609844</v>
      </c>
      <c r="V21" s="45">
        <f t="shared" si="171"/>
        <v>0.23045279164745541</v>
      </c>
      <c r="W21" s="45">
        <f t="shared" si="171"/>
        <v>0.23998400877162185</v>
      </c>
      <c r="X21" s="45">
        <f t="shared" si="171"/>
        <v>0.23514840917582897</v>
      </c>
      <c r="Y21" s="45">
        <f t="shared" si="171"/>
        <v>0.25725360532890618</v>
      </c>
      <c r="Z21" s="45">
        <f t="shared" ref="Z21:AE21" si="172">+(Z19-Z7)/Z20</f>
        <v>0.22363136118210608</v>
      </c>
      <c r="AA21" s="45">
        <f t="shared" si="172"/>
        <v>0.22323915197558319</v>
      </c>
      <c r="AB21" s="45">
        <f t="shared" si="172"/>
        <v>0.20260219954042075</v>
      </c>
      <c r="AC21" s="45">
        <f t="shared" si="172"/>
        <v>0.18762561194202057</v>
      </c>
      <c r="AD21" s="45">
        <f t="shared" si="172"/>
        <v>0.22956230933978578</v>
      </c>
      <c r="AE21" s="45">
        <f t="shared" si="172"/>
        <v>0.21923956773583445</v>
      </c>
      <c r="AF21" s="45">
        <f t="shared" ref="AF21:AM21" si="173">+(AF19-AF7)/AF20</f>
        <v>0.22426059374624854</v>
      </c>
      <c r="AG21" s="45">
        <f t="shared" si="173"/>
        <v>0.20624074189306482</v>
      </c>
      <c r="AH21" s="45">
        <f t="shared" si="173"/>
        <v>0.22116166791139685</v>
      </c>
      <c r="AI21" s="45">
        <f t="shared" si="173"/>
        <v>0.22037223814522444</v>
      </c>
      <c r="AJ21" s="45">
        <f t="shared" si="173"/>
        <v>0.21097970915666317</v>
      </c>
      <c r="AK21" s="45">
        <f t="shared" si="173"/>
        <v>0.29074707077711387</v>
      </c>
      <c r="AL21" s="45">
        <f t="shared" si="173"/>
        <v>0.23704094512712745</v>
      </c>
      <c r="AM21" s="45">
        <f t="shared" si="173"/>
        <v>0.21327815900589905</v>
      </c>
      <c r="AN21" s="45">
        <f t="shared" ref="AN21:AS21" si="174">+(AN19-AN7)/AN20</f>
        <v>0.19586020459140763</v>
      </c>
      <c r="AO21" s="45">
        <f t="shared" si="174"/>
        <v>0.25094622162475438</v>
      </c>
      <c r="AP21" s="45">
        <f t="shared" si="174"/>
        <v>0.2319900362488842</v>
      </c>
      <c r="AQ21" s="45">
        <f t="shared" si="174"/>
        <v>0.23136631089763732</v>
      </c>
      <c r="AR21" s="45">
        <f t="shared" si="174"/>
        <v>0.23306460405530008</v>
      </c>
      <c r="AS21" s="45">
        <f t="shared" si="174"/>
        <v>0.2599517807751584</v>
      </c>
      <c r="AT21" s="45">
        <f t="shared" ref="AT21:AZ21" si="175">+(AT19-AT7)/AT20</f>
        <v>0.28420113730988722</v>
      </c>
      <c r="AU21" s="45">
        <f t="shared" si="175"/>
        <v>0.26516130653241871</v>
      </c>
      <c r="AV21" s="45">
        <f t="shared" si="175"/>
        <v>0.27178785415930268</v>
      </c>
      <c r="AW21" s="45">
        <f t="shared" si="175"/>
        <v>0.26985761756392668</v>
      </c>
      <c r="AX21" s="45">
        <f t="shared" si="175"/>
        <v>0.25032990965272661</v>
      </c>
      <c r="AY21" s="45">
        <f t="shared" si="175"/>
        <v>0.26528665481775088</v>
      </c>
      <c r="AZ21" s="45">
        <f t="shared" si="175"/>
        <v>0.21936410325775108</v>
      </c>
      <c r="BA21" s="45">
        <f t="shared" ref="BA21:BG21" si="176">+(BA19-BA7)/BA20</f>
        <v>0.21003049692526793</v>
      </c>
      <c r="BB21" s="45">
        <f t="shared" si="176"/>
        <v>0.21413095711850985</v>
      </c>
      <c r="BC21" s="45">
        <f t="shared" si="176"/>
        <v>0.1745701601223156</v>
      </c>
      <c r="BD21" s="45">
        <f t="shared" si="176"/>
        <v>0.18074858053831122</v>
      </c>
      <c r="BE21" s="45">
        <f t="shared" si="176"/>
        <v>0.17179599580327176</v>
      </c>
      <c r="BF21" s="45">
        <f t="shared" si="176"/>
        <v>0.14869273996405702</v>
      </c>
      <c r="BG21" s="45">
        <f t="shared" si="176"/>
        <v>0.11625075741628721</v>
      </c>
      <c r="BH21" s="45">
        <f t="shared" ref="BH21:BM21" si="177">+(BH19-BH7)/BH20</f>
        <v>0.11217641761920305</v>
      </c>
      <c r="BI21" s="45">
        <f t="shared" si="177"/>
        <v>9.9591887595109521E-2</v>
      </c>
      <c r="BJ21" s="45">
        <f t="shared" si="177"/>
        <v>7.1997913390144996E-2</v>
      </c>
      <c r="BK21" s="45">
        <f t="shared" si="177"/>
        <v>6.8050421220643656E-2</v>
      </c>
      <c r="BL21" s="45">
        <f t="shared" si="177"/>
        <v>7.2145039049908904E-2</v>
      </c>
      <c r="BM21" s="45">
        <f t="shared" si="177"/>
        <v>6.0693700608980716E-2</v>
      </c>
      <c r="BN21" s="45">
        <f t="shared" ref="BN21:BS21" si="178">+(BN19-BN7)/BN20</f>
        <v>0.11205650911011428</v>
      </c>
      <c r="BO21" s="45">
        <f t="shared" si="178"/>
        <v>0.13433890631593812</v>
      </c>
      <c r="BP21" s="45">
        <f t="shared" si="178"/>
        <v>0.13785631494828174</v>
      </c>
      <c r="BQ21" s="45">
        <f t="shared" si="178"/>
        <v>0.12728659789778957</v>
      </c>
      <c r="BR21" s="45">
        <f t="shared" si="178"/>
        <v>0.13153798333884736</v>
      </c>
      <c r="BS21" s="45">
        <f t="shared" si="178"/>
        <v>0.13061552959094755</v>
      </c>
      <c r="BT21" s="45">
        <f t="shared" ref="BT21:BY21" si="179">+(BT19-BT7)/BT20</f>
        <v>0.1498294570964174</v>
      </c>
      <c r="BU21" s="45">
        <f t="shared" si="179"/>
        <v>0.1400724141223878</v>
      </c>
      <c r="BV21" s="45">
        <f t="shared" si="179"/>
        <v>0.11722780314900369</v>
      </c>
      <c r="BW21" s="45">
        <f t="shared" si="179"/>
        <v>0.14102365084815158</v>
      </c>
      <c r="BX21" s="45">
        <f t="shared" si="179"/>
        <v>0.10845640805201258</v>
      </c>
      <c r="BY21" s="45">
        <f t="shared" si="179"/>
        <v>-0.18870083361012821</v>
      </c>
      <c r="BZ21" s="45">
        <f t="shared" ref="BZ21:CE21" si="180">+(BZ19-BZ7)/BZ20</f>
        <v>2.8820120407966103E-2</v>
      </c>
      <c r="CA21" s="45">
        <f t="shared" si="180"/>
        <v>2.9133522804690969E-2</v>
      </c>
      <c r="CB21" s="45">
        <f t="shared" si="180"/>
        <v>2.4663103038657756E-2</v>
      </c>
      <c r="CC21" s="45">
        <f t="shared" si="180"/>
        <v>2.6426089195879542E-2</v>
      </c>
      <c r="CD21" s="45">
        <f t="shared" si="180"/>
        <v>2.2772350116290103E-2</v>
      </c>
      <c r="CE21" s="45">
        <f t="shared" si="180"/>
        <v>2.5486604954166756E-2</v>
      </c>
      <c r="CF21" s="45">
        <f t="shared" ref="CF21:CG21" si="181">+(CF19-CF7)/CF20</f>
        <v>2.6226947181496763E-2</v>
      </c>
      <c r="CG21" s="45">
        <f t="shared" si="181"/>
        <v>1.6278039352489101E-2</v>
      </c>
      <c r="CH21" s="45">
        <f t="shared" ref="CH21:CI21" si="182">+(CH19-CH7)/CH20</f>
        <v>1.6175434039328963E-2</v>
      </c>
      <c r="CI21" s="45">
        <f t="shared" si="182"/>
        <v>2.0807429876441089E-2</v>
      </c>
      <c r="CJ21" s="45">
        <f t="shared" ref="CJ21:CK21" si="183">+(CJ19-CJ7)/CJ20</f>
        <v>2.2564864964111368E-2</v>
      </c>
      <c r="CK21" s="45">
        <f t="shared" si="183"/>
        <v>1.890744194473953E-2</v>
      </c>
      <c r="CL21" s="45">
        <f t="shared" ref="CL21:CM21" si="184">+(CL19-CL7)/CL20</f>
        <v>2.4733321960570865E-2</v>
      </c>
      <c r="CM21" s="45">
        <f t="shared" si="184"/>
        <v>9.5052680321786823E-3</v>
      </c>
      <c r="CN21" s="45">
        <f t="shared" ref="CN21:CO21" si="185">+(CN19-CN7)/CN20</f>
        <v>4.5946749580759979E-3</v>
      </c>
      <c r="CO21" s="45">
        <f t="shared" si="185"/>
        <v>-9.8479293222735916E-3</v>
      </c>
      <c r="CP21" s="45">
        <f t="shared" ref="CP21:CQ21" si="186">+(CP19-CP7)/CP20</f>
        <v>-1.841816868148391E-2</v>
      </c>
      <c r="CQ21" s="45">
        <f t="shared" si="186"/>
        <v>-2.8832266558807398E-2</v>
      </c>
      <c r="CR21" s="45">
        <f t="shared" ref="CR21:CS21" si="187">+(CR19-CR7)/CR20</f>
        <v>-2.4487672565718675E-2</v>
      </c>
      <c r="CS21" s="45">
        <f t="shared" si="187"/>
        <v>-3.5159970891484989E-2</v>
      </c>
      <c r="CT21" s="45">
        <f>+(CT19-CT7)/CT20</f>
        <v>-3.3159018421044628E-2</v>
      </c>
      <c r="CU21" s="45">
        <f t="shared" ref="CU21" si="188">+(CU19-CU7)/CU20</f>
        <v>-4.4404745954996258E-2</v>
      </c>
      <c r="CV21" s="45">
        <f t="shared" ref="CV21:CW21" si="189">+(CV19-CV7)/CV20</f>
        <v>-4.1427103708966295E-2</v>
      </c>
      <c r="CW21" s="45">
        <f t="shared" si="189"/>
        <v>-3.9137057298838741E-2</v>
      </c>
      <c r="CX21" s="45">
        <f t="shared" ref="CX21:DC21" si="190">+(CX19-CX7)/CX20</f>
        <v>-2.9090039119813192E-2</v>
      </c>
      <c r="CY21" s="315">
        <f t="shared" si="190"/>
        <v>-4.6160120098165849E-2</v>
      </c>
      <c r="CZ21" s="315">
        <f t="shared" si="190"/>
        <v>-5.3664122543447774E-2</v>
      </c>
      <c r="DA21" s="315">
        <f t="shared" si="190"/>
        <v>2.5392469440741272</v>
      </c>
      <c r="DB21" s="315">
        <f t="shared" si="190"/>
        <v>2.4010211926094116</v>
      </c>
      <c r="DC21" s="315">
        <f t="shared" si="190"/>
        <v>2.6103588332412007</v>
      </c>
      <c r="DD21" s="315">
        <f t="shared" ref="DD21:DE21" si="191">+(DD19-DD7)/DD20</f>
        <v>2.5436294011879013</v>
      </c>
      <c r="DE21" s="315">
        <f t="shared" si="191"/>
        <v>2.1964730857443411</v>
      </c>
      <c r="DF21" s="315">
        <f t="shared" ref="DF21:DG21" si="192">+(DF19-DF7)/DF20</f>
        <v>2.1700580695739093</v>
      </c>
      <c r="DG21" s="315">
        <f t="shared" si="192"/>
        <v>1.9927594843044971</v>
      </c>
    </row>
    <row r="22" spans="1:111" s="47" customFormat="1" ht="17.25" customHeight="1">
      <c r="A22" s="809" t="s">
        <v>2</v>
      </c>
      <c r="B22" s="854" t="s">
        <v>19</v>
      </c>
      <c r="C22" s="855"/>
      <c r="D22" s="87">
        <f>+'NPL (ALL)'!D33</f>
        <v>1150.93634</v>
      </c>
      <c r="E22" s="87">
        <f>+'NPL (ALL)'!E33</f>
        <v>1257.0322200000001</v>
      </c>
      <c r="F22" s="46">
        <f>+'[2]NPL (ALL)'!F28</f>
        <v>1356.4075</v>
      </c>
      <c r="G22" s="46">
        <f>+'[2]NPL (ALL)'!G28</f>
        <v>1151.16598</v>
      </c>
      <c r="H22" s="46">
        <f>+'[2]NPL (ALL)'!H28</f>
        <v>1102.0606600000001</v>
      </c>
      <c r="I22" s="46">
        <f>+'[2]NPL (ALL)'!I28</f>
        <v>1150.8154</v>
      </c>
      <c r="J22" s="46">
        <f>+'[2]NPL (ALL)'!J28</f>
        <v>1200.0452499999999</v>
      </c>
      <c r="K22" s="46">
        <f>+'[2]NPL (ALL)'!K28</f>
        <v>995.49659999999903</v>
      </c>
      <c r="L22" s="46">
        <f>+'[2]NPL (ALL)'!L28</f>
        <v>998.82318999999995</v>
      </c>
      <c r="M22" s="46">
        <f>+'[2]NPL (ALL)'!M28</f>
        <v>621.70363999999995</v>
      </c>
      <c r="N22" s="46">
        <f>+'[2]NPL (ALL)'!N28</f>
        <v>742.47343000000001</v>
      </c>
      <c r="O22" s="46">
        <f>+'[2]NPL (ALL)'!O28</f>
        <v>599.98964999999998</v>
      </c>
      <c r="P22" s="46">
        <f>+'[2]NPL (ALL)'!P28</f>
        <v>599.99968000000001</v>
      </c>
      <c r="Q22" s="46">
        <f>+'[2]NPL (ALL)'!Q28</f>
        <v>600.05143999999996</v>
      </c>
      <c r="R22" s="46">
        <f>+'NPL (ALL)'!R33</f>
        <v>500.33015999999998</v>
      </c>
      <c r="S22" s="46">
        <f>+'NPL (ALL)'!S33</f>
        <v>758.38333999999998</v>
      </c>
      <c r="T22" s="46">
        <f>+'NPL (ALL)'!T33</f>
        <v>954.71942999999999</v>
      </c>
      <c r="U22" s="46">
        <f>+'NPL (ALL)'!U33</f>
        <v>960.58261000000095</v>
      </c>
      <c r="V22" s="46">
        <f>+'NPL (ALL)'!V33</f>
        <v>1000.42357</v>
      </c>
      <c r="W22" s="46">
        <f>+'NPL (ALL)'!W33</f>
        <v>897.71834999999999</v>
      </c>
      <c r="X22" s="46">
        <f>+'NPL (ALL)'!X33</f>
        <v>877.86756000000003</v>
      </c>
      <c r="Y22" s="46">
        <f>+'NPL (ALL)'!Y33</f>
        <v>599.56939</v>
      </c>
      <c r="Z22" s="46">
        <f>+'NPL (ALL)'!Z33</f>
        <v>809.86524999999995</v>
      </c>
      <c r="AA22" s="46">
        <f>+'NPL (ALL)'!AA33</f>
        <v>1289.52458</v>
      </c>
      <c r="AB22" s="46">
        <f>+'NPL (ALL)'!AB33</f>
        <v>1466.5644</v>
      </c>
      <c r="AC22" s="46">
        <f>+'NPL (ALL)'!AC33</f>
        <v>1462.98137</v>
      </c>
      <c r="AD22" s="46">
        <f>+'NPL (ALL)'!AD33</f>
        <v>1644.7923699999999</v>
      </c>
      <c r="AE22" s="46">
        <f>+'NPL (ALL)'!AE33</f>
        <v>1623.1791000000001</v>
      </c>
      <c r="AF22" s="46">
        <f>+'NPL (ALL)'!AF33</f>
        <v>1328.7442900000001</v>
      </c>
      <c r="AG22" s="46">
        <f>+'NPL (ALL)'!AG33</f>
        <v>1298.3050599999999</v>
      </c>
      <c r="AH22" s="46">
        <f>+'NPL (ALL)'!AH33</f>
        <v>1508.93652</v>
      </c>
      <c r="AI22" s="46">
        <f>+'NPL (ALL)'!AI33</f>
        <v>1551.2098300000011</v>
      </c>
      <c r="AJ22" s="46">
        <f>+'NPL (ALL)'!AJ33</f>
        <v>1247.2607299999995</v>
      </c>
      <c r="AK22" s="46">
        <f>+'NPL (ALL)'!AK33</f>
        <v>1004.0414599999999</v>
      </c>
      <c r="AL22" s="46">
        <f>+'NPL (ALL)'!AL33</f>
        <v>1339.5553600000001</v>
      </c>
      <c r="AM22" s="46">
        <f>+'NPL (ALL)'!AM33</f>
        <v>999.32527000000016</v>
      </c>
      <c r="AN22" s="46">
        <f>+'NPL (ALL)'!AN33</f>
        <v>1422.8304500000004</v>
      </c>
      <c r="AO22" s="46">
        <f>+'NPL (ALL)'!AO33</f>
        <v>1497.5774000000001</v>
      </c>
      <c r="AP22" s="46">
        <f>+'NPL (ALL)'!AP33</f>
        <v>1322.8331900000001</v>
      </c>
      <c r="AQ22" s="46">
        <f>+'NPL (ALL)'!AQ33</f>
        <v>1427.5815700000001</v>
      </c>
      <c r="AR22" s="46">
        <f>+'NPL (ALL)'!AR33</f>
        <v>1247.7580600000001</v>
      </c>
      <c r="AS22" s="46">
        <f>+'NPL (ALL)'!AS33</f>
        <v>1311.7902100000001</v>
      </c>
      <c r="AT22" s="46">
        <f>+'NPL (ALL)'!AT33</f>
        <v>1178.3519899999999</v>
      </c>
      <c r="AU22" s="46">
        <f>+'NPL (ALL)'!AU33</f>
        <v>1417.5540100000001</v>
      </c>
      <c r="AV22" s="46">
        <f>+'NPL (ALL)'!AV33</f>
        <v>1263.24208</v>
      </c>
      <c r="AW22" s="46">
        <f>+'NPL (ALL)'!AW33</f>
        <v>1099.83474</v>
      </c>
      <c r="AX22" s="46">
        <f>+'NPL (ALL)'!AX33</f>
        <v>1313.43075</v>
      </c>
      <c r="AY22" s="46">
        <f>+'NPL (ALL)'!AY33</f>
        <v>1292.5080700000008</v>
      </c>
      <c r="AZ22" s="46">
        <f>+'NPL (ALL)'!AZ33</f>
        <v>1279.22182</v>
      </c>
      <c r="BA22" s="46">
        <f>+'NPL (ALL)'!BA33</f>
        <v>1498.2891299999999</v>
      </c>
      <c r="BB22" s="46">
        <f>+'NPL (ALL)'!BB33</f>
        <v>1497.71669</v>
      </c>
      <c r="BC22" s="46">
        <f>+'NPL (ALL)'!BC33</f>
        <v>1564.05611</v>
      </c>
      <c r="BD22" s="46">
        <f>+'NPL (ALL)'!BD33</f>
        <v>1252.3219599999991</v>
      </c>
      <c r="BE22" s="46">
        <f>+'NPL (ALL)'!BE33</f>
        <v>1322.26126</v>
      </c>
      <c r="BF22" s="46">
        <f>+'NPL (ALL)'!BF33</f>
        <v>1623.8624399999999</v>
      </c>
      <c r="BG22" s="46">
        <f>+'NPL (ALL)'!BG33</f>
        <v>1600.26926</v>
      </c>
      <c r="BH22" s="46">
        <f>+'NPL (ALL)'!BH33</f>
        <v>1008.12812</v>
      </c>
      <c r="BI22" s="46">
        <f>+'NPL (ALL)'!BI33</f>
        <v>656.78253999999993</v>
      </c>
      <c r="BJ22" s="46">
        <f>+'NPL (ALL)'!BJ33</f>
        <v>2002.17247</v>
      </c>
      <c r="BK22" s="46">
        <f>+'NPL (ALL)'!BK33</f>
        <v>1230.0982799999999</v>
      </c>
      <c r="BL22" s="46">
        <f>+'NPL (ALL)'!BL33</f>
        <v>2337.4678399999993</v>
      </c>
      <c r="BM22" s="46">
        <f>+'NPL (ALL)'!BM33</f>
        <v>2042.4209200000003</v>
      </c>
      <c r="BN22" s="46">
        <f>+'NPL (ALL)'!BN33</f>
        <v>1928.5018600000001</v>
      </c>
      <c r="BO22" s="46">
        <f>+'NPL (ALL)'!BO33</f>
        <v>1200.1120799999997</v>
      </c>
      <c r="BP22" s="46">
        <f>+'NPL (ALL)'!BP33</f>
        <v>1598.3434499999992</v>
      </c>
      <c r="BQ22" s="46">
        <f>+'NPL (ALL)'!BQ33</f>
        <v>1500.0191799999998</v>
      </c>
      <c r="BR22" s="46">
        <f>+'NPL (ALL)'!BR33</f>
        <v>1537.2153399999993</v>
      </c>
      <c r="BS22" s="46">
        <f>+'NPL (ALL)'!BS33</f>
        <v>1787.4102900000005</v>
      </c>
      <c r="BT22" s="46">
        <f>+'NPL (ALL)'!BT33</f>
        <v>1084.7351700000002</v>
      </c>
      <c r="BU22" s="46">
        <f>+'NPL (ALL)'!BU33</f>
        <v>2531.9929699999966</v>
      </c>
      <c r="BV22" s="46">
        <f>+'NPL (ALL)'!BV33</f>
        <v>1879.5320099999999</v>
      </c>
      <c r="BW22" s="46">
        <f>+'NPL (ALL)'!BW33</f>
        <v>2274.9744999999994</v>
      </c>
      <c r="BX22" s="46">
        <f>+'NPL (ALL)'!BX33</f>
        <v>2015.2403099999999</v>
      </c>
      <c r="BY22" s="46">
        <f>+'NPL (ALL)'!BY33</f>
        <v>5271.0491799999972</v>
      </c>
      <c r="BZ22" s="46">
        <f>+'NPL (ALL)'!BZ33</f>
        <v>2595.2777400000032</v>
      </c>
      <c r="CA22" s="46">
        <f>+'NPL (ALL)'!CA33</f>
        <v>2057.5625199999999</v>
      </c>
      <c r="CB22" s="46">
        <f>+'NPL (ALL)'!CB33</f>
        <v>2923.3708500000002</v>
      </c>
      <c r="CC22" s="46">
        <f>+'NPL (ALL)'!CC33</f>
        <v>2268.14831</v>
      </c>
      <c r="CD22" s="46">
        <f>+'NPL (ALL)'!CD33</f>
        <v>2119.9630299999999</v>
      </c>
      <c r="CE22" s="46">
        <f>+'NPL (ALL)'!CE33</f>
        <v>1892.60769</v>
      </c>
      <c r="CF22" s="46">
        <f>+'NPL (ALL)'!CF33</f>
        <v>2092.8161299999997</v>
      </c>
      <c r="CG22" s="46">
        <f>+'NPL (ALL)'!CG33</f>
        <v>1991.16338</v>
      </c>
      <c r="CH22" s="46">
        <f>+'NPL (ALL)'!CH33</f>
        <v>2028.0582999999999</v>
      </c>
      <c r="CI22" s="46">
        <f>+'NPL (ALL)'!CI33</f>
        <v>2441.8784700000001</v>
      </c>
      <c r="CJ22" s="46">
        <f>+'NPL (ALL)'!CJ33</f>
        <v>2241.8694300000002</v>
      </c>
      <c r="CK22" s="46">
        <f>+'NPL (ALL)'!CK33</f>
        <v>3361.7272699999999</v>
      </c>
      <c r="CL22" s="46">
        <f>+'NPL (ALL)'!CL33</f>
        <v>2452.98092</v>
      </c>
      <c r="CM22" s="46">
        <f>+'NPL (ALL)'!CM33</f>
        <v>2547.43379</v>
      </c>
      <c r="CN22" s="46">
        <f>+'NPL (ALL)'!CN33</f>
        <v>2547.9291800000001</v>
      </c>
      <c r="CO22" s="46">
        <f>+'NPL (ALL)'!CO33</f>
        <v>2900.9484500000003</v>
      </c>
      <c r="CP22" s="46">
        <f>+'NPL (ALL)'!CP33</f>
        <v>2420.9761600000002</v>
      </c>
      <c r="CQ22" s="46">
        <f>+'NPL (ALL)'!CQ33</f>
        <v>2597.8316199999999</v>
      </c>
      <c r="CR22" s="46">
        <f>+'NPL (ALL)'!CR33</f>
        <v>2464.7560500000004</v>
      </c>
      <c r="CS22" s="46">
        <f>+'NPL (ALL)'!CS33</f>
        <v>2361.3480600000003</v>
      </c>
      <c r="CT22" s="46">
        <f>+'NPL (ALL)'!CT33</f>
        <v>2658.6487900000002</v>
      </c>
      <c r="CU22" s="46">
        <f>+'NPL (ALL)'!CU33</f>
        <v>3075.83673</v>
      </c>
      <c r="CV22" s="46">
        <f>+'NPL (ALL)'!CV33</f>
        <v>2980.0454300000001</v>
      </c>
      <c r="CW22" s="46">
        <f>+'NPL (ALL)'!CW33</f>
        <v>2721.6921600000001</v>
      </c>
      <c r="CX22" s="46">
        <f>+'NPL (ALL)'!CX33</f>
        <v>2329.6075900000001</v>
      </c>
      <c r="CY22" s="46">
        <f>+'NPL (ALL)'!CY33</f>
        <v>2598.6690699999999</v>
      </c>
      <c r="CZ22" s="46">
        <f>+'NPL (ALL)'!CZ33</f>
        <v>2348.68012</v>
      </c>
      <c r="DA22" s="46">
        <f>+'NPL (ALL)'!DA33</f>
        <v>2479.0108</v>
      </c>
      <c r="DB22" s="46">
        <f>+'NPL (ALL)'!DB33</f>
        <v>2050.9389099999999</v>
      </c>
      <c r="DC22" s="46">
        <f>+'NPL (ALL)'!DC33</f>
        <v>1854.5224600000006</v>
      </c>
      <c r="DD22" s="46">
        <f>+'NPL (ALL)'!DD33</f>
        <v>2005.6056200000016</v>
      </c>
      <c r="DE22" s="46">
        <f>+'NPL (ALL)'!DE33</f>
        <v>1940.4997900000001</v>
      </c>
      <c r="DF22" s="46">
        <f>+'NPL (ALL)'!DF33</f>
        <v>2354.7107599999999</v>
      </c>
      <c r="DG22" s="46">
        <f>+'NPL (ALL)'!DG33</f>
        <v>1779.3248800000001</v>
      </c>
    </row>
    <row r="23" spans="1:111" s="47" customFormat="1" ht="17.25" customHeight="1">
      <c r="A23" s="810"/>
      <c r="B23" s="826" t="s">
        <v>20</v>
      </c>
      <c r="C23" s="827"/>
      <c r="D23" s="88">
        <f>+'NPL (ALL)'!D34</f>
        <v>1428.63942</v>
      </c>
      <c r="E23" s="88">
        <f>+'NPL (ALL)'!E34</f>
        <v>1149.70019</v>
      </c>
      <c r="F23" s="48">
        <f>+'[2]NPL (ALL)'!F29</f>
        <v>1135.9234799999999</v>
      </c>
      <c r="G23" s="48">
        <f>+'[2]NPL (ALL)'!G29</f>
        <v>1121.6154100000001</v>
      </c>
      <c r="H23" s="48">
        <f>+'[2]NPL (ALL)'!H29</f>
        <v>927.59843000000205</v>
      </c>
      <c r="I23" s="48">
        <f>+'[2]NPL (ALL)'!I29</f>
        <v>933.30023999999503</v>
      </c>
      <c r="J23" s="48">
        <f>+'[2]NPL (ALL)'!J29</f>
        <v>1126.9063900000071</v>
      </c>
      <c r="K23" s="48">
        <f>+'[2]NPL (ALL)'!K29</f>
        <v>931.898459999995</v>
      </c>
      <c r="L23" s="48">
        <f>+'[2]NPL (ALL)'!L29</f>
        <v>768.60603999999603</v>
      </c>
      <c r="M23" s="48">
        <f>+'[2]NPL (ALL)'!M29</f>
        <v>655.24992000000395</v>
      </c>
      <c r="N23" s="48">
        <f>+'[2]NPL (ALL)'!N29</f>
        <v>476.30238000002498</v>
      </c>
      <c r="O23" s="48">
        <f>+'[2]NPL (ALL)'!O29</f>
        <v>726.03737999999805</v>
      </c>
      <c r="P23" s="48">
        <f>+'[2]NPL (ALL)'!P29</f>
        <v>798.09050000000195</v>
      </c>
      <c r="Q23" s="48">
        <f>+'[2]NPL (ALL)'!Q29</f>
        <v>822.04088999999897</v>
      </c>
      <c r="R23" s="48">
        <f>+'NPL (ALL)'!R34</f>
        <v>841.11198000000138</v>
      </c>
      <c r="S23" s="48">
        <f>+'NPL (ALL)'!S34</f>
        <v>881.24810000000105</v>
      </c>
      <c r="T23" s="48">
        <f>+'NPL (ALL)'!T34</f>
        <v>829.21398999999599</v>
      </c>
      <c r="U23" s="48">
        <f>+'NPL (ALL)'!U34</f>
        <v>879.97448000000304</v>
      </c>
      <c r="V23" s="48">
        <f>+'NPL (ALL)'!V34</f>
        <v>659.93012000000795</v>
      </c>
      <c r="W23" s="48">
        <f>+'NPL (ALL)'!W34</f>
        <v>706.64577999998903</v>
      </c>
      <c r="X23" s="48">
        <f>+'NPL (ALL)'!X34</f>
        <v>828.94225000000199</v>
      </c>
      <c r="Y23" s="48">
        <f>+'NPL (ALL)'!Y34</f>
        <v>1375.37745</v>
      </c>
      <c r="Z23" s="48">
        <f>+'NPL (ALL)'!Z34</f>
        <v>1637.7502099999999</v>
      </c>
      <c r="AA23" s="48">
        <f>+'NPL (ALL)'!AA34</f>
        <v>1965.0627300000001</v>
      </c>
      <c r="AB23" s="48">
        <f>+'NPL (ALL)'!AB34</f>
        <v>1400.60798</v>
      </c>
      <c r="AC23" s="48">
        <f>+'NPL (ALL)'!AC34</f>
        <v>1716.3450999999986</v>
      </c>
      <c r="AD23" s="48">
        <f>+'NPL (ALL)'!AD34</f>
        <v>1844.9636700000001</v>
      </c>
      <c r="AE23" s="48">
        <f>+'NPL (ALL)'!AE34</f>
        <v>1465.6924100000001</v>
      </c>
      <c r="AF23" s="48">
        <f>+'NPL (ALL)'!AF34</f>
        <v>1458.36769</v>
      </c>
      <c r="AG23" s="48">
        <f>+'NPL (ALL)'!AG34</f>
        <v>1391.93011</v>
      </c>
      <c r="AH23" s="48">
        <f>+'NPL (ALL)'!AH34</f>
        <v>621.27036000000101</v>
      </c>
      <c r="AI23" s="48">
        <f>+'NPL (ALL)'!AI34</f>
        <v>1064.2323500000061</v>
      </c>
      <c r="AJ23" s="48">
        <f>+'NPL (ALL)'!AJ34</f>
        <v>1078.563909999988</v>
      </c>
      <c r="AK23" s="48">
        <f>+'NPL (ALL)'!AK34</f>
        <v>1397.5076900000061</v>
      </c>
      <c r="AL23" s="48">
        <f>+'NPL (ALL)'!AL34</f>
        <v>1458.9045300000059</v>
      </c>
      <c r="AM23" s="48">
        <f>+'NPL (ALL)'!AM34</f>
        <v>1491.1729499998921</v>
      </c>
      <c r="AN23" s="48">
        <f>+'NPL (ALL)'!AN34</f>
        <v>1687.8068800001024</v>
      </c>
      <c r="AO23" s="48">
        <f>+'NPL (ALL)'!AO34</f>
        <v>1158.2778799999971</v>
      </c>
      <c r="AP23" s="48">
        <f>+'NPL (ALL)'!AP34</f>
        <v>1095.60592</v>
      </c>
      <c r="AQ23" s="48">
        <f>+'NPL (ALL)'!AQ34</f>
        <v>1379.9164300000016</v>
      </c>
      <c r="AR23" s="48">
        <f>+'NPL (ALL)'!AR34</f>
        <v>1134.6006300000045</v>
      </c>
      <c r="AS23" s="48">
        <f>+'NPL (ALL)'!AS34</f>
        <v>1458.679229999992</v>
      </c>
      <c r="AT23" s="48">
        <f>+'NPL (ALL)'!AT34</f>
        <v>1371.8792100000001</v>
      </c>
      <c r="AU23" s="48">
        <f>+'NPL (ALL)'!AU34</f>
        <v>1255.06556999999</v>
      </c>
      <c r="AV23" s="48">
        <f>+'NPL (ALL)'!AV34</f>
        <v>1432.9188800000099</v>
      </c>
      <c r="AW23" s="48">
        <f>+'NPL (ALL)'!AW34</f>
        <v>1295.4579099999901</v>
      </c>
      <c r="AX23" s="48">
        <f>+'NPL (ALL)'!AX34</f>
        <v>1638.64887999999</v>
      </c>
      <c r="AY23" s="48">
        <f>+'NPL (ALL)'!AY34</f>
        <v>1354.32033000004</v>
      </c>
      <c r="AZ23" s="48">
        <f>+'NPL (ALL)'!AZ34</f>
        <v>1970.32688999997</v>
      </c>
      <c r="BA23" s="48">
        <f>+'NPL (ALL)'!BA34</f>
        <v>2279.0273900000502</v>
      </c>
      <c r="BB23" s="48">
        <f>+'NPL (ALL)'!BB34</f>
        <v>1481.71107999999</v>
      </c>
      <c r="BC23" s="48">
        <f>+'NPL (ALL)'!BC34</f>
        <v>808.16614999999695</v>
      </c>
      <c r="BD23" s="48">
        <f>+'NPL (ALL)'!BD34</f>
        <v>1403.4249299999997</v>
      </c>
      <c r="BE23" s="48">
        <f>+'NPL (ALL)'!BE34</f>
        <v>1417.40057</v>
      </c>
      <c r="BF23" s="48">
        <f>+'NPL (ALL)'!BF34</f>
        <v>2623.8931899999998</v>
      </c>
      <c r="BG23" s="48">
        <f>+'NPL (ALL)'!BG34</f>
        <v>1046.54062</v>
      </c>
      <c r="BH23" s="48">
        <f>+'NPL (ALL)'!BH34</f>
        <v>985.48943999999801</v>
      </c>
      <c r="BI23" s="48">
        <f>+'NPL (ALL)'!BI34</f>
        <v>1845.941009999998</v>
      </c>
      <c r="BJ23" s="48">
        <f>+'NPL (ALL)'!BJ34</f>
        <v>1152.5476899999026</v>
      </c>
      <c r="BK23" s="48">
        <f>+'NPL (ALL)'!BK34</f>
        <v>2060.7751900000962</v>
      </c>
      <c r="BL23" s="48">
        <f>+'NPL (ALL)'!BL34</f>
        <v>1348.7513800000027</v>
      </c>
      <c r="BM23" s="48">
        <f>+'NPL (ALL)'!BM34</f>
        <v>1763.8353699999991</v>
      </c>
      <c r="BN23" s="48">
        <f>+'NPL (ALL)'!BN34</f>
        <v>1491.7284299999551</v>
      </c>
      <c r="BO23" s="48">
        <f>+'NPL (ALL)'!BO34</f>
        <v>2811.9533600000682</v>
      </c>
      <c r="BP23" s="48">
        <f>+'NPL (ALL)'!BP34</f>
        <v>2165.6677399999685</v>
      </c>
      <c r="BQ23" s="48">
        <f>+'NPL (ALL)'!BQ34</f>
        <v>2107.6986400000083</v>
      </c>
      <c r="BR23" s="48">
        <f>+'NPL (ALL)'!BR34</f>
        <v>1773.5452099999973</v>
      </c>
      <c r="BS23" s="48">
        <f>+'NPL (ALL)'!BS34</f>
        <v>1471.1761700000036</v>
      </c>
      <c r="BT23" s="48">
        <f>+'NPL (ALL)'!BT34</f>
        <v>1596.2111699999925</v>
      </c>
      <c r="BU23" s="48">
        <f>+'NPL (ALL)'!BU34</f>
        <v>1928.0316200000029</v>
      </c>
      <c r="BV23" s="48">
        <f>+'NPL (ALL)'!BV34</f>
        <v>2765.7670300000032</v>
      </c>
      <c r="BW23" s="48">
        <f>+'NPL (ALL)'!BW34</f>
        <v>2275.6487799999973</v>
      </c>
      <c r="BX23" s="48">
        <f>+'NPL (ALL)'!BX34</f>
        <v>1981.9878899999987</v>
      </c>
      <c r="BY23" s="48">
        <f>+'NPL (ALL)'!BY34</f>
        <v>1648.6715299999937</v>
      </c>
      <c r="BZ23" s="48">
        <f>+'NPL (ALL)'!BZ34</f>
        <v>-90.619109999991949</v>
      </c>
      <c r="CA23" s="48">
        <f>+'NPL (ALL)'!CA34</f>
        <v>1771.2739499999955</v>
      </c>
      <c r="CB23" s="48">
        <f>+'NPL (ALL)'!CB34</f>
        <v>3105.7504300000128</v>
      </c>
      <c r="CC23" s="48">
        <f>+'NPL (ALL)'!CC34</f>
        <v>2103.1963200000059</v>
      </c>
      <c r="CD23" s="48">
        <f>+'NPL (ALL)'!CD34</f>
        <v>1965.855919999985</v>
      </c>
      <c r="CE23" s="48">
        <f>+'NPL (ALL)'!CE34</f>
        <v>2893.7845699999684</v>
      </c>
      <c r="CF23" s="48">
        <f>+'NPL (ALL)'!CF34</f>
        <v>2033.3133900000528</v>
      </c>
      <c r="CG23" s="48">
        <f>+'NPL (ALL)'!CG34</f>
        <v>2618.6933000000008</v>
      </c>
      <c r="CH23" s="48">
        <f>+'NPL (ALL)'!CH34</f>
        <v>2660.1312899999843</v>
      </c>
      <c r="CI23" s="48">
        <f>+'NPL (ALL)'!CI34</f>
        <v>1835.7472200000082</v>
      </c>
      <c r="CJ23" s="48">
        <f>+'NPL (ALL)'!CJ34</f>
        <v>2722.3441599999478</v>
      </c>
      <c r="CK23" s="48">
        <f>+'NPL (ALL)'!CK34</f>
        <v>3702.384260000013</v>
      </c>
      <c r="CL23" s="48">
        <f>+'NPL (ALL)'!CL34</f>
        <v>2371.4537200000082</v>
      </c>
      <c r="CM23" s="48">
        <f>+'NPL (ALL)'!CM34</f>
        <v>2675.282260000035</v>
      </c>
      <c r="CN23" s="48">
        <f>+'NPL (ALL)'!CN34</f>
        <v>2613.7916899999755</v>
      </c>
      <c r="CO23" s="48">
        <f>+'NPL (ALL)'!CO34</f>
        <v>2394.0748200000676</v>
      </c>
      <c r="CP23" s="48">
        <f>+'NPL (ALL)'!CP34</f>
        <v>2336.1496299999876</v>
      </c>
      <c r="CQ23" s="48">
        <f>+'NPL (ALL)'!CQ34</f>
        <v>2730.4836399999112</v>
      </c>
      <c r="CR23" s="48">
        <f>+'NPL (ALL)'!CR34</f>
        <v>2935.6909100000003</v>
      </c>
      <c r="CS23" s="48">
        <f>+'NPL (ALL)'!CS34</f>
        <v>2581.9379300000278</v>
      </c>
      <c r="CT23" s="48">
        <f>+'NPL (ALL)'!CT34</f>
        <v>2692.4418299999311</v>
      </c>
      <c r="CU23" s="48">
        <f>+'NPL (ALL)'!CU34</f>
        <v>2119.7254900000689</v>
      </c>
      <c r="CV23" s="48">
        <f>+'NPL (ALL)'!CV34</f>
        <v>2590.5450299999379</v>
      </c>
      <c r="CW23" s="48">
        <f>+'NPL (ALL)'!CW34</f>
        <v>2455.936950000033</v>
      </c>
      <c r="CX23" s="48">
        <f>+'NPL (ALL)'!CX34</f>
        <v>2099.4109800001161</v>
      </c>
      <c r="CY23" s="48">
        <f>+'NPL (ALL)'!CY34</f>
        <v>2189.9300199999475</v>
      </c>
      <c r="CZ23" s="48">
        <f>+'NPL (ALL)'!CZ34</f>
        <v>2095.1433399999773</v>
      </c>
      <c r="DA23" s="48">
        <f>+'NPL (ALL)'!DA34</f>
        <v>2173.0588299999872</v>
      </c>
      <c r="DB23" s="48">
        <f>+'NPL (ALL)'!DB34</f>
        <v>1905.7350300000533</v>
      </c>
      <c r="DC23" s="48">
        <f>+'NPL (ALL)'!DC34</f>
        <v>1248.1719399999938</v>
      </c>
      <c r="DD23" s="48">
        <f>+'NPL (ALL)'!DD34</f>
        <v>1439.4215999999278</v>
      </c>
      <c r="DE23" s="48">
        <f>+'NPL (ALL)'!DE34</f>
        <v>2306.2517000000448</v>
      </c>
      <c r="DF23" s="48">
        <f>+'NPL (ALL)'!DF34</f>
        <v>2086.132870000044</v>
      </c>
      <c r="DG23" s="48">
        <f>+'NPL (ALL)'!DG34</f>
        <v>1344.6749999999674</v>
      </c>
    </row>
    <row r="24" spans="1:111" s="47" customFormat="1" ht="17.25" customHeight="1">
      <c r="A24" s="810"/>
      <c r="B24" s="815" t="s">
        <v>21</v>
      </c>
      <c r="C24" s="816"/>
      <c r="D24" s="89">
        <f>+'NPL (ALL)'!D36</f>
        <v>4642.4076700000005</v>
      </c>
      <c r="E24" s="89">
        <f>+'NPL (ALL)'!E36</f>
        <v>4535.07564</v>
      </c>
      <c r="F24" s="49">
        <f>+'[2]NPL (ALL)'!F31</f>
        <v>4314.5916200000001</v>
      </c>
      <c r="G24" s="49">
        <f>+'[2]NPL (ALL)'!G31</f>
        <v>4285.0410500000007</v>
      </c>
      <c r="H24" s="49">
        <f>+'[2]NPL (ALL)'!H31</f>
        <v>4110.5788200000025</v>
      </c>
      <c r="I24" s="49">
        <f>+'[2]NPL (ALL)'!I31</f>
        <v>3893.0636599999975</v>
      </c>
      <c r="J24" s="49">
        <f>+'[2]NPL (ALL)'!J31</f>
        <v>3819.9248000000043</v>
      </c>
      <c r="K24" s="49">
        <f>+'[2]NPL (ALL)'!K31</f>
        <v>3756.3266600000002</v>
      </c>
      <c r="L24" s="49">
        <f>+'[2]NPL (ALL)'!L31</f>
        <v>3526.1095099999957</v>
      </c>
      <c r="M24" s="49">
        <f>+'[2]NPL (ALL)'!M31</f>
        <v>3559.6557899999998</v>
      </c>
      <c r="N24" s="49">
        <f>+'[2]NPL (ALL)'!N31</f>
        <v>3293.4847400000249</v>
      </c>
      <c r="O24" s="49">
        <f>+'[2]NPL (ALL)'!O31</f>
        <v>3419.5324700000228</v>
      </c>
      <c r="P24" s="49">
        <f>+'[2]NPL (ALL)'!P31</f>
        <v>3617.623290000025</v>
      </c>
      <c r="Q24" s="49">
        <f>+'[2]NPL (ALL)'!Q31</f>
        <v>3839.6127400000241</v>
      </c>
      <c r="R24" s="49">
        <f>+'NPL (ALL)'!R36</f>
        <v>4180.3945600000261</v>
      </c>
      <c r="S24" s="49">
        <f>+'NPL (ALL)'!S36</f>
        <v>4303.2593200000265</v>
      </c>
      <c r="T24" s="49">
        <f>+'NPL (ALL)'!T36</f>
        <v>4177.753880000022</v>
      </c>
      <c r="U24" s="49">
        <f>+'NPL (ALL)'!U36</f>
        <v>4097.1457500000233</v>
      </c>
      <c r="V24" s="49">
        <f>+'NPL (ALL)'!V36</f>
        <v>3756.6523000000316</v>
      </c>
      <c r="W24" s="49">
        <f>+'NPL (ALL)'!W36</f>
        <v>3565.5797300000204</v>
      </c>
      <c r="X24" s="49">
        <f>+'NPL (ALL)'!X36</f>
        <v>3516.6544200000221</v>
      </c>
      <c r="Y24" s="49">
        <f>+'NPL (ALL)'!Y36</f>
        <v>4292.4624800000229</v>
      </c>
      <c r="Z24" s="49">
        <f>+'NPL (ALL)'!Z36</f>
        <v>5120.3474400000232</v>
      </c>
      <c r="AA24" s="49">
        <f>+'NPL (ALL)'!AA36</f>
        <v>5795.8855900000226</v>
      </c>
      <c r="AB24" s="49">
        <f>+'NPL (ALL)'!AB36</f>
        <v>5729.9291700000222</v>
      </c>
      <c r="AC24" s="49">
        <f>+'NPL (ALL)'!AC36</f>
        <v>5983.2929000000204</v>
      </c>
      <c r="AD24" s="49">
        <f>+'NPL (ALL)'!AD36</f>
        <v>6183.4642000000204</v>
      </c>
      <c r="AE24" s="49">
        <f>+'NPL (ALL)'!AE36</f>
        <v>6025.9775100000197</v>
      </c>
      <c r="AF24" s="49">
        <f>+'NPL (ALL)'!AF36</f>
        <v>6155.6009100000192</v>
      </c>
      <c r="AG24" s="49">
        <f>+'NPL (ALL)'!AG36</f>
        <v>6249.2259600000198</v>
      </c>
      <c r="AH24" s="49">
        <f>+'NPL (ALL)'!AH36</f>
        <v>5361.5598000000209</v>
      </c>
      <c r="AI24" s="49">
        <f>+'NPL (ALL)'!AI36</f>
        <v>4874.582320000025</v>
      </c>
      <c r="AJ24" s="49">
        <f>+'NPL (ALL)'!AJ36</f>
        <v>4705.8855000000131</v>
      </c>
      <c r="AK24" s="49">
        <f>+'NPL (ALL)'!AK36</f>
        <v>5099.3517300000185</v>
      </c>
      <c r="AL24" s="49">
        <f>+'NPL (ALL)'!AL36</f>
        <v>5218.7009000000244</v>
      </c>
      <c r="AM24" s="49">
        <f>+'NPL (ALL)'!AM36</f>
        <v>5710.548579999916</v>
      </c>
      <c r="AN24" s="49">
        <f>+'NPL (ALL)'!AN36</f>
        <v>5975.5250100000185</v>
      </c>
      <c r="AO24" s="49">
        <f>+'NPL (ALL)'!AO36</f>
        <v>5636.2254900000153</v>
      </c>
      <c r="AP24" s="49">
        <f>+'NPL (ALL)'!AP36</f>
        <v>5408.998220000015</v>
      </c>
      <c r="AQ24" s="49">
        <f>+'NPL (ALL)'!AQ36</f>
        <v>5361.3330800000167</v>
      </c>
      <c r="AR24" s="49">
        <f>+'NPL (ALL)'!AR36</f>
        <v>5248.1756500000211</v>
      </c>
      <c r="AS24" s="49">
        <f>+'NPL (ALL)'!AS36</f>
        <v>5395.0646700000134</v>
      </c>
      <c r="AT24" s="49">
        <f>+'NPL (ALL)'!AT36</f>
        <v>5588.5918900000133</v>
      </c>
      <c r="AU24" s="49">
        <f>+'NPL (ALL)'!AU36</f>
        <v>5426.1034500000032</v>
      </c>
      <c r="AV24" s="49">
        <f>+'NPL (ALL)'!AV36</f>
        <v>5595.7802500000134</v>
      </c>
      <c r="AW24" s="49">
        <f>+'NPL (ALL)'!AW36</f>
        <v>5791.4034200000033</v>
      </c>
      <c r="AX24" s="49">
        <f>+'NPL (ALL)'!AX36</f>
        <v>6116.6215499999926</v>
      </c>
      <c r="AY24" s="49">
        <f>+'NPL (ALL)'!AY36</f>
        <v>6178.4338100000323</v>
      </c>
      <c r="AZ24" s="49">
        <f>+'NPL (ALL)'!AZ36</f>
        <v>6869.5388800000028</v>
      </c>
      <c r="BA24" s="49">
        <f>+'NPL (ALL)'!BA36</f>
        <v>7650.2771400000538</v>
      </c>
      <c r="BB24" s="49">
        <f>+'NPL (ALL)'!BB36</f>
        <v>7634.2715300000427</v>
      </c>
      <c r="BC24" s="49">
        <f>+'NPL (ALL)'!BC36</f>
        <v>6878.3815700000396</v>
      </c>
      <c r="BD24" s="49">
        <f>+'NPL (ALL)'!BD36</f>
        <v>7029.4845400000395</v>
      </c>
      <c r="BE24" s="49">
        <f>+'NPL (ALL)'!BE36</f>
        <v>7124.6238500000391</v>
      </c>
      <c r="BF24" s="49">
        <f>+'NPL (ALL)'!BF36</f>
        <v>8124.654600000039</v>
      </c>
      <c r="BG24" s="49">
        <f>+'NPL (ALL)'!BG36</f>
        <v>7570.9259600000396</v>
      </c>
      <c r="BH24" s="49">
        <f>+'NPL (ALL)'!BH36</f>
        <v>7548.2872800000378</v>
      </c>
      <c r="BI24" s="49">
        <f>+'NPL (ALL)'!BI36</f>
        <v>8737.4457500000353</v>
      </c>
      <c r="BJ24" s="49">
        <f>+'NPL (ALL)'!BJ36</f>
        <v>7887.8209699999388</v>
      </c>
      <c r="BK24" s="49">
        <f>+'NPL (ALL)'!BK36</f>
        <v>8718.4978800000354</v>
      </c>
      <c r="BL24" s="49">
        <f>+'NPL (ALL)'!BL36</f>
        <v>7729.7814200000394</v>
      </c>
      <c r="BM24" s="49">
        <f>+'NPL (ALL)'!BM36</f>
        <v>7451.1958700000378</v>
      </c>
      <c r="BN24" s="49">
        <f>+'NPL (ALL)'!BN36</f>
        <v>7014.422439999993</v>
      </c>
      <c r="BO24" s="49">
        <f>+'NPL (ALL)'!BO36</f>
        <v>8626.2637200000627</v>
      </c>
      <c r="BP24" s="49">
        <f>+'NPL (ALL)'!BP36</f>
        <v>9193.5880100000322</v>
      </c>
      <c r="BQ24" s="49">
        <f>+'NPL (ALL)'!BQ36</f>
        <v>9801.2674700000407</v>
      </c>
      <c r="BR24" s="49">
        <f>+'NPL (ALL)'!BR36</f>
        <v>10037.597340000038</v>
      </c>
      <c r="BS24" s="49">
        <f>+'NPL (ALL)'!BS36</f>
        <v>9721.3632200000429</v>
      </c>
      <c r="BT24" s="49">
        <f>+'NPL (ALL)'!BT36</f>
        <v>10232.839220000036</v>
      </c>
      <c r="BU24" s="49">
        <f>+'NPL (ALL)'!BU36</f>
        <v>9628.8778700000439</v>
      </c>
      <c r="BV24" s="49">
        <f>+'NPL (ALL)'!BV36</f>
        <v>10515.112890000048</v>
      </c>
      <c r="BW24" s="49">
        <f>+'NPL (ALL)'!BW36</f>
        <v>10515.787170000047</v>
      </c>
      <c r="BX24" s="49">
        <f>+'NPL (ALL)'!BX36</f>
        <v>10482.534750000046</v>
      </c>
      <c r="BY24" s="49">
        <f>+'NPL (ALL)'!BY36</f>
        <v>6860.1571000000431</v>
      </c>
      <c r="BZ24" s="49">
        <f>+'NPL (ALL)'!BZ36</f>
        <v>6950.4990600000001</v>
      </c>
      <c r="CA24" s="49">
        <f>+'NPL (ALL)'!CA36</f>
        <v>6664.2104899999958</v>
      </c>
      <c r="CB24" s="49">
        <f>+'NPL (ALL)'!CB36</f>
        <v>6846.5900700000084</v>
      </c>
      <c r="CC24" s="49">
        <f>+'NPL (ALL)'!CC36</f>
        <v>6681.6380800000134</v>
      </c>
      <c r="CD24" s="49">
        <f>+'NPL (ALL)'!CD36</f>
        <v>6527.5309699999989</v>
      </c>
      <c r="CE24" s="49">
        <f>+'NPL (ALL)'!CE36</f>
        <v>7528.707849999967</v>
      </c>
      <c r="CF24" s="49">
        <f>+'NPL (ALL)'!CF36</f>
        <v>7469.2051100000208</v>
      </c>
      <c r="CG24" s="49">
        <f>+'NPL (ALL)'!CG36</f>
        <v>8096.7350300000217</v>
      </c>
      <c r="CH24" s="49">
        <f>+'NPL (ALL)'!CH36</f>
        <v>8728.8080200000059</v>
      </c>
      <c r="CI24" s="49">
        <f>+'NPL (ALL)'!CI36</f>
        <v>8122.6767700000146</v>
      </c>
      <c r="CJ24" s="49">
        <f>+'NPL (ALL)'!CJ36</f>
        <v>8603.1514999999617</v>
      </c>
      <c r="CK24" s="49">
        <f>+'NPL (ALL)'!CK36</f>
        <v>8943.8084899999758</v>
      </c>
      <c r="CL24" s="49">
        <f>+'NPL (ALL)'!CL36</f>
        <v>8862.2812899999844</v>
      </c>
      <c r="CM24" s="49">
        <f>+'NPL (ALL)'!CM36</f>
        <v>8990.129760000018</v>
      </c>
      <c r="CN24" s="49">
        <f>+'NPL (ALL)'!CN36</f>
        <v>9055.9922699999952</v>
      </c>
      <c r="CO24" s="49">
        <f>+'NPL (ALL)'!CO36</f>
        <v>8549.1186400000624</v>
      </c>
      <c r="CP24" s="49">
        <f>+'NPL (ALL)'!CP36</f>
        <v>8464.2921100000494</v>
      </c>
      <c r="CQ24" s="49">
        <f>+'NPL (ALL)'!CQ36</f>
        <v>8596.9441299999598</v>
      </c>
      <c r="CR24" s="49">
        <f>+'NPL (ALL)'!CR36</f>
        <v>9067.878989999961</v>
      </c>
      <c r="CS24" s="49">
        <f>+'NPL (ALL)'!CS36</f>
        <v>9288.4688599999881</v>
      </c>
      <c r="CT24" s="49">
        <f>+'NPL (ALL)'!CT36</f>
        <v>9322.2618999999177</v>
      </c>
      <c r="CU24" s="49">
        <f>+'NPL (ALL)'!CU36</f>
        <v>8366.1506599999884</v>
      </c>
      <c r="CV24" s="49">
        <f>+'NPL (ALL)'!CV36</f>
        <v>7976.6502599999258</v>
      </c>
      <c r="CW24" s="49">
        <f>+'NPL (ALL)'!CW36</f>
        <v>7710.8950499999573</v>
      </c>
      <c r="CX24" s="49">
        <f>+'NPL (ALL)'!CX36</f>
        <v>7480.6984400000729</v>
      </c>
      <c r="CY24" s="49">
        <f>+'NPL (ALL)'!CY36</f>
        <v>7071.95939000002</v>
      </c>
      <c r="CZ24" s="49">
        <f>+'NPL (ALL)'!CZ36</f>
        <v>6818.4226099999969</v>
      </c>
      <c r="DA24" s="49">
        <f>+'NPL (ALL)'!DA36</f>
        <v>6512.470639999985</v>
      </c>
      <c r="DB24" s="49">
        <f>+'NPL (ALL)'!DB36</f>
        <v>6367.2667600000377</v>
      </c>
      <c r="DC24" s="49">
        <f>+'NPL (ALL)'!DC36</f>
        <v>5760.9162400000314</v>
      </c>
      <c r="DD24" s="49">
        <f>+'NPL (ALL)'!DD36</f>
        <v>5194.732219999958</v>
      </c>
      <c r="DE24" s="49">
        <f>+'NPL (ALL)'!DE36</f>
        <v>5560.4841300000026</v>
      </c>
      <c r="DF24" s="49">
        <f>+'NPL (ALL)'!DF36</f>
        <v>5291.9062400000466</v>
      </c>
      <c r="DG24" s="49">
        <f>+'NPL (ALL)'!DG36</f>
        <v>4857.256360000014</v>
      </c>
    </row>
    <row r="25" spans="1:111" s="47" customFormat="1" ht="17.25" customHeight="1">
      <c r="A25" s="810"/>
      <c r="B25" s="802" t="s">
        <v>22</v>
      </c>
      <c r="C25" s="803"/>
      <c r="D25" s="90">
        <f>+'NPL (ALL)'!D38</f>
        <v>167165.84693999999</v>
      </c>
      <c r="E25" s="90">
        <f>+'NPL (ALL)'!E38</f>
        <v>164831.65823999979</v>
      </c>
      <c r="F25" s="50">
        <f>+'[2]NPL (ALL)'!F33</f>
        <v>166671.10328999997</v>
      </c>
      <c r="G25" s="50">
        <f>+'[2]NPL (ALL)'!G33</f>
        <v>160734.36285999999</v>
      </c>
      <c r="H25" s="50">
        <f>+'[2]NPL (ALL)'!H33</f>
        <v>160844.23318000001</v>
      </c>
      <c r="I25" s="50">
        <f>+'[2]NPL (ALL)'!I33</f>
        <v>160028.52149999997</v>
      </c>
      <c r="J25" s="50">
        <f>+'[2]NPL (ALL)'!J33</f>
        <v>161908.75671000002</v>
      </c>
      <c r="K25" s="50">
        <f>+'[2]NPL (ALL)'!K33</f>
        <v>161436.78766999999</v>
      </c>
      <c r="L25" s="50">
        <f>+'[2]NPL (ALL)'!L33</f>
        <v>165320.14856</v>
      </c>
      <c r="M25" s="50">
        <f>+'[2]NPL (ALL)'!M33</f>
        <v>174502.07688000001</v>
      </c>
      <c r="N25" s="50">
        <f>+'[2]NPL (ALL)'!N33</f>
        <v>176984.84584999998</v>
      </c>
      <c r="O25" s="50">
        <f>+'[2]NPL (ALL)'!O33</f>
        <v>188522.91549000001</v>
      </c>
      <c r="P25" s="50">
        <f>+'[2]NPL (ALL)'!P33</f>
        <v>200495.10079000003</v>
      </c>
      <c r="Q25" s="50">
        <f>+'[2]NPL (ALL)'!Q33</f>
        <v>212411.07925000001</v>
      </c>
      <c r="R25" s="50">
        <f>+'NPL (ALL)'!R38</f>
        <v>220066.51853</v>
      </c>
      <c r="S25" s="50">
        <f>+'NPL (ALL)'!S38</f>
        <v>220649.05703</v>
      </c>
      <c r="T25" s="50">
        <f>+'NPL (ALL)'!T38</f>
        <v>232162.79332</v>
      </c>
      <c r="U25" s="50">
        <f>+'NPL (ALL)'!U38</f>
        <v>257495.98275</v>
      </c>
      <c r="V25" s="50">
        <f>+'NPL (ALL)'!V38</f>
        <v>272973.89515</v>
      </c>
      <c r="W25" s="50">
        <f>+'NPL (ALL)'!W38</f>
        <v>288038.91128999996</v>
      </c>
      <c r="X25" s="50">
        <f>+'NPL (ALL)'!X38</f>
        <v>303030.04268000001</v>
      </c>
      <c r="Y25" s="50">
        <f>+'NPL (ALL)'!Y38</f>
        <v>318177.26951999997</v>
      </c>
      <c r="Z25" s="50">
        <f>+'NPL (ALL)'!Z38</f>
        <v>320800.11830000003</v>
      </c>
      <c r="AA25" s="50">
        <f>+'NPL (ALL)'!AA38</f>
        <v>327880.80126000004</v>
      </c>
      <c r="AB25" s="50">
        <f>+'NPL (ALL)'!AB38</f>
        <v>331430.92764000001</v>
      </c>
      <c r="AC25" s="50">
        <f>+'NPL (ALL)'!AC38</f>
        <v>338265.82540999999</v>
      </c>
      <c r="AD25" s="50">
        <f>+'NPL (ALL)'!AD38</f>
        <v>335613.25092000002</v>
      </c>
      <c r="AE25" s="50">
        <f>+'NPL (ALL)'!AE38</f>
        <v>332402.74904999998</v>
      </c>
      <c r="AF25" s="50">
        <f>+'NPL (ALL)'!AF38</f>
        <v>334610.68754000001</v>
      </c>
      <c r="AG25" s="50">
        <f>+'NPL (ALL)'!AG38</f>
        <v>338562.05294000002</v>
      </c>
      <c r="AH25" s="50">
        <f>+'NPL (ALL)'!AH38</f>
        <v>345262.56664999999</v>
      </c>
      <c r="AI25" s="50">
        <f>+'NPL (ALL)'!AI38</f>
        <v>349033.79203000001</v>
      </c>
      <c r="AJ25" s="50">
        <f>+'NPL (ALL)'!AJ38</f>
        <v>355708.47086999996</v>
      </c>
      <c r="AK25" s="50">
        <f>+'NPL (ALL)'!AK38</f>
        <v>363179.71824000002</v>
      </c>
      <c r="AL25" s="50">
        <f>+'NPL (ALL)'!AL38</f>
        <v>366499.31068999995</v>
      </c>
      <c r="AM25" s="50">
        <f>+'NPL (ALL)'!AM38</f>
        <v>373368.67968000006</v>
      </c>
      <c r="AN25" s="50">
        <f>+'NPL (ALL)'!AN38</f>
        <v>377906.68238000001</v>
      </c>
      <c r="AO25" s="50">
        <f>+'NPL (ALL)'!AO38</f>
        <v>385365.34104000003</v>
      </c>
      <c r="AP25" s="50">
        <f>+'NPL (ALL)'!AP38</f>
        <v>390463.43128000002</v>
      </c>
      <c r="AQ25" s="50">
        <f>+'NPL (ALL)'!AQ38</f>
        <v>380827.70572000003</v>
      </c>
      <c r="AR25" s="50">
        <f>+'NPL (ALL)'!AR38</f>
        <v>387571.35695999995</v>
      </c>
      <c r="AS25" s="50">
        <f>+'NPL (ALL)'!AS38</f>
        <v>391586.18350000004</v>
      </c>
      <c r="AT25" s="50">
        <f>+'NPL (ALL)'!AT38</f>
        <v>401761.45805000007</v>
      </c>
      <c r="AU25" s="50">
        <f>+'NPL (ALL)'!AU38</f>
        <v>409453.92946999997</v>
      </c>
      <c r="AV25" s="50">
        <f>+'NPL (ALL)'!AV38</f>
        <v>420409.97985000006</v>
      </c>
      <c r="AW25" s="50">
        <f>+'NPL (ALL)'!AW38</f>
        <v>424710.8984200001</v>
      </c>
      <c r="AX25" s="50">
        <f>+'NPL (ALL)'!AX38</f>
        <v>428803.55252999999</v>
      </c>
      <c r="AY25" s="50">
        <f>+'NPL (ALL)'!AY38</f>
        <v>437069.39602000004</v>
      </c>
      <c r="AZ25" s="50">
        <f>+'NPL (ALL)'!AZ38</f>
        <v>444713.28912999987</v>
      </c>
      <c r="BA25" s="50">
        <f>+'NPL (ALL)'!BA38</f>
        <v>452459.37537999998</v>
      </c>
      <c r="BB25" s="50">
        <f>+'NPL (ALL)'!BB38</f>
        <v>453053.54090999998</v>
      </c>
      <c r="BC25" s="50">
        <f>+'NPL (ALL)'!BC38</f>
        <v>446176.51012999995</v>
      </c>
      <c r="BD25" s="50">
        <f>+'NPL (ALL)'!BD38</f>
        <v>448158.76954000001</v>
      </c>
      <c r="BE25" s="50">
        <f>+'NPL (ALL)'!BE38</f>
        <v>449189.27439999999</v>
      </c>
      <c r="BF25" s="50">
        <f>+'NPL (ALL)'!BF38</f>
        <v>452220.98853999993</v>
      </c>
      <c r="BG25" s="50">
        <v>451545.8677099999</v>
      </c>
      <c r="BH25" s="50">
        <v>453806.09630000009</v>
      </c>
      <c r="BI25" s="50">
        <v>454427.61703999998</v>
      </c>
      <c r="BJ25" s="50">
        <v>452084.09195999999</v>
      </c>
      <c r="BK25" s="50">
        <v>454200.78694999998</v>
      </c>
      <c r="BL25" s="50">
        <v>455861.02967999998</v>
      </c>
      <c r="BM25" s="50">
        <v>457749.13882999995</v>
      </c>
      <c r="BN25" s="50">
        <v>419835.32001999993</v>
      </c>
      <c r="BO25" s="50">
        <v>401885.83159000002</v>
      </c>
      <c r="BP25" s="50">
        <v>407666.27954999998</v>
      </c>
      <c r="BQ25" s="50">
        <v>404467.55527999997</v>
      </c>
      <c r="BR25" s="50">
        <v>409279.27242999995</v>
      </c>
      <c r="BS25" s="50">
        <v>408895.13529999997</v>
      </c>
      <c r="BT25" s="50">
        <v>411581.09422000003</v>
      </c>
      <c r="BU25" s="50">
        <v>415572.07245000004</v>
      </c>
      <c r="BV25" s="50">
        <v>411686.25514999992</v>
      </c>
      <c r="BW25" s="50">
        <v>422696.58456000005</v>
      </c>
      <c r="BX25" s="50">
        <v>416362.45503000007</v>
      </c>
      <c r="BY25" s="50">
        <v>420831.78707999992</v>
      </c>
      <c r="BZ25" s="50">
        <v>432629.12614000007</v>
      </c>
      <c r="CA25" s="50">
        <v>415292.46111999999</v>
      </c>
      <c r="CB25" s="50">
        <v>417901.30411999993</v>
      </c>
      <c r="CC25" s="50">
        <v>422362.58960000006</v>
      </c>
      <c r="CD25" s="50">
        <v>422363.58960000001</v>
      </c>
      <c r="CE25" s="50">
        <v>435408.86629999999</v>
      </c>
      <c r="CF25" s="50">
        <v>436133</v>
      </c>
      <c r="CG25" s="50">
        <v>443575.32267000002</v>
      </c>
      <c r="CH25" s="50">
        <v>443496.09883000009</v>
      </c>
      <c r="CI25" s="50">
        <v>451870.05654000002</v>
      </c>
      <c r="CJ25" s="50">
        <v>450543.87977000006</v>
      </c>
      <c r="CK25" s="50">
        <v>461621.39382</v>
      </c>
      <c r="CL25" s="50">
        <v>467914.6066099999</v>
      </c>
      <c r="CM25" s="50">
        <v>452054.32022999995</v>
      </c>
      <c r="CN25" s="50">
        <v>458805.43871999998</v>
      </c>
      <c r="CO25" s="50">
        <v>458053.63804000005</v>
      </c>
      <c r="CP25" s="50">
        <v>463368.21280999994</v>
      </c>
      <c r="CQ25" s="50">
        <v>465781.02743999998</v>
      </c>
      <c r="CR25" s="50">
        <v>463461.70314999996</v>
      </c>
      <c r="CS25" s="50">
        <v>476333.01393999998</v>
      </c>
      <c r="CT25" s="50">
        <v>477662.38630999997</v>
      </c>
      <c r="CU25" s="50">
        <v>483077.11223000003</v>
      </c>
      <c r="CV25" s="50">
        <v>480648.80634000001</v>
      </c>
      <c r="CW25" s="50">
        <v>502171.77146000002</v>
      </c>
      <c r="CX25" s="50">
        <v>504056.51023999997</v>
      </c>
      <c r="CY25" s="50">
        <v>495754.91352</v>
      </c>
      <c r="CZ25" s="50">
        <v>494710.22642000002</v>
      </c>
      <c r="DA25" s="50">
        <v>485605.62637000001</v>
      </c>
      <c r="DB25" s="50">
        <v>483971.50014000008</v>
      </c>
      <c r="DC25" s="50">
        <v>477878.16492000001</v>
      </c>
      <c r="DD25" s="50">
        <v>472221.18582999997</v>
      </c>
      <c r="DE25" s="50">
        <v>485193.06310000003</v>
      </c>
      <c r="DF25" s="50">
        <v>479227.18977999996</v>
      </c>
      <c r="DG25" s="50">
        <v>482937.16700999998</v>
      </c>
    </row>
    <row r="26" spans="1:111" s="47" customFormat="1" ht="17.25" customHeight="1">
      <c r="A26" s="810"/>
      <c r="B26" s="815" t="s">
        <v>31</v>
      </c>
      <c r="C26" s="816"/>
      <c r="D26" s="91">
        <f t="shared" ref="D26:S26" si="193">+D27-D25</f>
        <v>16707.012129999843</v>
      </c>
      <c r="E26" s="91">
        <f t="shared" si="193"/>
        <v>17386.383840000228</v>
      </c>
      <c r="F26" s="51">
        <f t="shared" si="193"/>
        <v>16144.019750000036</v>
      </c>
      <c r="G26" s="51">
        <f t="shared" si="193"/>
        <v>17078.116100000014</v>
      </c>
      <c r="H26" s="51">
        <f t="shared" si="193"/>
        <v>16855.804669999983</v>
      </c>
      <c r="I26" s="51">
        <f t="shared" si="193"/>
        <v>17687.638340000034</v>
      </c>
      <c r="J26" s="51">
        <f t="shared" si="193"/>
        <v>17946.462579999992</v>
      </c>
      <c r="K26" s="51">
        <f t="shared" si="193"/>
        <v>18842.092290000001</v>
      </c>
      <c r="L26" s="51">
        <f t="shared" si="193"/>
        <v>19731.571820000012</v>
      </c>
      <c r="M26" s="51">
        <f t="shared" si="193"/>
        <v>19043.975649999978</v>
      </c>
      <c r="N26" s="51">
        <f t="shared" si="193"/>
        <v>22991.779230000015</v>
      </c>
      <c r="O26" s="51">
        <f t="shared" si="193"/>
        <v>23714.825529999973</v>
      </c>
      <c r="P26" s="51">
        <f t="shared" si="193"/>
        <v>27614.096169999975</v>
      </c>
      <c r="Q26" s="51">
        <f t="shared" si="193"/>
        <v>27192.91227999999</v>
      </c>
      <c r="R26" s="51">
        <f t="shared" si="193"/>
        <v>24819.989549999998</v>
      </c>
      <c r="S26" s="51">
        <f t="shared" si="193"/>
        <v>27422.07399000015</v>
      </c>
      <c r="T26" s="51">
        <f t="shared" ref="T26:Y26" si="194">+T27-T25</f>
        <v>35843.456950000022</v>
      </c>
      <c r="U26" s="51">
        <f t="shared" si="194"/>
        <v>33468.35361999998</v>
      </c>
      <c r="V26" s="51">
        <f t="shared" si="194"/>
        <v>33383.120650000114</v>
      </c>
      <c r="W26" s="51">
        <f t="shared" si="194"/>
        <v>36196.812580000085</v>
      </c>
      <c r="X26" s="51">
        <f t="shared" si="194"/>
        <v>35971.173539999989</v>
      </c>
      <c r="Y26" s="51">
        <f t="shared" si="194"/>
        <v>34279.628299999982</v>
      </c>
      <c r="Z26" s="51">
        <f t="shared" ref="Z26:AE26" si="195">+Z27-Z25</f>
        <v>34706.810709999991</v>
      </c>
      <c r="AA26" s="51">
        <f t="shared" si="195"/>
        <v>34219.171479999961</v>
      </c>
      <c r="AB26" s="51">
        <f t="shared" si="195"/>
        <v>36513.177069999627</v>
      </c>
      <c r="AC26" s="51">
        <f t="shared" si="195"/>
        <v>37763.256999999983</v>
      </c>
      <c r="AD26" s="51">
        <f t="shared" si="195"/>
        <v>36538.738780000014</v>
      </c>
      <c r="AE26" s="51">
        <f t="shared" si="195"/>
        <v>37667.836910000129</v>
      </c>
      <c r="AF26" s="51">
        <f t="shared" ref="AF26:AL26" si="196">+AF27-AF25</f>
        <v>38470.724129999988</v>
      </c>
      <c r="AG26" s="51">
        <f t="shared" si="196"/>
        <v>42376.97252999997</v>
      </c>
      <c r="AH26" s="51">
        <f t="shared" si="196"/>
        <v>44052.591559999855</v>
      </c>
      <c r="AI26" s="51">
        <f t="shared" si="196"/>
        <v>46492.493240000098</v>
      </c>
      <c r="AJ26" s="51">
        <f t="shared" si="196"/>
        <v>47857.686859999958</v>
      </c>
      <c r="AK26" s="51">
        <f t="shared" si="196"/>
        <v>46803.756170000299</v>
      </c>
      <c r="AL26" s="51">
        <f t="shared" si="196"/>
        <v>47767.655629999819</v>
      </c>
      <c r="AM26" s="51">
        <f t="shared" ref="AM26:AS26" si="197">+AM27-AM25</f>
        <v>48087.872250000015</v>
      </c>
      <c r="AN26" s="51">
        <f t="shared" si="197"/>
        <v>51351.626969999634</v>
      </c>
      <c r="AO26" s="51">
        <f t="shared" si="197"/>
        <v>51043.844519999926</v>
      </c>
      <c r="AP26" s="51">
        <f t="shared" si="197"/>
        <v>45956.714749999868</v>
      </c>
      <c r="AQ26" s="51">
        <f t="shared" si="197"/>
        <v>50090.875289999938</v>
      </c>
      <c r="AR26" s="51">
        <f t="shared" si="197"/>
        <v>50186.087810000055</v>
      </c>
      <c r="AS26" s="51">
        <f t="shared" si="197"/>
        <v>53052.789449999924</v>
      </c>
      <c r="AT26" s="51">
        <f t="shared" ref="AT26:AZ26" si="198">+AT27-AT25</f>
        <v>54138.095679999911</v>
      </c>
      <c r="AU26" s="51">
        <f t="shared" si="198"/>
        <v>55448.210630000045</v>
      </c>
      <c r="AV26" s="51">
        <f t="shared" si="198"/>
        <v>59133.026349999942</v>
      </c>
      <c r="AW26" s="51">
        <f t="shared" si="198"/>
        <v>62364.306589999876</v>
      </c>
      <c r="AX26" s="51">
        <f t="shared" si="198"/>
        <v>61495.382999999973</v>
      </c>
      <c r="AY26" s="51">
        <f t="shared" si="198"/>
        <v>64650.720739999961</v>
      </c>
      <c r="AZ26" s="51">
        <f t="shared" si="198"/>
        <v>68228.250650000176</v>
      </c>
      <c r="BA26" s="51">
        <f t="shared" ref="BA26:BG26" si="199">+BA27-BA25</f>
        <v>68722.337839999993</v>
      </c>
      <c r="BB26" s="51">
        <f t="shared" si="199"/>
        <v>67744.781500000041</v>
      </c>
      <c r="BC26" s="51">
        <f t="shared" si="199"/>
        <v>70468.697469999024</v>
      </c>
      <c r="BD26" s="51">
        <f t="shared" si="199"/>
        <v>73979.005260000005</v>
      </c>
      <c r="BE26" s="51">
        <f t="shared" si="199"/>
        <v>75372.126210000017</v>
      </c>
      <c r="BF26" s="51">
        <f t="shared" si="199"/>
        <v>79560.652880000067</v>
      </c>
      <c r="BG26" s="51">
        <f t="shared" si="199"/>
        <v>80582.371860000072</v>
      </c>
      <c r="BH26" s="51">
        <f t="shared" ref="BH26:BM26" si="200">+BH27-BH25</f>
        <v>80415.718160000863</v>
      </c>
      <c r="BI26" s="51">
        <f t="shared" si="200"/>
        <v>88686.563350000011</v>
      </c>
      <c r="BJ26" s="51">
        <f t="shared" si="200"/>
        <v>86211.209359999048</v>
      </c>
      <c r="BK26" s="51">
        <f t="shared" si="200"/>
        <v>90281.354099999997</v>
      </c>
      <c r="BL26" s="51">
        <f t="shared" si="200"/>
        <v>91914.386159999704</v>
      </c>
      <c r="BM26" s="51">
        <f t="shared" si="200"/>
        <v>88501.922620000085</v>
      </c>
      <c r="BN26" s="51">
        <f t="shared" ref="BN26:BS26" si="201">+BN27-BN25</f>
        <v>121118.42192000098</v>
      </c>
      <c r="BO26" s="51">
        <f t="shared" si="201"/>
        <v>118361.8628</v>
      </c>
      <c r="BP26" s="51">
        <f t="shared" si="201"/>
        <v>101609.16160000023</v>
      </c>
      <c r="BQ26" s="51">
        <f t="shared" si="201"/>
        <v>105583.9394300002</v>
      </c>
      <c r="BR26" s="51">
        <f t="shared" si="201"/>
        <v>111863.26450000057</v>
      </c>
      <c r="BS26" s="51">
        <f t="shared" si="201"/>
        <v>109344.11215999949</v>
      </c>
      <c r="BT26" s="51">
        <f t="shared" ref="BT26:BY26" si="202">+BT27-BT25</f>
        <v>109301.2913299998</v>
      </c>
      <c r="BU26" s="51">
        <f t="shared" si="202"/>
        <v>109530.0450699997</v>
      </c>
      <c r="BV26" s="51">
        <f t="shared" si="202"/>
        <v>111895.42361000041</v>
      </c>
      <c r="BW26" s="51">
        <f t="shared" si="202"/>
        <v>108385.36242000043</v>
      </c>
      <c r="BX26" s="51">
        <f t="shared" si="202"/>
        <v>120029.86045000004</v>
      </c>
      <c r="BY26" s="51">
        <f t="shared" si="202"/>
        <v>121991.40484000056</v>
      </c>
      <c r="BZ26" s="51">
        <f t="shared" ref="BZ26:CE26" si="203">+BZ27-BZ25</f>
        <v>106117.37484999991</v>
      </c>
      <c r="CA26" s="51">
        <f t="shared" si="203"/>
        <v>121209.47364000021</v>
      </c>
      <c r="CB26" s="51">
        <f t="shared" si="203"/>
        <v>120144.11032000015</v>
      </c>
      <c r="CC26" s="51">
        <f t="shared" si="203"/>
        <v>124642.76484999922</v>
      </c>
      <c r="CD26" s="51">
        <f t="shared" si="203"/>
        <v>130444.59284000093</v>
      </c>
      <c r="CE26" s="51">
        <f t="shared" si="203"/>
        <v>119767.82464999985</v>
      </c>
      <c r="CF26" s="51">
        <f t="shared" ref="CF26:CG26" si="204">+CF27-CF25</f>
        <v>126098.70891000039</v>
      </c>
      <c r="CG26" s="51">
        <f t="shared" si="204"/>
        <v>120672.18658999994</v>
      </c>
      <c r="CH26" s="51">
        <f t="shared" ref="CH26:CI26" si="205">+CH27-CH25</f>
        <v>125983.47604999988</v>
      </c>
      <c r="CI26" s="51">
        <f t="shared" si="205"/>
        <v>125022.63364999997</v>
      </c>
      <c r="CJ26" s="51">
        <f t="shared" ref="CJ26:CK26" si="206">+CJ27-CJ25</f>
        <v>134945.8505900001</v>
      </c>
      <c r="CK26" s="51">
        <f t="shared" si="206"/>
        <v>130878.15700000001</v>
      </c>
      <c r="CL26" s="51">
        <f t="shared" ref="CL26:CM26" si="207">+CL27-CL25</f>
        <v>118765.45548000012</v>
      </c>
      <c r="CM26" s="51">
        <f t="shared" si="207"/>
        <v>128306.88286000001</v>
      </c>
      <c r="CN26" s="51">
        <f t="shared" ref="CN26:CO26" si="208">+CN27-CN25</f>
        <v>122465.10014999995</v>
      </c>
      <c r="CO26" s="51">
        <f t="shared" si="208"/>
        <v>124015.19313999993</v>
      </c>
      <c r="CP26" s="51">
        <f t="shared" ref="CP26:CQ26" si="209">+CP27-CP25</f>
        <v>124023.27462000004</v>
      </c>
      <c r="CQ26" s="51">
        <f t="shared" si="209"/>
        <v>122301.79625000013</v>
      </c>
      <c r="CR26" s="51">
        <f t="shared" ref="CR26:CS26" si="210">+CR27-CR25</f>
        <v>125836.35831000004</v>
      </c>
      <c r="CS26" s="51">
        <f t="shared" si="210"/>
        <v>117745.31821000017</v>
      </c>
      <c r="CT26" s="51">
        <f t="shared" ref="CT26:CU26" si="211">+CT27-CT25</f>
        <v>126738.06399000005</v>
      </c>
      <c r="CU26" s="51">
        <f t="shared" si="211"/>
        <v>127576.49482999992</v>
      </c>
      <c r="CV26" s="51">
        <f t="shared" ref="CV26:CW26" si="212">+CV27-CV25</f>
        <v>143578.82403000002</v>
      </c>
      <c r="CW26" s="51">
        <f t="shared" si="212"/>
        <v>140075.59379999997</v>
      </c>
      <c r="CX26" s="51">
        <f t="shared" ref="CX26:CY26" si="213">+CX27-CX25</f>
        <v>135833.10235000006</v>
      </c>
      <c r="CY26" s="51">
        <f t="shared" si="213"/>
        <v>133307.38383999997</v>
      </c>
      <c r="CZ26" s="51">
        <f t="shared" ref="CZ26:DA26" si="214">+CZ27-CZ25</f>
        <v>139463.80356999993</v>
      </c>
      <c r="DA26" s="51">
        <f t="shared" si="214"/>
        <v>150069.20417999994</v>
      </c>
      <c r="DB26" s="51">
        <f t="shared" ref="DB26:DC26" si="215">+DB27-DB25</f>
        <v>160731.81969999993</v>
      </c>
      <c r="DC26" s="51">
        <f t="shared" si="215"/>
        <v>173877.63771000004</v>
      </c>
      <c r="DD26" s="51">
        <f>+DD27-DD25</f>
        <v>190292.08775000006</v>
      </c>
      <c r="DE26" s="51">
        <f>+DE27-DE25</f>
        <v>190930.94066999992</v>
      </c>
      <c r="DF26" s="51">
        <f>+DF27-DF25</f>
        <v>203545.5518800001</v>
      </c>
      <c r="DG26" s="51">
        <f>+DG27-DG25</f>
        <v>218716.97426000005</v>
      </c>
    </row>
    <row r="27" spans="1:111" s="47" customFormat="1" ht="17.25" customHeight="1">
      <c r="A27" s="810"/>
      <c r="B27" s="830" t="s">
        <v>24</v>
      </c>
      <c r="C27" s="831"/>
      <c r="D27" s="105">
        <v>183872.85906999983</v>
      </c>
      <c r="E27" s="105">
        <f>+'NPL (ALL)'!E41</f>
        <v>182218.04208000001</v>
      </c>
      <c r="F27" s="64">
        <f>+'[2]NPL (ALL)'!F36</f>
        <v>182815.12304000001</v>
      </c>
      <c r="G27" s="64">
        <f>+'[2]NPL (ALL)'!G36</f>
        <v>177812.47896000001</v>
      </c>
      <c r="H27" s="64">
        <f>+'[2]NPL (ALL)'!H36</f>
        <v>177700.03784999999</v>
      </c>
      <c r="I27" s="64">
        <f>+'[2]NPL (ALL)'!I36</f>
        <v>177716.15984000001</v>
      </c>
      <c r="J27" s="64">
        <f>+'[2]NPL (ALL)'!J36</f>
        <v>179855.21929000001</v>
      </c>
      <c r="K27" s="64">
        <f>+'[2]NPL (ALL)'!K36</f>
        <v>180278.87995999999</v>
      </c>
      <c r="L27" s="64">
        <f>+'[2]NPL (ALL)'!L36</f>
        <v>185051.72038000001</v>
      </c>
      <c r="M27" s="64">
        <f>+'[2]NPL (ALL)'!M36</f>
        <v>193546.05252999999</v>
      </c>
      <c r="N27" s="64">
        <f>+'[2]NPL (ALL)'!N36</f>
        <v>199976.62508</v>
      </c>
      <c r="O27" s="64">
        <f>+'[2]NPL (ALL)'!O36</f>
        <v>212237.74101999999</v>
      </c>
      <c r="P27" s="64">
        <f>+'[2]NPL (ALL)'!P36</f>
        <v>228109.19696</v>
      </c>
      <c r="Q27" s="64">
        <f>+'[2]NPL (ALL)'!Q36</f>
        <v>239603.99153</v>
      </c>
      <c r="R27" s="64">
        <f>+'NPL (ALL)'!R41</f>
        <v>244886.50808</v>
      </c>
      <c r="S27" s="64">
        <f>+'NPL (ALL)'!S41</f>
        <v>248071.13102000015</v>
      </c>
      <c r="T27" s="64">
        <f>+'NPL (ALL)'!T41</f>
        <v>268006.25027000002</v>
      </c>
      <c r="U27" s="64">
        <f>+'NPL (ALL)'!U41</f>
        <v>290964.33636999998</v>
      </c>
      <c r="V27" s="64">
        <f>+'NPL (ALL)'!V41</f>
        <v>306357.01580000011</v>
      </c>
      <c r="W27" s="64">
        <f>+'NPL (ALL)'!W41</f>
        <v>324235.72387000005</v>
      </c>
      <c r="X27" s="64">
        <f>+'NPL (ALL)'!X41</f>
        <v>339001.21622</v>
      </c>
      <c r="Y27" s="64">
        <f>+'NPL (ALL)'!Y41</f>
        <v>352456.89781999995</v>
      </c>
      <c r="Z27" s="64">
        <f>+'NPL (ALL)'!Z41</f>
        <v>355506.92901000002</v>
      </c>
      <c r="AA27" s="64">
        <f>+'NPL (ALL)'!AA41</f>
        <v>362099.97274</v>
      </c>
      <c r="AB27" s="64">
        <f>+'NPL (ALL)'!AB41</f>
        <v>367944.10470999964</v>
      </c>
      <c r="AC27" s="64">
        <f>+'NPL (ALL)'!AC41</f>
        <v>376029.08240999997</v>
      </c>
      <c r="AD27" s="64">
        <f>+'NPL (ALL)'!AD41</f>
        <v>372151.98970000003</v>
      </c>
      <c r="AE27" s="64">
        <f>+'NPL (ALL)'!AE41</f>
        <v>370070.58596000011</v>
      </c>
      <c r="AF27" s="64">
        <f>+'NPL (ALL)'!AF41</f>
        <v>373081.41167</v>
      </c>
      <c r="AG27" s="64">
        <f>+'NPL (ALL)'!AG41</f>
        <v>380939.02546999999</v>
      </c>
      <c r="AH27" s="64">
        <f>+'NPL (ALL)'!AH41</f>
        <v>389315.15820999985</v>
      </c>
      <c r="AI27" s="64">
        <f>+'NPL (ALL)'!AI41</f>
        <v>395526.28527000011</v>
      </c>
      <c r="AJ27" s="64">
        <f>+'NPL (ALL)'!AJ41</f>
        <v>403566.15772999992</v>
      </c>
      <c r="AK27" s="64">
        <f>+'NPL (ALL)'!AK41</f>
        <v>409983.47441000032</v>
      </c>
      <c r="AL27" s="64">
        <f>+'NPL (ALL)'!AL41</f>
        <v>414266.96631999977</v>
      </c>
      <c r="AM27" s="64">
        <f>+'NPL (ALL)'!AM41</f>
        <v>421456.55193000007</v>
      </c>
      <c r="AN27" s="64">
        <f>+'NPL (ALL)'!AN41</f>
        <v>429258.30934999965</v>
      </c>
      <c r="AO27" s="64">
        <f>+'NPL (ALL)'!AO41</f>
        <v>436409.18555999995</v>
      </c>
      <c r="AP27" s="64">
        <f>+'NPL (ALL)'!AP41</f>
        <v>436420.14602999989</v>
      </c>
      <c r="AQ27" s="64">
        <f>+'NPL (ALL)'!AQ41</f>
        <v>430918.58100999997</v>
      </c>
      <c r="AR27" s="64">
        <f>+'NPL (ALL)'!AR41</f>
        <v>437757.44477</v>
      </c>
      <c r="AS27" s="64">
        <f>+'NPL (ALL)'!AS41</f>
        <v>444638.97294999997</v>
      </c>
      <c r="AT27" s="64">
        <f>+'NPL (ALL)'!AT41</f>
        <v>455899.55372999999</v>
      </c>
      <c r="AU27" s="64">
        <f>+'NPL (ALL)'!AU41</f>
        <v>464902.14010000002</v>
      </c>
      <c r="AV27" s="64">
        <f>+'NPL (ALL)'!AV41</f>
        <v>479543.0062</v>
      </c>
      <c r="AW27" s="64">
        <f>+'NPL (ALL)'!AW41</f>
        <v>487075.20500999998</v>
      </c>
      <c r="AX27" s="64">
        <f>+'NPL (ALL)'!AX41</f>
        <v>490298.93552999996</v>
      </c>
      <c r="AY27" s="64">
        <f>+'NPL (ALL)'!AY41</f>
        <v>501720.11676</v>
      </c>
      <c r="AZ27" s="64">
        <f>+'NPL (ALL)'!AZ41</f>
        <v>512941.53978000005</v>
      </c>
      <c r="BA27" s="64">
        <f>+'NPL (ALL)'!BA41</f>
        <v>521181.71321999998</v>
      </c>
      <c r="BB27" s="64">
        <f>+'NPL (ALL)'!BB41</f>
        <v>520798.32241000002</v>
      </c>
      <c r="BC27" s="64">
        <f>+'NPL (ALL)'!BC41</f>
        <v>516645.20759999898</v>
      </c>
      <c r="BD27" s="64">
        <f>+'NPL (ALL)'!BD41</f>
        <v>522137.77480000001</v>
      </c>
      <c r="BE27" s="64">
        <f>+'NPL (ALL)'!BE41</f>
        <v>524561.40061000001</v>
      </c>
      <c r="BF27" s="64">
        <f>+'NPL (ALL)'!BF41</f>
        <v>531781.64142</v>
      </c>
      <c r="BG27" s="64">
        <v>532128.23956999998</v>
      </c>
      <c r="BH27" s="64">
        <v>534221.81446000095</v>
      </c>
      <c r="BI27" s="64">
        <v>543114.18038999999</v>
      </c>
      <c r="BJ27" s="64">
        <v>538295.30131999904</v>
      </c>
      <c r="BK27" s="64">
        <v>544482.14104999998</v>
      </c>
      <c r="BL27" s="64">
        <v>547775.41583999968</v>
      </c>
      <c r="BM27" s="64">
        <v>546251.06145000004</v>
      </c>
      <c r="BN27" s="64">
        <v>540953.74194000091</v>
      </c>
      <c r="BO27" s="64">
        <v>520247.69439000002</v>
      </c>
      <c r="BP27" s="64">
        <v>509275.4411500002</v>
      </c>
      <c r="BQ27" s="64">
        <v>510051.49471000017</v>
      </c>
      <c r="BR27" s="64">
        <v>521142.53693000053</v>
      </c>
      <c r="BS27" s="64">
        <v>518239.24745999946</v>
      </c>
      <c r="BT27" s="64">
        <v>520882.38554999983</v>
      </c>
      <c r="BU27" s="64">
        <v>525102.11751999974</v>
      </c>
      <c r="BV27" s="64">
        <v>523581.67876000033</v>
      </c>
      <c r="BW27" s="64">
        <v>531081.94698000047</v>
      </c>
      <c r="BX27" s="64">
        <v>536392.31548000011</v>
      </c>
      <c r="BY27" s="64">
        <v>542823.19192000048</v>
      </c>
      <c r="BZ27" s="64">
        <v>538746.50098999997</v>
      </c>
      <c r="CA27" s="64">
        <v>536501.93476000021</v>
      </c>
      <c r="CB27" s="64">
        <v>538045.41444000008</v>
      </c>
      <c r="CC27" s="64">
        <v>547005.35444999929</v>
      </c>
      <c r="CD27" s="64">
        <v>552808.18244000094</v>
      </c>
      <c r="CE27" s="64">
        <v>555176.69094999984</v>
      </c>
      <c r="CF27" s="64">
        <v>562231.70891000039</v>
      </c>
      <c r="CG27" s="64">
        <v>564247.50925999996</v>
      </c>
      <c r="CH27" s="64">
        <v>569479.57487999997</v>
      </c>
      <c r="CI27" s="64">
        <v>576892.69018999999</v>
      </c>
      <c r="CJ27" s="64">
        <v>585489.73036000016</v>
      </c>
      <c r="CK27" s="64">
        <v>592499.55082</v>
      </c>
      <c r="CL27" s="64">
        <v>586680.06209000002</v>
      </c>
      <c r="CM27" s="64">
        <v>580361.20308999997</v>
      </c>
      <c r="CN27" s="64">
        <v>581270.53886999993</v>
      </c>
      <c r="CO27" s="64">
        <v>582068.83117999998</v>
      </c>
      <c r="CP27" s="64">
        <v>587391.48742999998</v>
      </c>
      <c r="CQ27" s="64">
        <v>588082.82369000011</v>
      </c>
      <c r="CR27" s="64">
        <v>589298.06146</v>
      </c>
      <c r="CS27" s="64">
        <v>594078.33215000015</v>
      </c>
      <c r="CT27" s="64">
        <v>604400.45030000003</v>
      </c>
      <c r="CU27" s="64">
        <v>610653.60705999995</v>
      </c>
      <c r="CV27" s="64">
        <v>624227.63037000003</v>
      </c>
      <c r="CW27" s="64">
        <v>642247.36525999999</v>
      </c>
      <c r="CX27" s="64">
        <v>639889.61259000003</v>
      </c>
      <c r="CY27" s="64">
        <v>629062.29735999997</v>
      </c>
      <c r="CZ27" s="64">
        <v>634174.02998999995</v>
      </c>
      <c r="DA27" s="64">
        <v>635674.83054999996</v>
      </c>
      <c r="DB27" s="64">
        <v>644703.31984000001</v>
      </c>
      <c r="DC27" s="64">
        <v>651755.80263000005</v>
      </c>
      <c r="DD27" s="64">
        <v>662513.27358000004</v>
      </c>
      <c r="DE27" s="64">
        <v>676124.00376999995</v>
      </c>
      <c r="DF27" s="64">
        <v>682772.74166000006</v>
      </c>
      <c r="DG27" s="64">
        <v>701654.14127000002</v>
      </c>
    </row>
    <row r="28" spans="1:111" s="52" customFormat="1" ht="17.25" customHeight="1" thickBot="1">
      <c r="A28" s="811"/>
      <c r="B28" s="821" t="s">
        <v>25</v>
      </c>
      <c r="C28" s="822"/>
      <c r="D28" s="92">
        <f t="shared" ref="D28:S28" si="216">+D24/D27</f>
        <v>2.5247922360486331E-2</v>
      </c>
      <c r="E28" s="92">
        <f t="shared" si="216"/>
        <v>2.4888181149531532E-2</v>
      </c>
      <c r="F28" s="65">
        <f t="shared" si="216"/>
        <v>2.360084629900102E-2</v>
      </c>
      <c r="G28" s="65">
        <f t="shared" si="216"/>
        <v>2.4098651990358599E-2</v>
      </c>
      <c r="H28" s="65">
        <f t="shared" si="216"/>
        <v>2.3132121240569577E-2</v>
      </c>
      <c r="I28" s="65">
        <f t="shared" si="216"/>
        <v>2.1906075753071467E-2</v>
      </c>
      <c r="J28" s="65">
        <f t="shared" si="216"/>
        <v>2.123888767353883E-2</v>
      </c>
      <c r="K28" s="65">
        <f t="shared" si="216"/>
        <v>2.0836199231066048E-2</v>
      </c>
      <c r="L28" s="65">
        <f t="shared" si="216"/>
        <v>1.9054724283347382E-2</v>
      </c>
      <c r="M28" s="65">
        <f t="shared" si="216"/>
        <v>1.8391776755293146E-2</v>
      </c>
      <c r="N28" s="65">
        <f t="shared" si="216"/>
        <v>1.6469348548523995E-2</v>
      </c>
      <c r="O28" s="65">
        <f t="shared" si="216"/>
        <v>1.6111802045979121E-2</v>
      </c>
      <c r="P28" s="65">
        <f t="shared" si="216"/>
        <v>1.5859173317919278E-2</v>
      </c>
      <c r="Q28" s="65">
        <f t="shared" si="216"/>
        <v>1.602482794832439E-2</v>
      </c>
      <c r="R28" s="65">
        <f t="shared" si="216"/>
        <v>1.7070742658612973E-2</v>
      </c>
      <c r="S28" s="65">
        <f t="shared" si="216"/>
        <v>1.7346876689384248E-2</v>
      </c>
      <c r="T28" s="65">
        <f t="shared" ref="T28:Y28" si="217">+T24/T27</f>
        <v>1.5588270332468698E-2</v>
      </c>
      <c r="U28" s="65">
        <f t="shared" si="217"/>
        <v>1.4081264395200502E-2</v>
      </c>
      <c r="V28" s="65">
        <f t="shared" si="217"/>
        <v>1.2262334812833198E-2</v>
      </c>
      <c r="W28" s="65">
        <f t="shared" si="217"/>
        <v>1.0996875012543693E-2</v>
      </c>
      <c r="X28" s="65">
        <f t="shared" si="217"/>
        <v>1.0373574641448589E-2</v>
      </c>
      <c r="Y28" s="65">
        <f t="shared" si="217"/>
        <v>1.2178687682237354E-2</v>
      </c>
      <c r="Z28" s="65">
        <f t="shared" ref="Z28:AE28" si="218">+Z24/Z27</f>
        <v>1.4402946953126737E-2</v>
      </c>
      <c r="AA28" s="65">
        <f t="shared" si="218"/>
        <v>1.6006313245877167E-2</v>
      </c>
      <c r="AB28" s="65">
        <f t="shared" si="218"/>
        <v>1.5572825047750519E-2</v>
      </c>
      <c r="AC28" s="65">
        <f t="shared" si="218"/>
        <v>1.5911782305912683E-2</v>
      </c>
      <c r="AD28" s="65">
        <f t="shared" si="218"/>
        <v>1.6615426952263906E-2</v>
      </c>
      <c r="AE28" s="65">
        <f t="shared" si="218"/>
        <v>1.6283319287232815E-2</v>
      </c>
      <c r="AF28" s="65">
        <f t="shared" ref="AF28:AL28" si="219">+AF24/AF27</f>
        <v>1.6499350322617533E-2</v>
      </c>
      <c r="AG28" s="65">
        <f t="shared" si="219"/>
        <v>1.6404793266559567E-2</v>
      </c>
      <c r="AH28" s="65">
        <f t="shared" si="219"/>
        <v>1.377177252653479E-2</v>
      </c>
      <c r="AI28" s="65">
        <f t="shared" si="219"/>
        <v>1.2324294241715097E-2</v>
      </c>
      <c r="AJ28" s="65">
        <f t="shared" si="219"/>
        <v>1.1660753534116747E-2</v>
      </c>
      <c r="AK28" s="65">
        <f t="shared" si="219"/>
        <v>1.2437944571640118E-2</v>
      </c>
      <c r="AL28" s="65">
        <f t="shared" si="219"/>
        <v>1.2597434322023274E-2</v>
      </c>
      <c r="AM28" s="65">
        <f t="shared" ref="AM28:AS28" si="220">+AM24/AM27</f>
        <v>1.354955464293834E-2</v>
      </c>
      <c r="AN28" s="65">
        <f t="shared" si="220"/>
        <v>1.392058087133689E-2</v>
      </c>
      <c r="AO28" s="65">
        <f t="shared" si="220"/>
        <v>1.2915001967173571E-2</v>
      </c>
      <c r="AP28" s="65">
        <f t="shared" si="220"/>
        <v>1.2394015879432375E-2</v>
      </c>
      <c r="AQ28" s="65">
        <f t="shared" si="220"/>
        <v>1.2441638203286483E-2</v>
      </c>
      <c r="AR28" s="65">
        <f t="shared" si="220"/>
        <v>1.1988775319988994E-2</v>
      </c>
      <c r="AS28" s="65">
        <f t="shared" si="220"/>
        <v>1.2133584769247596E-2</v>
      </c>
      <c r="AT28" s="65">
        <f t="shared" ref="AT28:AZ28" si="221">+AT24/AT27</f>
        <v>1.2258384208267458E-2</v>
      </c>
      <c r="AU28" s="65">
        <f t="shared" si="221"/>
        <v>1.1671495960059151E-2</v>
      </c>
      <c r="AV28" s="65">
        <f t="shared" si="221"/>
        <v>1.1668985216450465E-2</v>
      </c>
      <c r="AW28" s="65">
        <f t="shared" si="221"/>
        <v>1.1890162669810101E-2</v>
      </c>
      <c r="AX28" s="65">
        <f t="shared" si="221"/>
        <v>1.2475290290785741E-2</v>
      </c>
      <c r="AY28" s="65">
        <f t="shared" si="221"/>
        <v>1.2314502854497885E-2</v>
      </c>
      <c r="AZ28" s="65">
        <f t="shared" si="221"/>
        <v>1.3392440165688939E-2</v>
      </c>
      <c r="BA28" s="65">
        <f t="shared" ref="BA28:BG28" si="222">+BA24/BA27</f>
        <v>1.4678713673076892E-2</v>
      </c>
      <c r="BB28" s="65">
        <f t="shared" si="222"/>
        <v>1.4658786715503165E-2</v>
      </c>
      <c r="BC28" s="65">
        <f t="shared" si="222"/>
        <v>1.33135495477691E-2</v>
      </c>
      <c r="BD28" s="65">
        <f t="shared" si="222"/>
        <v>1.3462892131665091E-2</v>
      </c>
      <c r="BE28" s="65">
        <f t="shared" si="222"/>
        <v>1.3582058919537319E-2</v>
      </c>
      <c r="BF28" s="65">
        <f t="shared" si="222"/>
        <v>1.5278178047487736E-2</v>
      </c>
      <c r="BG28" s="65">
        <f t="shared" si="222"/>
        <v>1.4227634237412249E-2</v>
      </c>
      <c r="BH28" s="65">
        <f t="shared" ref="BH28:BM28" si="223">+BH24/BH27</f>
        <v>1.4129500285625653E-2</v>
      </c>
      <c r="BI28" s="65">
        <f t="shared" si="223"/>
        <v>1.6087677445147615E-2</v>
      </c>
      <c r="BJ28" s="65">
        <f t="shared" si="223"/>
        <v>1.4653334239881997E-2</v>
      </c>
      <c r="BK28" s="65">
        <f t="shared" si="223"/>
        <v>1.6012458853447341E-2</v>
      </c>
      <c r="BL28" s="65">
        <f t="shared" si="223"/>
        <v>1.4111223681235522E-2</v>
      </c>
      <c r="BM28" s="65">
        <f t="shared" si="223"/>
        <v>1.3640606665772251E-2</v>
      </c>
      <c r="BN28" s="65">
        <f t="shared" ref="BN28:BS28" si="224">+BN24/BN27</f>
        <v>1.2966769422547016E-2</v>
      </c>
      <c r="BO28" s="65">
        <f t="shared" si="224"/>
        <v>1.6581070542012716E-2</v>
      </c>
      <c r="BP28" s="65">
        <f t="shared" si="224"/>
        <v>1.8052290110907164E-2</v>
      </c>
      <c r="BQ28" s="65">
        <f t="shared" si="224"/>
        <v>1.9216231246558239E-2</v>
      </c>
      <c r="BR28" s="65">
        <f t="shared" si="224"/>
        <v>1.926075234451315E-2</v>
      </c>
      <c r="BS28" s="65">
        <f t="shared" si="224"/>
        <v>1.8758446543071579E-2</v>
      </c>
      <c r="BT28" s="65">
        <f t="shared" ref="BT28:BY28" si="225">+BT24/BT27</f>
        <v>1.9645201112330146E-2</v>
      </c>
      <c r="BU28" s="65">
        <f t="shared" si="225"/>
        <v>1.8337153000784281E-2</v>
      </c>
      <c r="BV28" s="65">
        <f t="shared" si="225"/>
        <v>2.008304208600846E-2</v>
      </c>
      <c r="BW28" s="65">
        <f t="shared" si="225"/>
        <v>1.9800686560328611E-2</v>
      </c>
      <c r="BX28" s="65">
        <f t="shared" si="225"/>
        <v>1.954266391870205E-2</v>
      </c>
      <c r="BY28" s="65">
        <f t="shared" si="225"/>
        <v>1.2637921890800626E-2</v>
      </c>
      <c r="BZ28" s="65">
        <f t="shared" ref="BZ28:CE28" si="226">+BZ24/BZ27</f>
        <v>1.2901242137494667E-2</v>
      </c>
      <c r="CA28" s="65">
        <f t="shared" si="226"/>
        <v>1.2421596378736596E-2</v>
      </c>
      <c r="CB28" s="65">
        <f t="shared" si="226"/>
        <v>1.272492969227508E-2</v>
      </c>
      <c r="CC28" s="65">
        <f t="shared" si="226"/>
        <v>1.2214940906233431E-2</v>
      </c>
      <c r="CD28" s="65">
        <f t="shared" si="226"/>
        <v>1.1807949262235214E-2</v>
      </c>
      <c r="CE28" s="65">
        <f t="shared" si="226"/>
        <v>1.3560922086114771E-2</v>
      </c>
      <c r="CF28" s="65">
        <f t="shared" ref="CF28:CG28" si="227">+CF24/CF27</f>
        <v>1.3284923264965937E-2</v>
      </c>
      <c r="CG28" s="65">
        <f t="shared" si="227"/>
        <v>1.4349615899268635E-2</v>
      </c>
      <c r="CH28" s="65">
        <f t="shared" ref="CH28:CI28" si="228">+CH24/CH27</f>
        <v>1.5327692870880101E-2</v>
      </c>
      <c r="CI28" s="65">
        <f t="shared" si="228"/>
        <v>1.4080048002211305E-2</v>
      </c>
      <c r="CJ28" s="65">
        <f t="shared" ref="CJ28:CK28" si="229">+CJ24/CJ27</f>
        <v>1.469394090774255E-2</v>
      </c>
      <c r="CK28" s="65">
        <f t="shared" si="229"/>
        <v>1.5095046869861821E-2</v>
      </c>
      <c r="CL28" s="65">
        <f t="shared" ref="CL28:CM28" si="230">+CL24/CL27</f>
        <v>1.5105816377036622E-2</v>
      </c>
      <c r="CM28" s="65">
        <f t="shared" si="230"/>
        <v>1.5490576751399192E-2</v>
      </c>
      <c r="CN28" s="65">
        <f t="shared" ref="CN28:CO28" si="231">+CN24/CN27</f>
        <v>1.5579651237107256E-2</v>
      </c>
      <c r="CO28" s="65">
        <f t="shared" si="231"/>
        <v>1.4687470247580253E-2</v>
      </c>
      <c r="CP28" s="65">
        <f t="shared" ref="CP28:CQ28" si="232">+CP24/CP27</f>
        <v>1.4409967272480685E-2</v>
      </c>
      <c r="CQ28" s="65">
        <f t="shared" si="232"/>
        <v>1.4618594156614447E-2</v>
      </c>
      <c r="CR28" s="65">
        <f t="shared" ref="CR28:CS28" si="233">+CR24/CR27</f>
        <v>1.5387593448948524E-2</v>
      </c>
      <c r="CS28" s="65">
        <f t="shared" si="233"/>
        <v>1.5635091127435233E-2</v>
      </c>
      <c r="CT28" s="65">
        <f t="shared" ref="CT28:CU28" si="234">+CT24/CT27</f>
        <v>1.5423982386797897E-2</v>
      </c>
      <c r="CU28" s="65">
        <f t="shared" si="234"/>
        <v>1.370032136595235E-2</v>
      </c>
      <c r="CV28" s="65">
        <f t="shared" ref="CV28" si="235">+CV24/CV27</f>
        <v>1.2778431892340148E-2</v>
      </c>
      <c r="CW28" s="65">
        <f t="shared" ref="CW28:DB28" si="236">+CW24/CW27</f>
        <v>1.2006113947821908E-2</v>
      </c>
      <c r="CX28" s="65">
        <f t="shared" si="236"/>
        <v>1.169060771235432E-2</v>
      </c>
      <c r="CY28" s="65">
        <f t="shared" si="236"/>
        <v>1.1242065244855831E-2</v>
      </c>
      <c r="CZ28" s="65">
        <f t="shared" si="236"/>
        <v>1.0751658515735049E-2</v>
      </c>
      <c r="DA28" s="65">
        <f t="shared" si="236"/>
        <v>1.0244971685232921E-2</v>
      </c>
      <c r="DB28" s="65">
        <f t="shared" si="236"/>
        <v>9.8762741931905079E-3</v>
      </c>
      <c r="DC28" s="65">
        <f t="shared" ref="DC28:DD28" si="237">+DC24/DC27</f>
        <v>8.8390716534525234E-3</v>
      </c>
      <c r="DD28" s="65">
        <f t="shared" si="237"/>
        <v>7.8409481396944144E-3</v>
      </c>
      <c r="DE28" s="65">
        <f t="shared" ref="DE28:DF28" si="238">+DE24/DE27</f>
        <v>8.2240596384617285E-3</v>
      </c>
      <c r="DF28" s="65">
        <f t="shared" si="238"/>
        <v>7.7506114657331388E-3</v>
      </c>
      <c r="DG28" s="65">
        <f t="shared" ref="DG28" si="239">+DG24/DG27</f>
        <v>6.9225791943710877E-3</v>
      </c>
    </row>
    <row r="29" spans="1:111" s="47" customFormat="1" ht="17.25" customHeight="1" thickTop="1">
      <c r="A29" s="810" t="s">
        <v>26</v>
      </c>
      <c r="B29" s="828" t="s">
        <v>19</v>
      </c>
      <c r="C29" s="829"/>
      <c r="D29" s="93">
        <f t="shared" ref="D29:Q30" si="240">+D37+D44+D51</f>
        <v>3249.8372899999999</v>
      </c>
      <c r="E29" s="93">
        <f t="shared" si="240"/>
        <v>3175.7669199999996</v>
      </c>
      <c r="F29" s="53">
        <f t="shared" si="240"/>
        <v>2793.44589</v>
      </c>
      <c r="G29" s="53">
        <f t="shared" si="240"/>
        <v>3126.1170399999996</v>
      </c>
      <c r="H29" s="53">
        <f t="shared" si="240"/>
        <v>3203.5201499999998</v>
      </c>
      <c r="I29" s="53">
        <f t="shared" si="240"/>
        <v>3509.1290600000002</v>
      </c>
      <c r="J29" s="53">
        <f t="shared" si="240"/>
        <v>3266.9955500000001</v>
      </c>
      <c r="K29" s="53">
        <f t="shared" si="240"/>
        <v>3223.3586300000002</v>
      </c>
      <c r="L29" s="53">
        <f t="shared" si="240"/>
        <v>3620.0345800000005</v>
      </c>
      <c r="M29" s="53">
        <f t="shared" si="240"/>
        <v>2741.6463700000004</v>
      </c>
      <c r="N29" s="53">
        <f t="shared" si="240"/>
        <v>3426.88301</v>
      </c>
      <c r="O29" s="53">
        <f t="shared" si="240"/>
        <v>3279.84166</v>
      </c>
      <c r="P29" s="53">
        <f t="shared" si="240"/>
        <v>3358.6027899999999</v>
      </c>
      <c r="Q29" s="53">
        <f t="shared" si="240"/>
        <v>3329.9630000000006</v>
      </c>
      <c r="R29" s="53">
        <f t="shared" ref="R29:T30" si="241">+R37+R44+R51</f>
        <v>3704.4749200000001</v>
      </c>
      <c r="S29" s="53">
        <f t="shared" si="241"/>
        <v>3420.2690900000002</v>
      </c>
      <c r="T29" s="53">
        <f t="shared" si="241"/>
        <v>3465.0944</v>
      </c>
      <c r="U29" s="53">
        <f t="shared" ref="U29:W30" si="242">+U37+U44+U51</f>
        <v>3383.0930499999999</v>
      </c>
      <c r="V29" s="53">
        <f t="shared" si="242"/>
        <v>3478.7266300000001</v>
      </c>
      <c r="W29" s="53">
        <f t="shared" si="242"/>
        <v>3385.9711400000006</v>
      </c>
      <c r="X29" s="53">
        <f t="shared" ref="X29:Z30" si="243">+X37+X44+X51</f>
        <v>3571.8678800000002</v>
      </c>
      <c r="Y29" s="53">
        <f t="shared" si="243"/>
        <v>2707.1406999999999</v>
      </c>
      <c r="Z29" s="53">
        <f t="shared" si="243"/>
        <v>3759.7179799999999</v>
      </c>
      <c r="AA29" s="53">
        <f t="shared" ref="AA29:AC30" si="244">+AA37+AA44+AA51</f>
        <v>4002.8227500000003</v>
      </c>
      <c r="AB29" s="53">
        <f t="shared" si="244"/>
        <v>4340.0081300000002</v>
      </c>
      <c r="AC29" s="53">
        <f t="shared" si="244"/>
        <v>4057.3434099999995</v>
      </c>
      <c r="AD29" s="53">
        <f t="shared" ref="AD29:AF30" si="245">+AD37+AD44+AD51</f>
        <v>4196.6373999999996</v>
      </c>
      <c r="AE29" s="53">
        <f t="shared" si="245"/>
        <v>4181.7390599999999</v>
      </c>
      <c r="AF29" s="53">
        <f t="shared" si="245"/>
        <v>4210.6684700000005</v>
      </c>
      <c r="AG29" s="53">
        <f t="shared" ref="AG29:AI30" si="246">+AG37+AG44+AG51</f>
        <v>4131.7134299999998</v>
      </c>
      <c r="AH29" s="53">
        <f t="shared" si="246"/>
        <v>4308.0567499999997</v>
      </c>
      <c r="AI29" s="53">
        <f t="shared" si="246"/>
        <v>4526.5159199999998</v>
      </c>
      <c r="AJ29" s="53">
        <f t="shared" ref="AJ29:AM30" si="247">+AJ37+AJ44+AJ51</f>
        <v>4621.6450499999992</v>
      </c>
      <c r="AK29" s="53">
        <f t="shared" si="247"/>
        <v>4108.5230599999995</v>
      </c>
      <c r="AL29" s="53">
        <f t="shared" si="247"/>
        <v>4994.5266000000001</v>
      </c>
      <c r="AM29" s="53">
        <f t="shared" si="247"/>
        <v>3831.6728600000001</v>
      </c>
      <c r="AN29" s="53">
        <f t="shared" ref="AN29:AP30" si="248">+AN37+AN44+AN51</f>
        <v>4780.1138899999996</v>
      </c>
      <c r="AO29" s="53">
        <f t="shared" si="248"/>
        <v>5007.9906299999993</v>
      </c>
      <c r="AP29" s="53">
        <f t="shared" si="248"/>
        <v>6540.7803999999996</v>
      </c>
      <c r="AQ29" s="53">
        <f t="shared" ref="AQ29:AS30" si="249">+AQ37+AQ44+AQ51</f>
        <v>6519.2358700000004</v>
      </c>
      <c r="AR29" s="53">
        <f t="shared" si="249"/>
        <v>5798.1835299999993</v>
      </c>
      <c r="AS29" s="53">
        <f t="shared" si="249"/>
        <v>6510.0637099999994</v>
      </c>
      <c r="AT29" s="53">
        <f t="shared" ref="AT29:AV30" si="250">+AT37+AT44+AT51</f>
        <v>5913.4297200000001</v>
      </c>
      <c r="AU29" s="53">
        <f t="shared" si="250"/>
        <v>6587.46155</v>
      </c>
      <c r="AV29" s="53">
        <f t="shared" si="250"/>
        <v>7573.97811</v>
      </c>
      <c r="AW29" s="53">
        <f t="shared" ref="AW29:AY30" si="251">+AW37+AW44+AW51</f>
        <v>7011.57305</v>
      </c>
      <c r="AX29" s="53">
        <f t="shared" si="251"/>
        <v>7503.9890800000003</v>
      </c>
      <c r="AY29" s="53">
        <f t="shared" si="251"/>
        <v>7552.2052399999993</v>
      </c>
      <c r="AZ29" s="53">
        <f t="shared" ref="AZ29:BB30" si="252">+AZ37+AZ44+AZ51</f>
        <v>9701.5781299999981</v>
      </c>
      <c r="BA29" s="53">
        <f t="shared" si="252"/>
        <v>10037.235849999999</v>
      </c>
      <c r="BB29" s="53">
        <f t="shared" si="252"/>
        <v>11492.105680000001</v>
      </c>
      <c r="BC29" s="53">
        <f t="shared" ref="BC29:BE30" si="253">+BC37+BC44+BC51</f>
        <v>10857.46992</v>
      </c>
      <c r="BD29" s="53">
        <f t="shared" si="253"/>
        <v>15526.25849</v>
      </c>
      <c r="BE29" s="53">
        <f t="shared" si="253"/>
        <v>9737.6321800000005</v>
      </c>
      <c r="BF29" s="53">
        <f t="shared" ref="BF29:BH30" si="254">+BF37+BF44+BF51</f>
        <v>10287.046129999999</v>
      </c>
      <c r="BG29" s="53">
        <f t="shared" si="254"/>
        <v>11624.89617</v>
      </c>
      <c r="BH29" s="53">
        <f t="shared" si="254"/>
        <v>10007.90524</v>
      </c>
      <c r="BI29" s="53">
        <f t="shared" ref="BI29:BK30" si="255">+BI37+BI44+BI51</f>
        <v>9204.47775</v>
      </c>
      <c r="BJ29" s="53">
        <f t="shared" si="255"/>
        <v>12763.25671</v>
      </c>
      <c r="BK29" s="53">
        <f t="shared" si="255"/>
        <v>12783.264199999998</v>
      </c>
      <c r="BL29" s="53">
        <f t="shared" ref="BL29:BN30" si="256">+BL37+BL44+BL51</f>
        <v>17689.825490000003</v>
      </c>
      <c r="BM29" s="53">
        <f t="shared" si="256"/>
        <v>20927.213920000002</v>
      </c>
      <c r="BN29" s="53">
        <f t="shared" si="256"/>
        <v>21089.252080000002</v>
      </c>
      <c r="BO29" s="53">
        <f t="shared" ref="BO29:BQ30" si="257">+BO37+BO44+BO51</f>
        <v>21877.144789999998</v>
      </c>
      <c r="BP29" s="53">
        <f t="shared" si="257"/>
        <v>19414.373630000002</v>
      </c>
      <c r="BQ29" s="53">
        <f t="shared" si="257"/>
        <v>21500.589309999999</v>
      </c>
      <c r="BR29" s="53">
        <f t="shared" ref="BR29:BT30" si="258">+BR37+BR44+BR51</f>
        <v>21532.685219999999</v>
      </c>
      <c r="BS29" s="53">
        <f t="shared" si="258"/>
        <v>21370.395169999985</v>
      </c>
      <c r="BT29" s="53">
        <f t="shared" si="258"/>
        <v>21895.585669999993</v>
      </c>
      <c r="BU29" s="53">
        <f t="shared" ref="BU29:BW30" si="259">+BU37+BU44+BU51</f>
        <v>16906.764140000007</v>
      </c>
      <c r="BV29" s="53">
        <f t="shared" si="259"/>
        <v>21378.431189999967</v>
      </c>
      <c r="BW29" s="53">
        <f t="shared" si="259"/>
        <v>19405.73934</v>
      </c>
      <c r="BX29" s="53">
        <f t="shared" ref="BX29:BZ30" si="260">+BX37+BX44+BX51</f>
        <v>17852.479199999976</v>
      </c>
      <c r="BY29" s="53">
        <f t="shared" si="260"/>
        <v>43447.68578</v>
      </c>
      <c r="BZ29" s="53">
        <f t="shared" si="260"/>
        <v>9857.737919999985</v>
      </c>
      <c r="CA29" s="53">
        <f t="shared" ref="CA29:CC30" si="261">+CA37+CA44+CA51</f>
        <v>20324.751649999947</v>
      </c>
      <c r="CB29" s="53">
        <f t="shared" si="261"/>
        <v>20322.904639999957</v>
      </c>
      <c r="CC29" s="53">
        <f t="shared" si="261"/>
        <v>19370.179349999962</v>
      </c>
      <c r="CD29" s="53">
        <f t="shared" ref="CD29:CE29" si="262">+CD37+CD44+CD51</f>
        <v>22363.512989999945</v>
      </c>
      <c r="CE29" s="53">
        <f t="shared" si="262"/>
        <v>23928.940969999934</v>
      </c>
      <c r="CF29" s="53">
        <f t="shared" ref="CF29:CG29" si="263">+CF37+CF44+CF51</f>
        <v>23027.177519999943</v>
      </c>
      <c r="CG29" s="53">
        <f t="shared" si="263"/>
        <v>21911.259139999966</v>
      </c>
      <c r="CH29" s="53">
        <f t="shared" ref="CH29:CI29" si="264">+CH37+CH44+CH51</f>
        <v>22808.522039999956</v>
      </c>
      <c r="CI29" s="53">
        <f t="shared" si="264"/>
        <v>23832.780259999956</v>
      </c>
      <c r="CJ29" s="53">
        <f t="shared" ref="CJ29:CK29" si="265">+CJ37+CJ44+CJ51</f>
        <v>21837.11097999995</v>
      </c>
      <c r="CK29" s="53">
        <f t="shared" si="265"/>
        <v>22008.670499999953</v>
      </c>
      <c r="CL29" s="53">
        <f t="shared" ref="CL29:CM29" si="266">+CL37+CL44+CL51</f>
        <v>22644.705199999953</v>
      </c>
      <c r="CM29" s="53">
        <f t="shared" si="266"/>
        <v>21053.215129999968</v>
      </c>
      <c r="CN29" s="53">
        <f t="shared" ref="CN29:CO29" si="267">+CN37+CN44+CN51</f>
        <v>21502.433319999971</v>
      </c>
      <c r="CO29" s="53">
        <f t="shared" si="267"/>
        <v>21957.844079999966</v>
      </c>
      <c r="CP29" s="53">
        <f t="shared" ref="CP29:CQ29" si="268">+CP37+CP44+CP51</f>
        <v>23656.183399999976</v>
      </c>
      <c r="CQ29" s="53">
        <f t="shared" si="268"/>
        <v>23346.470059999941</v>
      </c>
      <c r="CR29" s="53">
        <f t="shared" ref="CR29:CS29" si="269">+CR37+CR44+CR51</f>
        <v>23944.027959999985</v>
      </c>
      <c r="CS29" s="53">
        <f t="shared" si="269"/>
        <v>25301.736579999972</v>
      </c>
      <c r="CT29" s="53">
        <f t="shared" ref="CT29:CU29" si="270">+CT37+CT44+CT51</f>
        <v>27188.910149999971</v>
      </c>
      <c r="CU29" s="53">
        <f t="shared" si="270"/>
        <v>25605.343129999994</v>
      </c>
      <c r="CV29" s="53">
        <f t="shared" ref="CV29:CW29" si="271">+CV37+CV44+CV51</f>
        <v>25819.899799999934</v>
      </c>
      <c r="CW29" s="53">
        <f t="shared" si="271"/>
        <v>27066.275459999968</v>
      </c>
      <c r="CX29" s="53">
        <f t="shared" ref="CX29:CY29" si="272">+CX37+CX44+CX51</f>
        <v>27209.672049999979</v>
      </c>
      <c r="CY29" s="53">
        <f t="shared" si="272"/>
        <v>26467.684120000034</v>
      </c>
      <c r="CZ29" s="53">
        <f t="shared" ref="CZ29:DA29" si="273">+CZ37+CZ44+CZ51</f>
        <v>24962.924009999999</v>
      </c>
      <c r="DA29" s="53">
        <f t="shared" si="273"/>
        <v>26067.740329999993</v>
      </c>
      <c r="DB29" s="53">
        <f t="shared" ref="DB29:DC29" si="274">+DB37+DB44+DB51</f>
        <v>24954.809229999992</v>
      </c>
      <c r="DC29" s="53">
        <f t="shared" si="274"/>
        <v>24338.2412</v>
      </c>
      <c r="DD29" s="53">
        <f t="shared" ref="DD29:DE29" si="275">+DD37+DD44+DD51</f>
        <v>25791.414530000002</v>
      </c>
      <c r="DE29" s="53">
        <f t="shared" si="275"/>
        <v>27488.081760000001</v>
      </c>
      <c r="DF29" s="53">
        <f t="shared" ref="DF29:DG29" si="276">+DF37+DF44+DF51</f>
        <v>27607.287230000009</v>
      </c>
      <c r="DG29" s="53">
        <f t="shared" si="276"/>
        <v>26039.173569999999</v>
      </c>
    </row>
    <row r="30" spans="1:111" s="47" customFormat="1" ht="17.25" customHeight="1">
      <c r="A30" s="810"/>
      <c r="B30" s="826" t="s">
        <v>20</v>
      </c>
      <c r="C30" s="827"/>
      <c r="D30" s="88">
        <f t="shared" si="240"/>
        <v>3594.3844400000007</v>
      </c>
      <c r="E30" s="88">
        <f t="shared" si="240"/>
        <v>3981.0000100000002</v>
      </c>
      <c r="F30" s="48">
        <f t="shared" si="240"/>
        <v>2293.6209699999999</v>
      </c>
      <c r="G30" s="48">
        <f t="shared" si="240"/>
        <v>2684.7943500000006</v>
      </c>
      <c r="H30" s="48">
        <f t="shared" si="240"/>
        <v>3875.7301100000009</v>
      </c>
      <c r="I30" s="48">
        <f t="shared" si="240"/>
        <v>3360.3986500000005</v>
      </c>
      <c r="J30" s="48">
        <f t="shared" si="240"/>
        <v>3136.8599699999995</v>
      </c>
      <c r="K30" s="48">
        <f t="shared" si="240"/>
        <v>3913.493010000002</v>
      </c>
      <c r="L30" s="48">
        <f t="shared" si="240"/>
        <v>3236.2362099999896</v>
      </c>
      <c r="M30" s="48">
        <f t="shared" si="240"/>
        <v>3796.2037600000108</v>
      </c>
      <c r="N30" s="48">
        <f t="shared" si="240"/>
        <v>3440.8481399999982</v>
      </c>
      <c r="O30" s="48">
        <f t="shared" si="240"/>
        <v>2983.5505700000012</v>
      </c>
      <c r="P30" s="48">
        <f t="shared" si="240"/>
        <v>3914.7140299999983</v>
      </c>
      <c r="Q30" s="48">
        <f t="shared" si="240"/>
        <v>5040.5186000000012</v>
      </c>
      <c r="R30" s="48">
        <f t="shared" si="241"/>
        <v>3715.6651499999984</v>
      </c>
      <c r="S30" s="48">
        <f t="shared" si="241"/>
        <v>3472.9117199999991</v>
      </c>
      <c r="T30" s="48">
        <f t="shared" si="241"/>
        <v>3687.5860200000011</v>
      </c>
      <c r="U30" s="48">
        <f t="shared" si="242"/>
        <v>4028.4513199999997</v>
      </c>
      <c r="V30" s="48">
        <f t="shared" si="242"/>
        <v>3915.2855599999994</v>
      </c>
      <c r="W30" s="48">
        <f t="shared" si="242"/>
        <v>3678.3410399999989</v>
      </c>
      <c r="X30" s="48">
        <f t="shared" si="243"/>
        <v>3917.745390000001</v>
      </c>
      <c r="Y30" s="48">
        <f t="shared" si="243"/>
        <v>4820.2339800000009</v>
      </c>
      <c r="Z30" s="48">
        <f t="shared" si="243"/>
        <v>3912.3475299999986</v>
      </c>
      <c r="AA30" s="48">
        <f t="shared" si="244"/>
        <v>5052.3225300000013</v>
      </c>
      <c r="AB30" s="48">
        <f t="shared" si="244"/>
        <v>3857.3030799999988</v>
      </c>
      <c r="AC30" s="48">
        <f t="shared" si="244"/>
        <v>4353.2077700000009</v>
      </c>
      <c r="AD30" s="48">
        <f t="shared" si="245"/>
        <v>3893.1518799999994</v>
      </c>
      <c r="AE30" s="48">
        <f t="shared" si="245"/>
        <v>4364.9952000000003</v>
      </c>
      <c r="AF30" s="48">
        <f t="shared" si="245"/>
        <v>4483.6962199999998</v>
      </c>
      <c r="AG30" s="48">
        <f t="shared" si="246"/>
        <v>4528.4058099999993</v>
      </c>
      <c r="AH30" s="48">
        <f t="shared" si="246"/>
        <v>4428.7250600000007</v>
      </c>
      <c r="AI30" s="48">
        <f t="shared" si="246"/>
        <v>5838.9574700000003</v>
      </c>
      <c r="AJ30" s="48">
        <f t="shared" si="247"/>
        <v>5401.6620099999982</v>
      </c>
      <c r="AK30" s="48">
        <f t="shared" si="247"/>
        <v>7046.2629400000014</v>
      </c>
      <c r="AL30" s="48">
        <f t="shared" si="247"/>
        <v>5885.9234399999987</v>
      </c>
      <c r="AM30" s="48">
        <f t="shared" si="247"/>
        <v>8556.7448999999979</v>
      </c>
      <c r="AN30" s="48">
        <f t="shared" si="248"/>
        <v>6332.0192999999999</v>
      </c>
      <c r="AO30" s="48">
        <f t="shared" si="248"/>
        <v>6720.319019999999</v>
      </c>
      <c r="AP30" s="48">
        <f t="shared" si="248"/>
        <v>6490.2511100000029</v>
      </c>
      <c r="AQ30" s="48">
        <f t="shared" si="249"/>
        <v>6305.2718299999942</v>
      </c>
      <c r="AR30" s="48">
        <f t="shared" si="249"/>
        <v>6381.2330000000056</v>
      </c>
      <c r="AS30" s="48">
        <f t="shared" si="249"/>
        <v>7065.4906499999979</v>
      </c>
      <c r="AT30" s="48">
        <f t="shared" si="250"/>
        <v>8742.0345300000008</v>
      </c>
      <c r="AU30" s="48">
        <f t="shared" si="250"/>
        <v>9298.3571400000001</v>
      </c>
      <c r="AV30" s="48">
        <f t="shared" si="250"/>
        <v>9901.3041800000028</v>
      </c>
      <c r="AW30" s="48">
        <f t="shared" si="251"/>
        <v>11653.46875</v>
      </c>
      <c r="AX30" s="48">
        <f t="shared" si="251"/>
        <v>13086.085319999998</v>
      </c>
      <c r="AY30" s="48">
        <f t="shared" si="251"/>
        <v>14345.943489999994</v>
      </c>
      <c r="AZ30" s="48">
        <f t="shared" si="252"/>
        <v>14335.981279999993</v>
      </c>
      <c r="BA30" s="48">
        <f t="shared" si="252"/>
        <v>13746.326900000004</v>
      </c>
      <c r="BB30" s="48">
        <f t="shared" si="252"/>
        <v>11357.531860000006</v>
      </c>
      <c r="BC30" s="48">
        <f t="shared" si="253"/>
        <v>12721.581309999998</v>
      </c>
      <c r="BD30" s="48">
        <f t="shared" si="253"/>
        <v>15038.541830000002</v>
      </c>
      <c r="BE30" s="48">
        <f t="shared" si="253"/>
        <v>16434.322489999999</v>
      </c>
      <c r="BF30" s="48">
        <f t="shared" si="254"/>
        <v>18982.80429</v>
      </c>
      <c r="BG30" s="48">
        <f t="shared" si="254"/>
        <v>19346.329289999994</v>
      </c>
      <c r="BH30" s="48">
        <f t="shared" si="254"/>
        <v>20388.470890000004</v>
      </c>
      <c r="BI30" s="48">
        <f t="shared" si="255"/>
        <v>19180.915359999999</v>
      </c>
      <c r="BJ30" s="48">
        <f t="shared" si="255"/>
        <v>19421.740050000004</v>
      </c>
      <c r="BK30" s="48">
        <f t="shared" si="255"/>
        <v>20679.759589999998</v>
      </c>
      <c r="BL30" s="48">
        <f t="shared" si="256"/>
        <v>17911.235319999992</v>
      </c>
      <c r="BM30" s="48">
        <f t="shared" si="256"/>
        <v>17746.577199999982</v>
      </c>
      <c r="BN30" s="48">
        <f t="shared" si="256"/>
        <v>16068.623230000027</v>
      </c>
      <c r="BO30" s="48">
        <f t="shared" si="257"/>
        <v>17081.632179999982</v>
      </c>
      <c r="BP30" s="48">
        <f t="shared" si="257"/>
        <v>23752.002780000017</v>
      </c>
      <c r="BQ30" s="48">
        <f t="shared" si="257"/>
        <v>22469.457300000024</v>
      </c>
      <c r="BR30" s="48">
        <f t="shared" si="258"/>
        <v>20152.664999999983</v>
      </c>
      <c r="BS30" s="48">
        <f t="shared" si="258"/>
        <v>21586.504069999966</v>
      </c>
      <c r="BT30" s="48">
        <f t="shared" si="258"/>
        <v>21461.774640000011</v>
      </c>
      <c r="BU30" s="48">
        <f t="shared" si="259"/>
        <v>24772.366829999977</v>
      </c>
      <c r="BV30" s="48">
        <f t="shared" si="259"/>
        <v>21400.304369999962</v>
      </c>
      <c r="BW30" s="48">
        <f t="shared" si="259"/>
        <v>22995.498920000005</v>
      </c>
      <c r="BX30" s="48">
        <f t="shared" si="260"/>
        <v>25539.319999999989</v>
      </c>
      <c r="BY30" s="48">
        <f>+BY38+BY45+BY52</f>
        <v>42294.146629999988</v>
      </c>
      <c r="BZ30" s="48">
        <f t="shared" si="260"/>
        <v>1401.9865300000033</v>
      </c>
      <c r="CA30" s="48">
        <f t="shared" si="261"/>
        <v>18947.459889999936</v>
      </c>
      <c r="CB30" s="48">
        <f t="shared" si="261"/>
        <v>24570.438519999934</v>
      </c>
      <c r="CC30" s="48">
        <f t="shared" si="261"/>
        <v>20684.849579999965</v>
      </c>
      <c r="CD30" s="48">
        <f t="shared" ref="CD30:CE30" si="277">+CD38+CD45+CD52</f>
        <v>25456.747029999933</v>
      </c>
      <c r="CE30" s="48">
        <f t="shared" si="277"/>
        <v>29072.026029999946</v>
      </c>
      <c r="CF30" s="48">
        <f t="shared" ref="CF30:CG30" si="278">+CF38+CF45+CF52</f>
        <v>20920.716919999948</v>
      </c>
      <c r="CG30" s="48">
        <f t="shared" si="278"/>
        <v>26995.601839999988</v>
      </c>
      <c r="CH30" s="48">
        <f t="shared" ref="CH30:CI30" si="279">+CH38+CH45+CH52</f>
        <v>14443.488939999923</v>
      </c>
      <c r="CI30" s="48">
        <f t="shared" si="279"/>
        <v>27109.558699999943</v>
      </c>
      <c r="CJ30" s="48">
        <f t="shared" ref="CJ30:CK30" si="280">+CJ38+CJ45+CJ52</f>
        <v>23231.084969999964</v>
      </c>
      <c r="CK30" s="48">
        <f t="shared" si="280"/>
        <v>18539.80602999992</v>
      </c>
      <c r="CL30" s="48">
        <f t="shared" ref="CL30:CM30" si="281">+CL38+CL45+CL52</f>
        <v>26196.171409999981</v>
      </c>
      <c r="CM30" s="48">
        <f t="shared" si="281"/>
        <v>23394.453020000001</v>
      </c>
      <c r="CN30" s="48">
        <f t="shared" ref="CN30:CO30" si="282">+CN38+CN45+CN52</f>
        <v>24451.364989999965</v>
      </c>
      <c r="CO30" s="48">
        <f t="shared" si="282"/>
        <v>32535.380509999959</v>
      </c>
      <c r="CP30" s="48">
        <f t="shared" ref="CP30:CQ30" si="283">+CP38+CP45+CP52</f>
        <v>23462.429939999987</v>
      </c>
      <c r="CQ30" s="48">
        <f t="shared" si="283"/>
        <v>32507.219219999926</v>
      </c>
      <c r="CR30" s="48">
        <f t="shared" ref="CR30:CS30" si="284">+CR38+CR45+CR52</f>
        <v>23277.517049999951</v>
      </c>
      <c r="CS30" s="48">
        <f t="shared" si="284"/>
        <v>27974.524780000043</v>
      </c>
      <c r="CT30" s="48">
        <f t="shared" ref="CT30:CU30" si="285">+CT38+CT45+CT52</f>
        <v>24895.574459999916</v>
      </c>
      <c r="CU30" s="48">
        <f t="shared" si="285"/>
        <v>29797.336479999962</v>
      </c>
      <c r="CV30" s="48">
        <f t="shared" ref="CV30:CW30" si="286">+CV38+CV45+CV52</f>
        <v>27145.605379999943</v>
      </c>
      <c r="CW30" s="48">
        <f t="shared" si="286"/>
        <v>27274.826289999983</v>
      </c>
      <c r="CX30" s="48">
        <f t="shared" ref="CX30:CY30" si="287">+CX38+CX45+CX52</f>
        <v>17991.330509999967</v>
      </c>
      <c r="CY30" s="48">
        <f t="shared" si="287"/>
        <v>18714.613150000048</v>
      </c>
      <c r="CZ30" s="48">
        <f t="shared" ref="CZ30:DA30" si="288">+CZ38+CZ45+CZ52</f>
        <v>26563.414229999995</v>
      </c>
      <c r="DA30" s="48">
        <f t="shared" si="288"/>
        <v>32857.391379999994</v>
      </c>
      <c r="DB30" s="48">
        <f t="shared" ref="DB30:DC30" si="289">+DB38+DB45+DB52</f>
        <v>27631.700970000034</v>
      </c>
      <c r="DC30" s="48">
        <f t="shared" si="289"/>
        <v>21274.961429999894</v>
      </c>
      <c r="DD30" s="48">
        <f t="shared" ref="DD30:DE30" si="290">+DD38+DD45+DD52</f>
        <v>20226.053260000015</v>
      </c>
      <c r="DE30" s="48">
        <f t="shared" si="290"/>
        <v>30438.402700000028</v>
      </c>
      <c r="DF30" s="48">
        <f t="shared" ref="DF30:DG30" si="291">+DF38+DF45+DF52</f>
        <v>22756.002090000042</v>
      </c>
      <c r="DG30" s="48">
        <f t="shared" si="291"/>
        <v>36019.889169999777</v>
      </c>
    </row>
    <row r="31" spans="1:111" s="47" customFormat="1" ht="17.25" customHeight="1">
      <c r="A31" s="810"/>
      <c r="B31" s="826" t="s">
        <v>10</v>
      </c>
      <c r="C31" s="827"/>
      <c r="D31" s="94">
        <v>0</v>
      </c>
      <c r="E31" s="94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1</v>
      </c>
      <c r="AU31" s="30">
        <v>2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0">
        <v>0</v>
      </c>
      <c r="BF31" s="30">
        <v>0</v>
      </c>
      <c r="BG31" s="30">
        <v>0</v>
      </c>
      <c r="BH31" s="30">
        <v>0</v>
      </c>
      <c r="BI31" s="30">
        <v>0</v>
      </c>
      <c r="BJ31" s="30">
        <v>0</v>
      </c>
      <c r="BK31" s="30">
        <v>0</v>
      </c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</row>
    <row r="32" spans="1:111" s="47" customFormat="1" ht="17.25" customHeight="1">
      <c r="A32" s="810"/>
      <c r="B32" s="815" t="s">
        <v>21</v>
      </c>
      <c r="C32" s="816"/>
      <c r="D32" s="89">
        <f t="shared" ref="D32:Q35" si="292">+D39+D46+D53</f>
        <v>12695.900510000003</v>
      </c>
      <c r="E32" s="89">
        <f t="shared" si="292"/>
        <v>13501.133600000003</v>
      </c>
      <c r="F32" s="49">
        <f t="shared" si="292"/>
        <v>13001.308680000006</v>
      </c>
      <c r="G32" s="49">
        <f t="shared" si="292"/>
        <v>12559.985990000006</v>
      </c>
      <c r="H32" s="49">
        <f t="shared" si="292"/>
        <v>13232.195950000008</v>
      </c>
      <c r="I32" s="49">
        <f t="shared" si="292"/>
        <v>13083.465540000008</v>
      </c>
      <c r="J32" s="49">
        <f t="shared" si="292"/>
        <v>12953.329960000006</v>
      </c>
      <c r="K32" s="49">
        <f t="shared" si="292"/>
        <v>13643.464340000008</v>
      </c>
      <c r="L32" s="49">
        <f t="shared" si="292"/>
        <v>13259.665969999998</v>
      </c>
      <c r="M32" s="49">
        <f t="shared" si="292"/>
        <v>14314.223360000009</v>
      </c>
      <c r="N32" s="49">
        <f t="shared" si="292"/>
        <v>14328.188490000008</v>
      </c>
      <c r="O32" s="49">
        <f t="shared" si="292"/>
        <v>14031.897400000011</v>
      </c>
      <c r="P32" s="49">
        <f t="shared" si="292"/>
        <v>14588.008640000007</v>
      </c>
      <c r="Q32" s="49">
        <f t="shared" si="292"/>
        <v>16298.564240000007</v>
      </c>
      <c r="R32" s="49">
        <f t="shared" ref="R32:S35" si="293">+R39+R46+R53</f>
        <v>16309.754470000005</v>
      </c>
      <c r="S32" s="49">
        <f t="shared" si="293"/>
        <v>16362.397100000006</v>
      </c>
      <c r="T32" s="49">
        <f t="shared" ref="T32:U35" si="294">+T39+T46+T53</f>
        <v>16584.888720000006</v>
      </c>
      <c r="U32" s="49">
        <f t="shared" si="294"/>
        <v>17230.246990000007</v>
      </c>
      <c r="V32" s="49">
        <f t="shared" ref="V32:W35" si="295">+V39+V46+V53</f>
        <v>17666.805920000006</v>
      </c>
      <c r="W32" s="49">
        <f t="shared" si="295"/>
        <v>17959.175820000004</v>
      </c>
      <c r="X32" s="49">
        <f t="shared" ref="X32:Y35" si="296">+X39+X46+X53</f>
        <v>18305.053330000002</v>
      </c>
      <c r="Y32" s="49">
        <f t="shared" si="296"/>
        <v>20418.146610000003</v>
      </c>
      <c r="Z32" s="49">
        <f t="shared" ref="Z32:AA35" si="297">+Z39+Z46+Z53</f>
        <v>20570.776160000001</v>
      </c>
      <c r="AA32" s="49">
        <f t="shared" si="297"/>
        <v>21620.275940000003</v>
      </c>
      <c r="AB32" s="49">
        <f t="shared" ref="AB32:AC35" si="298">+AB39+AB46+AB53</f>
        <v>21137.570890000003</v>
      </c>
      <c r="AC32" s="49">
        <f t="shared" si="298"/>
        <v>21433.435250000002</v>
      </c>
      <c r="AD32" s="49">
        <f t="shared" ref="AD32:AE35" si="299">+AD39+AD46+AD53</f>
        <v>21129.94973</v>
      </c>
      <c r="AE32" s="49">
        <f t="shared" si="299"/>
        <v>21313.205870000002</v>
      </c>
      <c r="AF32" s="49">
        <f t="shared" ref="AF32:AG35" si="300">+AF39+AF46+AF53</f>
        <v>21586.233620000003</v>
      </c>
      <c r="AG32" s="49">
        <f t="shared" si="300"/>
        <v>21982.925999999999</v>
      </c>
      <c r="AH32" s="49">
        <f t="shared" ref="AH32:AI35" si="301">+AH39+AH46+AH53</f>
        <v>22103.59431</v>
      </c>
      <c r="AI32" s="49">
        <f t="shared" si="301"/>
        <v>23416.035860000004</v>
      </c>
      <c r="AJ32" s="49">
        <f t="shared" ref="AJ32:AM35" si="302">+AJ39+AJ46+AJ53</f>
        <v>24196.052819999997</v>
      </c>
      <c r="AK32" s="49">
        <f t="shared" si="302"/>
        <v>27133.792700000002</v>
      </c>
      <c r="AL32" s="49">
        <f t="shared" si="302"/>
        <v>28025.189539999999</v>
      </c>
      <c r="AM32" s="49">
        <f t="shared" si="302"/>
        <v>32750.261579999999</v>
      </c>
      <c r="AN32" s="49">
        <f t="shared" ref="AN32:AO35" si="303">+AN39+AN46+AN53</f>
        <v>34302.166989999998</v>
      </c>
      <c r="AO32" s="49">
        <f t="shared" si="303"/>
        <v>36014.495379999993</v>
      </c>
      <c r="AP32" s="49">
        <f t="shared" ref="AP32:AS35" si="304">+AP39+AP46+AP53</f>
        <v>35963.966090000002</v>
      </c>
      <c r="AQ32" s="49">
        <f t="shared" si="304"/>
        <v>35750.002049999996</v>
      </c>
      <c r="AR32" s="49">
        <f t="shared" si="304"/>
        <v>36333.051520000001</v>
      </c>
      <c r="AS32" s="49">
        <f t="shared" si="304"/>
        <v>36888.478459999998</v>
      </c>
      <c r="AT32" s="49">
        <f t="shared" ref="AT32:AU35" si="305">+AT39+AT46+AT53</f>
        <v>39717.083270000003</v>
      </c>
      <c r="AU32" s="49">
        <f t="shared" si="305"/>
        <v>42427.978860000003</v>
      </c>
      <c r="AV32" s="49">
        <f t="shared" ref="AV32:AW35" si="306">+AV39+AV46+AV53</f>
        <v>44755.304930000006</v>
      </c>
      <c r="AW32" s="49">
        <f t="shared" si="306"/>
        <v>49397.200630000007</v>
      </c>
      <c r="AX32" s="49">
        <f t="shared" ref="AX32:AY35" si="307">+AX39+AX46+AX53</f>
        <v>54979.296869999998</v>
      </c>
      <c r="AY32" s="49">
        <f t="shared" si="307"/>
        <v>61773.035119999993</v>
      </c>
      <c r="AZ32" s="49">
        <f t="shared" ref="AZ32:BA35" si="308">+AZ39+AZ46+AZ53</f>
        <v>66407.438269999984</v>
      </c>
      <c r="BA32" s="49">
        <f t="shared" si="308"/>
        <v>70116.529320000001</v>
      </c>
      <c r="BB32" s="49">
        <f t="shared" ref="BB32:BC35" si="309">+BB39+BB46+BB53</f>
        <v>69981.955499999996</v>
      </c>
      <c r="BC32" s="49">
        <f t="shared" si="309"/>
        <v>71846.066890000002</v>
      </c>
      <c r="BD32" s="49">
        <f t="shared" ref="BD32:BE35" si="310">+BD39+BD46+BD53</f>
        <v>71358.350229999996</v>
      </c>
      <c r="BE32" s="49">
        <f t="shared" si="310"/>
        <v>78055.040540000002</v>
      </c>
      <c r="BF32" s="49">
        <f t="shared" ref="BF32:BG35" si="311">+BF39+BF46+BF53</f>
        <v>86750.798699999985</v>
      </c>
      <c r="BG32" s="49">
        <f t="shared" si="311"/>
        <v>94472.231819999986</v>
      </c>
      <c r="BH32" s="49">
        <f t="shared" ref="BH32:BI35" si="312">+BH39+BH46+BH53</f>
        <v>104852.79746999999</v>
      </c>
      <c r="BI32" s="49">
        <f t="shared" si="312"/>
        <v>114829.23508</v>
      </c>
      <c r="BJ32" s="49">
        <f t="shared" ref="BJ32:BK35" si="313">+BJ39+BJ46+BJ53</f>
        <v>121487.71841999999</v>
      </c>
      <c r="BK32" s="49">
        <f t="shared" si="313"/>
        <v>129384.21381</v>
      </c>
      <c r="BL32" s="49">
        <f t="shared" ref="BL32:BM35" si="314">+BL39+BL46+BL53</f>
        <v>129605.62364000001</v>
      </c>
      <c r="BM32" s="49">
        <f t="shared" si="314"/>
        <v>126424.98691999997</v>
      </c>
      <c r="BN32" s="49">
        <f t="shared" ref="BN32:BO35" si="315">+BN39+BN46+BN53</f>
        <v>121404.35807</v>
      </c>
      <c r="BO32" s="49">
        <f t="shared" si="315"/>
        <v>116608.84545999998</v>
      </c>
      <c r="BP32" s="49">
        <f t="shared" ref="BP32:BQ35" si="316">+BP39+BP46+BP53</f>
        <v>120946.47461</v>
      </c>
      <c r="BQ32" s="49">
        <f t="shared" si="316"/>
        <v>121915.3426</v>
      </c>
      <c r="BR32" s="49">
        <f t="shared" ref="BR32:BS35" si="317">+BR39+BR46+BR53</f>
        <v>120535.32238</v>
      </c>
      <c r="BS32" s="49">
        <f t="shared" si="317"/>
        <v>120751.43127999999</v>
      </c>
      <c r="BT32" s="49">
        <f t="shared" ref="BT32:BU35" si="318">+BT39+BT46+BT53</f>
        <v>120317.62025000001</v>
      </c>
      <c r="BU32" s="49">
        <f t="shared" si="318"/>
        <v>128183.22293999998</v>
      </c>
      <c r="BV32" s="49">
        <f t="shared" ref="BV32:BW35" si="319">+BV39+BV46+BV53</f>
        <v>128205.09611999997</v>
      </c>
      <c r="BW32" s="49">
        <f t="shared" si="319"/>
        <v>131794.85569999999</v>
      </c>
      <c r="BX32" s="49">
        <f t="shared" ref="BX32:BY35" si="320">+BX39+BX46+BX53</f>
        <v>139481.69649999999</v>
      </c>
      <c r="BY32" s="49">
        <f t="shared" si="320"/>
        <v>138328.15734999999</v>
      </c>
      <c r="BZ32" s="49">
        <f t="shared" ref="BZ32:CA35" si="321">+BZ39+BZ46+BZ53</f>
        <v>129872.40596</v>
      </c>
      <c r="CA32" s="49">
        <f t="shared" si="321"/>
        <v>128495.1142</v>
      </c>
      <c r="CB32" s="49">
        <f t="shared" ref="CB32:CC35" si="322">+CB39+CB46+CB53</f>
        <v>132742.64807999998</v>
      </c>
      <c r="CC32" s="49">
        <f t="shared" si="322"/>
        <v>134057.31830999997</v>
      </c>
      <c r="CD32" s="49">
        <f t="shared" ref="CD32:CE32" si="323">+CD39+CD46+CD53</f>
        <v>137150.55234999995</v>
      </c>
      <c r="CE32" s="49">
        <f t="shared" si="323"/>
        <v>142293.63740999997</v>
      </c>
      <c r="CF32" s="49">
        <f t="shared" ref="CF32:CG32" si="324">+CF39+CF46+CF53</f>
        <v>140187.17680999998</v>
      </c>
      <c r="CG32" s="49">
        <f t="shared" si="324"/>
        <v>145271.51950999998</v>
      </c>
      <c r="CH32" s="49">
        <f t="shared" ref="CH32:CI32" si="325">+CH39+CH46+CH53</f>
        <v>136906.48640999995</v>
      </c>
      <c r="CI32" s="49">
        <f t="shared" si="325"/>
        <v>140183.26484999995</v>
      </c>
      <c r="CJ32" s="49">
        <f t="shared" ref="CJ32:CK32" si="326">+CJ39+CJ46+CJ53</f>
        <v>141577.23883999995</v>
      </c>
      <c r="CK32" s="49">
        <f t="shared" si="326"/>
        <v>138108.37436999992</v>
      </c>
      <c r="CL32" s="49">
        <f t="shared" ref="CL32:CM32" si="327">+CL39+CL46+CL53</f>
        <v>141659.84057999996</v>
      </c>
      <c r="CM32" s="49">
        <f t="shared" si="327"/>
        <v>144001.07847000001</v>
      </c>
      <c r="CN32" s="49">
        <f t="shared" ref="CN32:CO32" si="328">+CN39+CN46+CN53</f>
        <v>146950.01013999997</v>
      </c>
      <c r="CO32" s="49">
        <f t="shared" si="328"/>
        <v>157527.54656999998</v>
      </c>
      <c r="CP32" s="49">
        <f t="shared" ref="CP32:CQ32" si="329">+CP39+CP46+CP53</f>
        <v>157333.79310999997</v>
      </c>
      <c r="CQ32" s="49">
        <f t="shared" si="329"/>
        <v>166494.54226999998</v>
      </c>
      <c r="CR32" s="49">
        <f t="shared" ref="CR32:CS32" si="330">+CR39+CR46+CR53</f>
        <v>165828.03135999994</v>
      </c>
      <c r="CS32" s="49">
        <f t="shared" si="330"/>
        <v>168500.81956</v>
      </c>
      <c r="CT32" s="49">
        <f t="shared" ref="CT32:CU32" si="331">+CT39+CT46+CT53</f>
        <v>166207.48386999997</v>
      </c>
      <c r="CU32" s="49">
        <f t="shared" si="331"/>
        <v>170399.47721999994</v>
      </c>
      <c r="CV32" s="49">
        <f t="shared" ref="CV32:CW32" si="332">+CV39+CV46+CV53</f>
        <v>171725.18279999995</v>
      </c>
      <c r="CW32" s="49">
        <f t="shared" si="332"/>
        <v>171933.73362999994</v>
      </c>
      <c r="CX32" s="49">
        <f t="shared" ref="CX32:CY32" si="333">+CX39+CX46+CX53</f>
        <v>162715.39208999992</v>
      </c>
      <c r="CY32" s="49">
        <f t="shared" si="333"/>
        <v>154962.32111999995</v>
      </c>
      <c r="CZ32" s="49">
        <f t="shared" ref="CZ32" si="334">+CZ39+CZ46+CZ53</f>
        <v>156562.81133999996</v>
      </c>
      <c r="DA32" s="49">
        <f t="shared" ref="DA32:DF32" si="335">+DA39+DA46+DA53</f>
        <v>163352.46238999994</v>
      </c>
      <c r="DB32" s="49">
        <f t="shared" si="335"/>
        <v>166029.35412999996</v>
      </c>
      <c r="DC32" s="49">
        <f t="shared" si="335"/>
        <v>162966.07435999985</v>
      </c>
      <c r="DD32" s="49">
        <f t="shared" si="335"/>
        <v>157400.71308999989</v>
      </c>
      <c r="DE32" s="49">
        <f t="shared" si="335"/>
        <v>160351.03402999989</v>
      </c>
      <c r="DF32" s="49">
        <f t="shared" si="335"/>
        <v>155499.74888999993</v>
      </c>
      <c r="DG32" s="49">
        <f t="shared" ref="DG32" si="336">+DG39+DG46+DG53</f>
        <v>165480.46448999972</v>
      </c>
    </row>
    <row r="33" spans="1:111" s="47" customFormat="1" ht="17.25" customHeight="1">
      <c r="A33" s="810"/>
      <c r="B33" s="802" t="s">
        <v>22</v>
      </c>
      <c r="C33" s="803"/>
      <c r="D33" s="93">
        <f t="shared" si="292"/>
        <v>747853.69550999999</v>
      </c>
      <c r="E33" s="93">
        <f t="shared" si="292"/>
        <v>752273.00074999989</v>
      </c>
      <c r="F33" s="53">
        <f t="shared" si="292"/>
        <v>755518.05056999996</v>
      </c>
      <c r="G33" s="53">
        <f t="shared" si="292"/>
        <v>751751.9301</v>
      </c>
      <c r="H33" s="53">
        <f t="shared" si="292"/>
        <v>749635.37401999999</v>
      </c>
      <c r="I33" s="53">
        <f t="shared" si="292"/>
        <v>749003.80370000005</v>
      </c>
      <c r="J33" s="53">
        <f t="shared" si="292"/>
        <v>755933.34182999993</v>
      </c>
      <c r="K33" s="53">
        <f t="shared" si="292"/>
        <v>753002.67665000004</v>
      </c>
      <c r="L33" s="53">
        <f t="shared" si="292"/>
        <v>765773.59275999991</v>
      </c>
      <c r="M33" s="53">
        <f t="shared" si="292"/>
        <v>786514.45544000017</v>
      </c>
      <c r="N33" s="53">
        <f t="shared" si="292"/>
        <v>800395.76388999983</v>
      </c>
      <c r="O33" s="53">
        <f t="shared" si="292"/>
        <v>816277.48628000007</v>
      </c>
      <c r="P33" s="53">
        <f t="shared" si="292"/>
        <v>830758.09976000001</v>
      </c>
      <c r="Q33" s="53">
        <f t="shared" si="292"/>
        <v>843290.50071000005</v>
      </c>
      <c r="R33" s="53">
        <f t="shared" si="293"/>
        <v>855282.95316999999</v>
      </c>
      <c r="S33" s="53">
        <f t="shared" si="293"/>
        <v>864500.43062</v>
      </c>
      <c r="T33" s="53">
        <f t="shared" si="294"/>
        <v>881195.8677399999</v>
      </c>
      <c r="U33" s="53">
        <f t="shared" si="294"/>
        <v>891995.25954999996</v>
      </c>
      <c r="V33" s="53">
        <f t="shared" si="295"/>
        <v>908980.65819999983</v>
      </c>
      <c r="W33" s="53">
        <f t="shared" si="295"/>
        <v>924256.49459000002</v>
      </c>
      <c r="X33" s="53">
        <f t="shared" si="296"/>
        <v>956700.72430000012</v>
      </c>
      <c r="Y33" s="53">
        <f t="shared" si="296"/>
        <v>984057.22198999999</v>
      </c>
      <c r="Z33" s="53">
        <f t="shared" si="297"/>
        <v>1002103.6279</v>
      </c>
      <c r="AA33" s="53">
        <f t="shared" si="297"/>
        <v>1027640.2887700001</v>
      </c>
      <c r="AB33" s="53">
        <f t="shared" si="298"/>
        <v>1048831.8848899999</v>
      </c>
      <c r="AC33" s="53">
        <f t="shared" si="298"/>
        <v>1072237.50238</v>
      </c>
      <c r="AD33" s="53">
        <f t="shared" si="299"/>
        <v>1103626.166</v>
      </c>
      <c r="AE33" s="53">
        <f t="shared" si="299"/>
        <v>1144929.04568</v>
      </c>
      <c r="AF33" s="53">
        <f t="shared" si="300"/>
        <v>1197261.2765700002</v>
      </c>
      <c r="AG33" s="53">
        <f t="shared" si="300"/>
        <v>1243353.0486900001</v>
      </c>
      <c r="AH33" s="53">
        <f t="shared" si="301"/>
        <v>1303184.9410699999</v>
      </c>
      <c r="AI33" s="53">
        <f t="shared" si="301"/>
        <v>1362165.46266</v>
      </c>
      <c r="AJ33" s="53">
        <f t="shared" si="302"/>
        <v>1440202.6857</v>
      </c>
      <c r="AK33" s="53">
        <f t="shared" si="302"/>
        <v>1509886.7141499999</v>
      </c>
      <c r="AL33" s="53">
        <f t="shared" si="302"/>
        <v>1580181.57766</v>
      </c>
      <c r="AM33" s="53">
        <f t="shared" si="302"/>
        <v>1655848.91616</v>
      </c>
      <c r="AN33" s="53">
        <f t="shared" si="303"/>
        <v>1720283.0462599997</v>
      </c>
      <c r="AO33" s="53">
        <f t="shared" si="303"/>
        <v>1801714.5274400001</v>
      </c>
      <c r="AP33" s="53">
        <f t="shared" si="304"/>
        <v>1888175.4486099998</v>
      </c>
      <c r="AQ33" s="53">
        <f t="shared" si="304"/>
        <v>1967646.2968600001</v>
      </c>
      <c r="AR33" s="53">
        <f t="shared" si="304"/>
        <v>2086349.2775400002</v>
      </c>
      <c r="AS33" s="53">
        <f t="shared" si="304"/>
        <v>2190128.8422300001</v>
      </c>
      <c r="AT33" s="53">
        <f t="shared" si="305"/>
        <v>2309509.1136699999</v>
      </c>
      <c r="AU33" s="53">
        <f t="shared" si="305"/>
        <v>2444441.8325700001</v>
      </c>
      <c r="AV33" s="53">
        <f t="shared" si="306"/>
        <v>2547377.82608</v>
      </c>
      <c r="AW33" s="53">
        <f t="shared" si="306"/>
        <v>2647628.5406399998</v>
      </c>
      <c r="AX33" s="53">
        <f t="shared" si="307"/>
        <v>2741776.8206399996</v>
      </c>
      <c r="AY33" s="53">
        <f t="shared" si="307"/>
        <v>2836342.8219500002</v>
      </c>
      <c r="AZ33" s="53">
        <f t="shared" si="308"/>
        <v>2928151.6810000003</v>
      </c>
      <c r="BA33" s="53">
        <f t="shared" si="308"/>
        <v>2986799.0987800001</v>
      </c>
      <c r="BB33" s="53">
        <f t="shared" si="309"/>
        <v>3038321.0930399997</v>
      </c>
      <c r="BC33" s="53">
        <f t="shared" si="309"/>
        <v>3107209.8479599999</v>
      </c>
      <c r="BD33" s="53">
        <f t="shared" si="310"/>
        <v>3215813.5253900005</v>
      </c>
      <c r="BE33" s="53">
        <f t="shared" si="310"/>
        <v>3296846.7821599999</v>
      </c>
      <c r="BF33" s="53">
        <f t="shared" si="311"/>
        <v>3384074.2451300002</v>
      </c>
      <c r="BG33" s="53">
        <f t="shared" si="311"/>
        <v>3479502.7252700008</v>
      </c>
      <c r="BH33" s="53">
        <f t="shared" si="312"/>
        <v>3566568.6733300001</v>
      </c>
      <c r="BI33" s="53">
        <f t="shared" si="312"/>
        <v>3644459.0335499998</v>
      </c>
      <c r="BJ33" s="53">
        <f t="shared" si="313"/>
        <v>3715229.4767100001</v>
      </c>
      <c r="BK33" s="53">
        <f t="shared" si="313"/>
        <v>3810715.6424500002</v>
      </c>
      <c r="BL33" s="53">
        <f t="shared" si="314"/>
        <v>3883906.6238199994</v>
      </c>
      <c r="BM33" s="53">
        <f t="shared" si="314"/>
        <v>3941535.9593599993</v>
      </c>
      <c r="BN33" s="53">
        <f t="shared" si="315"/>
        <v>3979381.3259300003</v>
      </c>
      <c r="BO33" s="53">
        <f t="shared" si="315"/>
        <v>4011246.2670200001</v>
      </c>
      <c r="BP33" s="53">
        <f t="shared" si="316"/>
        <v>4095303.6913399999</v>
      </c>
      <c r="BQ33" s="53">
        <f t="shared" si="316"/>
        <v>4136646.4785699998</v>
      </c>
      <c r="BR33" s="53">
        <f t="shared" si="317"/>
        <v>4216096.3759299992</v>
      </c>
      <c r="BS33" s="53">
        <f t="shared" si="317"/>
        <v>4297351.2730399994</v>
      </c>
      <c r="BT33" s="53">
        <f t="shared" si="318"/>
        <v>4364168.6039100001</v>
      </c>
      <c r="BU33" s="53">
        <f t="shared" si="318"/>
        <v>4451244.8412600001</v>
      </c>
      <c r="BV33" s="53">
        <f t="shared" si="319"/>
        <v>4516922.8366900003</v>
      </c>
      <c r="BW33" s="53">
        <f t="shared" si="319"/>
        <v>4605189.53455</v>
      </c>
      <c r="BX33" s="53">
        <f t="shared" si="320"/>
        <v>4642341.59827</v>
      </c>
      <c r="BY33" s="53">
        <f t="shared" si="320"/>
        <v>4764553.0153400004</v>
      </c>
      <c r="BZ33" s="53">
        <f t="shared" si="321"/>
        <v>4845257.49223</v>
      </c>
      <c r="CA33" s="53">
        <f t="shared" si="321"/>
        <v>4919963.7680099998</v>
      </c>
      <c r="CB33" s="53">
        <f t="shared" si="322"/>
        <v>5000847.5674799997</v>
      </c>
      <c r="CC33" s="53">
        <f t="shared" si="322"/>
        <v>5076985.7144700009</v>
      </c>
      <c r="CD33" s="53">
        <f t="shared" ref="CD33:CE33" si="337">+CD40+CD47+CD54</f>
        <v>5169695.2583699999</v>
      </c>
      <c r="CE33" s="53">
        <f t="shared" si="337"/>
        <v>5227720.0732299993</v>
      </c>
      <c r="CF33" s="53">
        <f t="shared" ref="CF33:CG33" si="338">+CF40+CF47+CF54</f>
        <v>5307746.1400000006</v>
      </c>
      <c r="CG33" s="53">
        <f t="shared" si="338"/>
        <v>5474108.2770199999</v>
      </c>
      <c r="CH33" s="53">
        <f t="shared" ref="CH33:CI33" si="339">+CH40+CH47+CH54</f>
        <v>5467424.7195599992</v>
      </c>
      <c r="CI33" s="53">
        <f t="shared" si="339"/>
        <v>5586480.4993500002</v>
      </c>
      <c r="CJ33" s="53">
        <f t="shared" ref="CJ33" si="340">+CJ40+CJ47+CJ54</f>
        <v>5659539.5914200004</v>
      </c>
      <c r="CK33" s="53">
        <f t="shared" ref="CK33:CL33" si="341">+CK40+CK47+CK54</f>
        <v>5720292.6248899996</v>
      </c>
      <c r="CL33" s="53">
        <f t="shared" si="341"/>
        <v>5790724.0204799995</v>
      </c>
      <c r="CM33" s="53">
        <f t="shared" ref="CM33:CN33" si="342">+CM40+CM47+CM54</f>
        <v>5847839.5491000004</v>
      </c>
      <c r="CN33" s="53">
        <f t="shared" si="342"/>
        <v>5948412.96227</v>
      </c>
      <c r="CO33" s="53">
        <f t="shared" ref="CO33:CP33" si="343">+CO40+CO47+CO54</f>
        <v>5999097.2431899998</v>
      </c>
      <c r="CP33" s="53">
        <f t="shared" si="343"/>
        <v>6106727.3502100008</v>
      </c>
      <c r="CQ33" s="53">
        <f t="shared" ref="CQ33:CR33" si="344">+CQ40+CQ47+CQ54</f>
        <v>6152684.7836500006</v>
      </c>
      <c r="CR33" s="53">
        <f t="shared" si="344"/>
        <v>6230509.2393400008</v>
      </c>
      <c r="CS33" s="53">
        <f t="shared" ref="CS33:CT33" si="345">+CS40+CS47+CS54</f>
        <v>6267510.3495799992</v>
      </c>
      <c r="CT33" s="53">
        <f t="shared" si="345"/>
        <v>6316520.9539599996</v>
      </c>
      <c r="CU33" s="53">
        <f t="shared" ref="CU33:CV33" si="346">+CU40+CU47+CU54</f>
        <v>6385689.2846300006</v>
      </c>
      <c r="CV33" s="53">
        <f t="shared" si="346"/>
        <v>6403756.6980000008</v>
      </c>
      <c r="CW33" s="53">
        <f t="shared" ref="CW33:CX33" si="347">+CW40+CW47+CW54</f>
        <v>6369016.9719000012</v>
      </c>
      <c r="CX33" s="53">
        <f t="shared" si="347"/>
        <v>6420914.6386599997</v>
      </c>
      <c r="CY33" s="53">
        <f t="shared" ref="CY33:CZ33" si="348">+CY40+CY47+CY54</f>
        <v>6446304.7388199996</v>
      </c>
      <c r="CZ33" s="53">
        <f t="shared" si="348"/>
        <v>6517432.1988199987</v>
      </c>
      <c r="DA33" s="53">
        <f t="shared" ref="DA33:DB33" si="349">+DA40+DA47+DA54</f>
        <v>6589998.3869900014</v>
      </c>
      <c r="DB33" s="53">
        <f t="shared" si="349"/>
        <v>6640336.0569400005</v>
      </c>
      <c r="DC33" s="53">
        <f t="shared" ref="DC33:DD33" si="350">+DC40+DC47+DC54</f>
        <v>6674880.3922700007</v>
      </c>
      <c r="DD33" s="53">
        <f t="shared" si="350"/>
        <v>6808762.0832200004</v>
      </c>
      <c r="DE33" s="53">
        <f t="shared" ref="DE33" si="351">+DE40+DE47+DE54</f>
        <v>6933421.3817100003</v>
      </c>
      <c r="DF33" s="53">
        <f>+DF40+DF47+DF54</f>
        <v>7053871.5631000008</v>
      </c>
      <c r="DG33" s="53">
        <f>+DG40+DG47+DG54</f>
        <v>7242368.3995899986</v>
      </c>
    </row>
    <row r="34" spans="1:111" s="47" customFormat="1" ht="17.25" customHeight="1">
      <c r="A34" s="810"/>
      <c r="B34" s="815" t="s">
        <v>31</v>
      </c>
      <c r="C34" s="816"/>
      <c r="D34" s="95">
        <f t="shared" si="292"/>
        <v>20904.218559999426</v>
      </c>
      <c r="E34" s="95">
        <f t="shared" si="292"/>
        <v>27144.982400000066</v>
      </c>
      <c r="F34" s="54">
        <f t="shared" si="292"/>
        <v>21999.390739999028</v>
      </c>
      <c r="G34" s="54">
        <f t="shared" si="292"/>
        <v>23193.85702999901</v>
      </c>
      <c r="H34" s="54">
        <f t="shared" si="292"/>
        <v>17304.517549999968</v>
      </c>
      <c r="I34" s="54">
        <f t="shared" si="292"/>
        <v>18207.830590000027</v>
      </c>
      <c r="J34" s="54">
        <f t="shared" si="292"/>
        <v>17225.229679999989</v>
      </c>
      <c r="K34" s="54">
        <f t="shared" si="292"/>
        <v>28453.088199999984</v>
      </c>
      <c r="L34" s="54">
        <f t="shared" si="292"/>
        <v>31314.557319999993</v>
      </c>
      <c r="M34" s="54">
        <f t="shared" si="292"/>
        <v>22768.739199999909</v>
      </c>
      <c r="N34" s="54">
        <f t="shared" si="292"/>
        <v>27307.479610000111</v>
      </c>
      <c r="O34" s="54">
        <f t="shared" si="292"/>
        <v>25675.343219999981</v>
      </c>
      <c r="P34" s="54">
        <f t="shared" si="292"/>
        <v>26152.712959999932</v>
      </c>
      <c r="Q34" s="54">
        <f t="shared" si="292"/>
        <v>29625.412049999941</v>
      </c>
      <c r="R34" s="54">
        <f t="shared" si="293"/>
        <v>25736.632950000014</v>
      </c>
      <c r="S34" s="54">
        <f t="shared" si="293"/>
        <v>27555.116600000038</v>
      </c>
      <c r="T34" s="54">
        <f t="shared" si="294"/>
        <v>30006.904570000013</v>
      </c>
      <c r="U34" s="54">
        <f t="shared" si="294"/>
        <v>28754.249969999975</v>
      </c>
      <c r="V34" s="54">
        <f t="shared" si="295"/>
        <v>27908.177700000291</v>
      </c>
      <c r="W34" s="54">
        <f t="shared" si="295"/>
        <v>34569.500409999746</v>
      </c>
      <c r="X34" s="54">
        <f t="shared" si="296"/>
        <v>40550.357869999949</v>
      </c>
      <c r="Y34" s="54">
        <f t="shared" si="296"/>
        <v>34928.069190000213</v>
      </c>
      <c r="Z34" s="54">
        <f t="shared" si="297"/>
        <v>40565.636430000042</v>
      </c>
      <c r="AA34" s="54">
        <f t="shared" si="297"/>
        <v>34886.794569999882</v>
      </c>
      <c r="AB34" s="54">
        <f t="shared" si="298"/>
        <v>35132.494009999966</v>
      </c>
      <c r="AC34" s="54">
        <f t="shared" si="298"/>
        <v>39592.854759999987</v>
      </c>
      <c r="AD34" s="54">
        <f t="shared" si="299"/>
        <v>38589.368050000543</v>
      </c>
      <c r="AE34" s="54">
        <f t="shared" si="299"/>
        <v>45492.364110000024</v>
      </c>
      <c r="AF34" s="54">
        <f t="shared" si="300"/>
        <v>48869.659829999844</v>
      </c>
      <c r="AG34" s="54">
        <f t="shared" si="300"/>
        <v>53851.78865000006</v>
      </c>
      <c r="AH34" s="54">
        <f t="shared" si="301"/>
        <v>52719.418489999545</v>
      </c>
      <c r="AI34" s="54">
        <f t="shared" si="301"/>
        <v>51292.008960000414</v>
      </c>
      <c r="AJ34" s="54">
        <f t="shared" si="302"/>
        <v>43451.46900999971</v>
      </c>
      <c r="AK34" s="54">
        <f t="shared" si="302"/>
        <v>188803.72595999966</v>
      </c>
      <c r="AL34" s="54">
        <f t="shared" si="302"/>
        <v>49438.123850000382</v>
      </c>
      <c r="AM34" s="54">
        <f t="shared" si="302"/>
        <v>44989.596160000365</v>
      </c>
      <c r="AN34" s="54">
        <f t="shared" si="303"/>
        <v>57312.869210000092</v>
      </c>
      <c r="AO34" s="54">
        <f t="shared" si="303"/>
        <v>61287.111640000367</v>
      </c>
      <c r="AP34" s="54">
        <f t="shared" si="304"/>
        <v>62242.321339999849</v>
      </c>
      <c r="AQ34" s="54">
        <f t="shared" si="304"/>
        <v>72487.451170000131</v>
      </c>
      <c r="AR34" s="54">
        <f t="shared" si="304"/>
        <v>62154.313080000342</v>
      </c>
      <c r="AS34" s="54">
        <f t="shared" si="304"/>
        <v>73399.200419999484</v>
      </c>
      <c r="AT34" s="54">
        <f t="shared" si="305"/>
        <v>81023.210910000314</v>
      </c>
      <c r="AU34" s="54">
        <f t="shared" si="305"/>
        <v>69205.714769999962</v>
      </c>
      <c r="AV34" s="54">
        <f t="shared" si="306"/>
        <v>61210.617390000029</v>
      </c>
      <c r="AW34" s="54">
        <f t="shared" si="306"/>
        <v>61437.645269999804</v>
      </c>
      <c r="AX34" s="54">
        <f t="shared" si="307"/>
        <v>60617.954399999755</v>
      </c>
      <c r="AY34" s="54">
        <f t="shared" si="307"/>
        <v>77994.116679999919</v>
      </c>
      <c r="AZ34" s="54">
        <f t="shared" si="308"/>
        <v>65047.164330000232</v>
      </c>
      <c r="BA34" s="54">
        <f t="shared" si="308"/>
        <v>55750.377520000213</v>
      </c>
      <c r="BB34" s="54">
        <f t="shared" si="309"/>
        <v>75311.187190000259</v>
      </c>
      <c r="BC34" s="54">
        <f t="shared" si="309"/>
        <v>117380.11489532539</v>
      </c>
      <c r="BD34" s="54">
        <f t="shared" si="310"/>
        <v>104815.37009627424</v>
      </c>
      <c r="BE34" s="54">
        <f t="shared" si="310"/>
        <v>115972.9823956617</v>
      </c>
      <c r="BF34" s="54">
        <f t="shared" si="311"/>
        <v>131302.04316529469</v>
      </c>
      <c r="BG34" s="54">
        <f t="shared" si="311"/>
        <v>140014.29107912956</v>
      </c>
      <c r="BH34" s="54">
        <f t="shared" si="312"/>
        <v>134203.83622999873</v>
      </c>
      <c r="BI34" s="54">
        <f t="shared" si="312"/>
        <v>136797.42676092929</v>
      </c>
      <c r="BJ34" s="54">
        <f t="shared" si="313"/>
        <v>139029.35966000054</v>
      </c>
      <c r="BK34" s="54">
        <f t="shared" si="313"/>
        <v>142576.37607237883</v>
      </c>
      <c r="BL34" s="54">
        <f t="shared" si="314"/>
        <v>131837.03124000109</v>
      </c>
      <c r="BM34" s="54">
        <f t="shared" si="314"/>
        <v>132227.6974319251</v>
      </c>
      <c r="BN34" s="54">
        <f t="shared" si="315"/>
        <v>129253.51247006748</v>
      </c>
      <c r="BO34" s="54">
        <f t="shared" si="315"/>
        <v>187776.27626082988</v>
      </c>
      <c r="BP34" s="54">
        <f t="shared" si="316"/>
        <v>143294.41583000019</v>
      </c>
      <c r="BQ34" s="54">
        <f t="shared" si="316"/>
        <v>165718.13408740103</v>
      </c>
      <c r="BR34" s="54">
        <f t="shared" si="317"/>
        <v>158567.27898999915</v>
      </c>
      <c r="BS34" s="54">
        <f t="shared" si="317"/>
        <v>164313.98025324184</v>
      </c>
      <c r="BT34" s="54">
        <f t="shared" si="318"/>
        <v>165681.4985300001</v>
      </c>
      <c r="BU34" s="54">
        <f t="shared" si="318"/>
        <v>157316.48504000076</v>
      </c>
      <c r="BV34" s="54">
        <f t="shared" si="319"/>
        <v>176477.16846000036</v>
      </c>
      <c r="BW34" s="54">
        <f t="shared" si="319"/>
        <v>168728.3668300003</v>
      </c>
      <c r="BX34" s="54">
        <f t="shared" si="320"/>
        <v>219546.96261000022</v>
      </c>
      <c r="BY34" s="54">
        <f t="shared" si="320"/>
        <v>161170.67856897076</v>
      </c>
      <c r="BZ34" s="54">
        <f t="shared" si="321"/>
        <v>158833.29562702839</v>
      </c>
      <c r="CA34" s="54">
        <f t="shared" si="321"/>
        <v>186689.25750000041</v>
      </c>
      <c r="CB34" s="54">
        <f t="shared" si="322"/>
        <v>193247.62431465334</v>
      </c>
      <c r="CC34" s="54">
        <f t="shared" si="322"/>
        <v>200724.02075558819</v>
      </c>
      <c r="CD34" s="54">
        <f t="shared" ref="CD34:CE34" si="352">+CD41+CD48+CD55</f>
        <v>193403.24729316251</v>
      </c>
      <c r="CE34" s="54">
        <f t="shared" si="352"/>
        <v>192383.33286293602</v>
      </c>
      <c r="CF34" s="54">
        <f t="shared" ref="CF34:CG34" si="353">+CF41+CF48+CF55</f>
        <v>199773.94068228436</v>
      </c>
      <c r="CG34" s="54">
        <f t="shared" si="353"/>
        <v>117448.75283291494</v>
      </c>
      <c r="CH34" s="54">
        <f t="shared" ref="CH34:CI34" si="354">+CH41+CH48+CH55</f>
        <v>221974.59447342373</v>
      </c>
      <c r="CI34" s="54">
        <f t="shared" si="354"/>
        <v>198305.33322057489</v>
      </c>
      <c r="CJ34" s="54">
        <f t="shared" ref="CJ34" si="355">+CJ41+CJ48+CJ55</f>
        <v>189899.29457999999</v>
      </c>
      <c r="CK34" s="54">
        <f t="shared" ref="CK34:CL34" si="356">+CK41+CK48+CK55</f>
        <v>207451.45837093575</v>
      </c>
      <c r="CL34" s="54">
        <f t="shared" si="356"/>
        <v>213492.63309388288</v>
      </c>
      <c r="CM34" s="54">
        <f t="shared" ref="CM34:CN34" si="357">+CM41+CM48+CM55</f>
        <v>256238.96288000036</v>
      </c>
      <c r="CN34" s="54">
        <f t="shared" si="357"/>
        <v>225004.9789300001</v>
      </c>
      <c r="CO34" s="54">
        <f t="shared" ref="CO34:CP34" si="358">+CO41+CO48+CO55</f>
        <v>250903.98016000085</v>
      </c>
      <c r="CP34" s="54">
        <f t="shared" si="358"/>
        <v>217764.81884000084</v>
      </c>
      <c r="CQ34" s="54">
        <f t="shared" ref="CQ34:CR34" si="359">+CQ41+CQ48+CQ55</f>
        <v>233431.60980000137</v>
      </c>
      <c r="CR34" s="54">
        <f t="shared" si="359"/>
        <v>226954.23086999962</v>
      </c>
      <c r="CS34" s="54">
        <f t="shared" ref="CS34:CT34" si="360">+CS41+CS48+CS55</f>
        <v>227315.94718000089</v>
      </c>
      <c r="CT34" s="54">
        <f t="shared" si="360"/>
        <v>215287.25981000025</v>
      </c>
      <c r="CU34" s="54">
        <f t="shared" ref="CU34:CV34" si="361">+CU41+CU48+CU55</f>
        <v>206859.99496000045</v>
      </c>
      <c r="CV34" s="54">
        <f t="shared" si="361"/>
        <v>190285.02931999974</v>
      </c>
      <c r="CW34" s="54">
        <f t="shared" ref="CW34:CX34" si="362">+CW41+CW48+CW55</f>
        <v>268327.98685999948</v>
      </c>
      <c r="CX34" s="54">
        <f t="shared" si="362"/>
        <v>258326.12315999973</v>
      </c>
      <c r="CY34" s="54">
        <f t="shared" ref="CY34:CZ34" si="363">+CY41+CY48+CY55</f>
        <v>305640.39370999986</v>
      </c>
      <c r="CZ34" s="54">
        <f t="shared" si="363"/>
        <v>308928.31987000082</v>
      </c>
      <c r="DA34" s="54">
        <f t="shared" ref="DA34:DB34" si="364">+DA41+DA48+DA55</f>
        <v>282435.96643998922</v>
      </c>
      <c r="DB34" s="54">
        <f t="shared" si="364"/>
        <v>290366.99612998945</v>
      </c>
      <c r="DC34" s="54">
        <f t="shared" ref="DC34:DD34" si="365">+DC41+DC48+DC55</f>
        <v>373766.12844998902</v>
      </c>
      <c r="DD34" s="54">
        <f t="shared" si="365"/>
        <v>383824.98934998934</v>
      </c>
      <c r="DE34" s="54">
        <f t="shared" ref="DE34:DF34" si="366">+DE41+DE48+DE55</f>
        <v>376210.66841998976</v>
      </c>
      <c r="DF34" s="54">
        <f t="shared" si="366"/>
        <v>429767.95380999026</v>
      </c>
      <c r="DG34" s="54">
        <f t="shared" ref="DG34" si="367">+DG41+DG48+DG55</f>
        <v>369090.04363999033</v>
      </c>
    </row>
    <row r="35" spans="1:111" s="47" customFormat="1" ht="17.25" customHeight="1">
      <c r="A35" s="810"/>
      <c r="B35" s="838" t="s">
        <v>24</v>
      </c>
      <c r="C35" s="839"/>
      <c r="D35" s="96">
        <f t="shared" si="292"/>
        <v>768757.91406999936</v>
      </c>
      <c r="E35" s="96">
        <f t="shared" si="292"/>
        <v>779417.98314999999</v>
      </c>
      <c r="F35" s="59">
        <f t="shared" si="292"/>
        <v>777517.44130999909</v>
      </c>
      <c r="G35" s="59">
        <f t="shared" si="292"/>
        <v>774945.78712999891</v>
      </c>
      <c r="H35" s="59">
        <f t="shared" si="292"/>
        <v>766939.89156999998</v>
      </c>
      <c r="I35" s="59">
        <f t="shared" si="292"/>
        <v>767211.63429000007</v>
      </c>
      <c r="J35" s="59">
        <f t="shared" si="292"/>
        <v>773158.57151000004</v>
      </c>
      <c r="K35" s="59">
        <f t="shared" si="292"/>
        <v>781455.76485000015</v>
      </c>
      <c r="L35" s="59">
        <f t="shared" si="292"/>
        <v>797088.15008000005</v>
      </c>
      <c r="M35" s="59">
        <f t="shared" si="292"/>
        <v>809283.19464</v>
      </c>
      <c r="N35" s="59">
        <f t="shared" si="292"/>
        <v>827703.24349999998</v>
      </c>
      <c r="O35" s="59">
        <f t="shared" si="292"/>
        <v>841952.82949999999</v>
      </c>
      <c r="P35" s="59">
        <f t="shared" si="292"/>
        <v>856910.81271999993</v>
      </c>
      <c r="Q35" s="59">
        <f t="shared" si="292"/>
        <v>872915.91275999998</v>
      </c>
      <c r="R35" s="59">
        <f t="shared" si="293"/>
        <v>881019.58611999999</v>
      </c>
      <c r="S35" s="59">
        <f t="shared" si="293"/>
        <v>892055.54722000007</v>
      </c>
      <c r="T35" s="59">
        <f t="shared" si="294"/>
        <v>911202.77231000003</v>
      </c>
      <c r="U35" s="59">
        <f t="shared" si="294"/>
        <v>920749.50952000008</v>
      </c>
      <c r="V35" s="59">
        <f t="shared" si="295"/>
        <v>936888.83590000018</v>
      </c>
      <c r="W35" s="59">
        <f t="shared" si="295"/>
        <v>958825.99499999965</v>
      </c>
      <c r="X35" s="59">
        <f t="shared" si="296"/>
        <v>997251.08217000007</v>
      </c>
      <c r="Y35" s="59">
        <f t="shared" si="296"/>
        <v>1018985.2911800002</v>
      </c>
      <c r="Z35" s="59">
        <f t="shared" si="297"/>
        <v>1042669.2643299999</v>
      </c>
      <c r="AA35" s="59">
        <f t="shared" si="297"/>
        <v>1062527.0833399999</v>
      </c>
      <c r="AB35" s="59">
        <f t="shared" si="298"/>
        <v>1083964.3788999999</v>
      </c>
      <c r="AC35" s="59">
        <f t="shared" si="298"/>
        <v>1111830.35714</v>
      </c>
      <c r="AD35" s="59">
        <f t="shared" si="299"/>
        <v>1142215.5340500006</v>
      </c>
      <c r="AE35" s="59">
        <f t="shared" si="299"/>
        <v>1190421.4097899999</v>
      </c>
      <c r="AF35" s="59">
        <f t="shared" si="300"/>
        <v>1246130.9364</v>
      </c>
      <c r="AG35" s="59">
        <f t="shared" si="300"/>
        <v>1297204.8373400001</v>
      </c>
      <c r="AH35" s="59">
        <f t="shared" si="301"/>
        <v>1355904.3595599993</v>
      </c>
      <c r="AI35" s="59">
        <f t="shared" si="301"/>
        <v>1413457.4716200002</v>
      </c>
      <c r="AJ35" s="59">
        <f t="shared" si="302"/>
        <v>1483654.1547099997</v>
      </c>
      <c r="AK35" s="59">
        <f t="shared" si="302"/>
        <v>1698690.4401099999</v>
      </c>
      <c r="AL35" s="59">
        <f t="shared" si="302"/>
        <v>1629619.7015100003</v>
      </c>
      <c r="AM35" s="59">
        <f t="shared" si="302"/>
        <v>1700838.5123200002</v>
      </c>
      <c r="AN35" s="59">
        <f t="shared" si="303"/>
        <v>1777595.9154699999</v>
      </c>
      <c r="AO35" s="59">
        <f t="shared" si="303"/>
        <v>1863001.6390800003</v>
      </c>
      <c r="AP35" s="59">
        <f t="shared" si="304"/>
        <v>1950417.7699499996</v>
      </c>
      <c r="AQ35" s="59">
        <f t="shared" si="304"/>
        <v>2040133.7480300004</v>
      </c>
      <c r="AR35" s="59">
        <f t="shared" si="304"/>
        <v>2148503.5906200004</v>
      </c>
      <c r="AS35" s="59">
        <f t="shared" si="304"/>
        <v>2263528.0426499993</v>
      </c>
      <c r="AT35" s="59">
        <f t="shared" si="305"/>
        <v>2390532.3245800002</v>
      </c>
      <c r="AU35" s="59">
        <f t="shared" si="305"/>
        <v>2513647.54734</v>
      </c>
      <c r="AV35" s="59">
        <f t="shared" si="306"/>
        <v>2608588.4434700003</v>
      </c>
      <c r="AW35" s="59">
        <f t="shared" si="306"/>
        <v>2709066.1859099995</v>
      </c>
      <c r="AX35" s="59">
        <f t="shared" si="307"/>
        <v>2802394.7750399997</v>
      </c>
      <c r="AY35" s="59">
        <f t="shared" si="307"/>
        <v>2914336.9386299998</v>
      </c>
      <c r="AZ35" s="59">
        <f t="shared" si="308"/>
        <v>2993198.8453300004</v>
      </c>
      <c r="BA35" s="59">
        <f t="shared" si="308"/>
        <v>3042549.4763000002</v>
      </c>
      <c r="BB35" s="59">
        <f t="shared" si="309"/>
        <v>3113632.2802299997</v>
      </c>
      <c r="BC35" s="59">
        <f t="shared" si="309"/>
        <v>3224589.9628553251</v>
      </c>
      <c r="BD35" s="59">
        <f t="shared" si="310"/>
        <v>3320628.8954862747</v>
      </c>
      <c r="BE35" s="59">
        <f t="shared" si="310"/>
        <v>3412819.7645556615</v>
      </c>
      <c r="BF35" s="59">
        <f t="shared" si="311"/>
        <v>3515376.2882952951</v>
      </c>
      <c r="BG35" s="59">
        <f t="shared" si="311"/>
        <v>3619517.0163491303</v>
      </c>
      <c r="BH35" s="59">
        <f t="shared" si="312"/>
        <v>3700772.5095599988</v>
      </c>
      <c r="BI35" s="59">
        <f t="shared" si="312"/>
        <v>3781256.4603109295</v>
      </c>
      <c r="BJ35" s="59">
        <f t="shared" si="313"/>
        <v>3854258.8363700002</v>
      </c>
      <c r="BK35" s="59">
        <f t="shared" si="313"/>
        <v>3953292.018522379</v>
      </c>
      <c r="BL35" s="59">
        <f t="shared" si="314"/>
        <v>4015743.6550600007</v>
      </c>
      <c r="BM35" s="59">
        <f t="shared" si="314"/>
        <v>4073763.656791924</v>
      </c>
      <c r="BN35" s="59">
        <f t="shared" si="315"/>
        <v>4108634.8384000678</v>
      </c>
      <c r="BO35" s="59">
        <f t="shared" si="315"/>
        <v>4199022.5432808297</v>
      </c>
      <c r="BP35" s="59">
        <f t="shared" si="316"/>
        <v>4238598.1071699997</v>
      </c>
      <c r="BQ35" s="59">
        <f t="shared" si="316"/>
        <v>4302364.6126574008</v>
      </c>
      <c r="BR35" s="59">
        <f t="shared" si="317"/>
        <v>4374663.6549199987</v>
      </c>
      <c r="BS35" s="59">
        <f t="shared" si="317"/>
        <v>4461665.2532932414</v>
      </c>
      <c r="BT35" s="59">
        <f t="shared" si="318"/>
        <v>4529850.1024400005</v>
      </c>
      <c r="BU35" s="59">
        <f t="shared" si="318"/>
        <v>4608561.3263000008</v>
      </c>
      <c r="BV35" s="59">
        <f t="shared" si="319"/>
        <v>4693400.0051500006</v>
      </c>
      <c r="BW35" s="59">
        <f t="shared" si="319"/>
        <v>4773917.9013799997</v>
      </c>
      <c r="BX35" s="59">
        <f t="shared" si="320"/>
        <v>4861888.5608799998</v>
      </c>
      <c r="BY35" s="59">
        <f t="shared" si="320"/>
        <v>4925723.6939089708</v>
      </c>
      <c r="BZ35" s="59">
        <f t="shared" si="321"/>
        <v>5004090.7878570287</v>
      </c>
      <c r="CA35" s="59">
        <f t="shared" si="321"/>
        <v>5106653.0255100001</v>
      </c>
      <c r="CB35" s="59">
        <f t="shared" si="322"/>
        <v>5194095.1917946534</v>
      </c>
      <c r="CC35" s="59">
        <f t="shared" si="322"/>
        <v>5277709.735225589</v>
      </c>
      <c r="CD35" s="59">
        <f t="shared" ref="CD35:CE35" si="368">+CD42+CD49+CD56</f>
        <v>5363098.5056631621</v>
      </c>
      <c r="CE35" s="59">
        <f t="shared" si="368"/>
        <v>5420103.4060929352</v>
      </c>
      <c r="CF35" s="59">
        <f t="shared" ref="CF35:CG35" si="369">+CF42+CF49+CF56</f>
        <v>5507520.0806822842</v>
      </c>
      <c r="CG35" s="59">
        <f t="shared" si="369"/>
        <v>5591557.0298529146</v>
      </c>
      <c r="CH35" s="59">
        <f t="shared" ref="CH35:CI35" si="370">+CH42+CH49+CH56</f>
        <v>5689399.3140334226</v>
      </c>
      <c r="CI35" s="59">
        <f t="shared" si="370"/>
        <v>5784785.8325705752</v>
      </c>
      <c r="CJ35" s="59">
        <f t="shared" ref="CJ35" si="371">+CJ42+CJ49+CJ56</f>
        <v>5849438.8859999999</v>
      </c>
      <c r="CK35" s="59">
        <f t="shared" ref="CK35:CL35" si="372">+CK42+CK49+CK56</f>
        <v>5927744.0832609357</v>
      </c>
      <c r="CL35" s="59">
        <f t="shared" si="372"/>
        <v>6004216.6535738828</v>
      </c>
      <c r="CM35" s="59">
        <f t="shared" ref="CM35:CN35" si="373">+CM42+CM49+CM56</f>
        <v>6104078.5119800009</v>
      </c>
      <c r="CN35" s="59">
        <f t="shared" si="373"/>
        <v>6173417.9412000002</v>
      </c>
      <c r="CO35" s="59">
        <f t="shared" ref="CO35:CP35" si="374">+CO42+CO49+CO56</f>
        <v>6250001.2233500006</v>
      </c>
      <c r="CP35" s="59">
        <f t="shared" si="374"/>
        <v>6324492.1690500015</v>
      </c>
      <c r="CQ35" s="59">
        <f t="shared" ref="CQ35:CR35" si="375">+CQ42+CQ49+CQ56</f>
        <v>6386116.3934500013</v>
      </c>
      <c r="CR35" s="59">
        <f t="shared" si="375"/>
        <v>6457463.4702099999</v>
      </c>
      <c r="CS35" s="59">
        <f t="shared" ref="CS35" si="376">+CS42+CS49+CS56</f>
        <v>6494826.2967600003</v>
      </c>
      <c r="CT35" s="59">
        <f t="shared" ref="CT35:CY35" si="377">+CT42+CT49+CT56</f>
        <v>6531808.2137700003</v>
      </c>
      <c r="CU35" s="59">
        <f t="shared" si="377"/>
        <v>6592549.2795900004</v>
      </c>
      <c r="CV35" s="59">
        <f t="shared" si="377"/>
        <v>6594041.7273200005</v>
      </c>
      <c r="CW35" s="59">
        <f t="shared" si="377"/>
        <v>6637344.9587599998</v>
      </c>
      <c r="CX35" s="59">
        <f t="shared" si="377"/>
        <v>6679240.7618199997</v>
      </c>
      <c r="CY35" s="59">
        <f t="shared" si="377"/>
        <v>6751945.1325300001</v>
      </c>
      <c r="CZ35" s="59">
        <f t="shared" ref="CZ35:DD35" si="378">+CZ42+CZ49+CZ56</f>
        <v>6826360.5186900003</v>
      </c>
      <c r="DA35" s="59">
        <f t="shared" si="378"/>
        <v>6872434.3534299899</v>
      </c>
      <c r="DB35" s="59">
        <f t="shared" si="378"/>
        <v>6930703.0530699901</v>
      </c>
      <c r="DC35" s="59">
        <f t="shared" si="378"/>
        <v>7048646.5207199901</v>
      </c>
      <c r="DD35" s="59">
        <f t="shared" si="378"/>
        <v>7192587.0725699905</v>
      </c>
      <c r="DE35" s="59">
        <f>+DE42+DE49+DE56</f>
        <v>7309632.0501299901</v>
      </c>
      <c r="DF35" s="59">
        <f>+DF42+DF49+DF56</f>
        <v>7483639.5169099905</v>
      </c>
      <c r="DG35" s="59">
        <f>+DG42+DG49+DG56</f>
        <v>7611458.4432299901</v>
      </c>
    </row>
    <row r="36" spans="1:111" s="52" customFormat="1" ht="17.25" customHeight="1">
      <c r="A36" s="812"/>
      <c r="B36" s="817" t="s">
        <v>25</v>
      </c>
      <c r="C36" s="818"/>
      <c r="D36" s="97">
        <f t="shared" ref="D36:S36" si="379">+D32/D35</f>
        <v>1.6514822517773749E-2</v>
      </c>
      <c r="E36" s="97">
        <f t="shared" si="379"/>
        <v>1.7322070945085817E-2</v>
      </c>
      <c r="F36" s="58">
        <f t="shared" si="379"/>
        <v>1.6721565317036193E-2</v>
      </c>
      <c r="G36" s="58">
        <f t="shared" si="379"/>
        <v>1.6207567288694789E-2</v>
      </c>
      <c r="H36" s="58">
        <f t="shared" si="379"/>
        <v>1.7253237307701424E-2</v>
      </c>
      <c r="I36" s="58">
        <f t="shared" si="379"/>
        <v>1.7053267905807797E-2</v>
      </c>
      <c r="J36" s="58">
        <f t="shared" si="379"/>
        <v>1.6753781743248083E-2</v>
      </c>
      <c r="K36" s="58">
        <f t="shared" si="379"/>
        <v>1.745903601161463E-2</v>
      </c>
      <c r="L36" s="58">
        <f t="shared" si="379"/>
        <v>1.6635131219387953E-2</v>
      </c>
      <c r="M36" s="58">
        <f t="shared" si="379"/>
        <v>1.7687533183445778E-2</v>
      </c>
      <c r="N36" s="58">
        <f t="shared" si="379"/>
        <v>1.731077968163116E-2</v>
      </c>
      <c r="O36" s="58">
        <f t="shared" si="379"/>
        <v>1.6665894938951577E-2</v>
      </c>
      <c r="P36" s="58">
        <f t="shared" si="379"/>
        <v>1.7023952111999682E-2</v>
      </c>
      <c r="Q36" s="58">
        <f t="shared" si="379"/>
        <v>1.8671402367344797E-2</v>
      </c>
      <c r="R36" s="58">
        <f t="shared" si="379"/>
        <v>1.8512363092661736E-2</v>
      </c>
      <c r="S36" s="58">
        <f t="shared" si="379"/>
        <v>1.8342352279509661E-2</v>
      </c>
      <c r="T36" s="58">
        <f t="shared" ref="T36:Y36" si="380">+T32/T35</f>
        <v>1.8201095545347688E-2</v>
      </c>
      <c r="U36" s="58">
        <f t="shared" si="380"/>
        <v>1.871328391907847E-2</v>
      </c>
      <c r="V36" s="58">
        <f t="shared" si="380"/>
        <v>1.8856885943174685E-2</v>
      </c>
      <c r="W36" s="58">
        <f t="shared" si="380"/>
        <v>1.8730380604668535E-2</v>
      </c>
      <c r="X36" s="58">
        <f t="shared" si="380"/>
        <v>1.8355511121801484E-2</v>
      </c>
      <c r="Y36" s="58">
        <f t="shared" si="380"/>
        <v>2.0037724574370926E-2</v>
      </c>
      <c r="Z36" s="58">
        <f t="shared" ref="Z36:AE36" si="381">+Z32/Z35</f>
        <v>1.9728956116509683E-2</v>
      </c>
      <c r="AA36" s="58">
        <f t="shared" si="381"/>
        <v>2.0347976328318865E-2</v>
      </c>
      <c r="AB36" s="58">
        <f t="shared" si="381"/>
        <v>1.9500244935585682E-2</v>
      </c>
      <c r="AC36" s="58">
        <f t="shared" si="381"/>
        <v>1.9277612913119205E-2</v>
      </c>
      <c r="AD36" s="58">
        <f t="shared" si="381"/>
        <v>1.849909154630271E-2</v>
      </c>
      <c r="AE36" s="58">
        <f t="shared" si="381"/>
        <v>1.7903916793431854E-2</v>
      </c>
      <c r="AF36" s="58">
        <f t="shared" ref="AF36:AM36" si="382">+AF32/AF35</f>
        <v>1.7322604703452253E-2</v>
      </c>
      <c r="AG36" s="58">
        <f t="shared" si="382"/>
        <v>1.6946379914121634E-2</v>
      </c>
      <c r="AH36" s="58">
        <f t="shared" si="382"/>
        <v>1.6301735556903715E-2</v>
      </c>
      <c r="AI36" s="58">
        <f t="shared" si="382"/>
        <v>1.6566494804518085E-2</v>
      </c>
      <c r="AJ36" s="58">
        <f t="shared" si="382"/>
        <v>1.6308418470158528E-2</v>
      </c>
      <c r="AK36" s="58">
        <f t="shared" si="382"/>
        <v>1.5973359276833826E-2</v>
      </c>
      <c r="AL36" s="58">
        <f t="shared" si="382"/>
        <v>1.7197380170374688E-2</v>
      </c>
      <c r="AM36" s="58">
        <f t="shared" si="382"/>
        <v>1.9255362189163718E-2</v>
      </c>
      <c r="AN36" s="58">
        <f t="shared" ref="AN36:AS36" si="383">+AN32/AN35</f>
        <v>1.9296942961826304E-2</v>
      </c>
      <c r="AO36" s="58">
        <f t="shared" si="383"/>
        <v>1.9331435155250268E-2</v>
      </c>
      <c r="AP36" s="58">
        <f t="shared" si="383"/>
        <v>1.8439109120156325E-2</v>
      </c>
      <c r="AQ36" s="58">
        <f t="shared" si="383"/>
        <v>1.7523361928854425E-2</v>
      </c>
      <c r="AR36" s="58">
        <f t="shared" si="383"/>
        <v>1.6910863765191689E-2</v>
      </c>
      <c r="AS36" s="58">
        <f t="shared" si="383"/>
        <v>1.6296894831845439E-2</v>
      </c>
      <c r="AT36" s="58">
        <f t="shared" ref="AT36:AZ36" si="384">+AT32/AT35</f>
        <v>1.6614325964815397E-2</v>
      </c>
      <c r="AU36" s="58">
        <f t="shared" si="384"/>
        <v>1.6879048498624347E-2</v>
      </c>
      <c r="AV36" s="58">
        <f t="shared" si="384"/>
        <v>1.7156905314839752E-2</v>
      </c>
      <c r="AW36" s="58">
        <f t="shared" si="384"/>
        <v>1.8234032408258438E-2</v>
      </c>
      <c r="AX36" s="58">
        <f t="shared" si="384"/>
        <v>1.9618683762788296E-2</v>
      </c>
      <c r="AY36" s="58">
        <f t="shared" si="384"/>
        <v>2.1196257131832832E-2</v>
      </c>
      <c r="AZ36" s="58">
        <f t="shared" si="384"/>
        <v>2.2186109811451086E-2</v>
      </c>
      <c r="BA36" s="58">
        <f t="shared" ref="BA36:BG36" si="385">+BA32/BA35</f>
        <v>2.3045320993520108E-2</v>
      </c>
      <c r="BB36" s="58">
        <f t="shared" si="385"/>
        <v>2.247598598728252E-2</v>
      </c>
      <c r="BC36" s="58">
        <f t="shared" si="385"/>
        <v>2.2280683038032347E-2</v>
      </c>
      <c r="BD36" s="58">
        <f t="shared" si="385"/>
        <v>2.1489408324729474E-2</v>
      </c>
      <c r="BE36" s="58">
        <f t="shared" si="385"/>
        <v>2.2871128839164621E-2</v>
      </c>
      <c r="BF36" s="58">
        <f t="shared" si="385"/>
        <v>2.4677528544765799E-2</v>
      </c>
      <c r="BG36" s="58">
        <f t="shared" si="385"/>
        <v>2.610078399777508E-2</v>
      </c>
      <c r="BH36" s="58">
        <f t="shared" ref="BH36:BM36" si="386">+BH32/BH35</f>
        <v>2.8332678433797165E-2</v>
      </c>
      <c r="BI36" s="58">
        <f t="shared" si="386"/>
        <v>3.0368010285807934E-2</v>
      </c>
      <c r="BJ36" s="58">
        <f t="shared" si="386"/>
        <v>3.1520383964253676E-2</v>
      </c>
      <c r="BK36" s="58">
        <f t="shared" si="386"/>
        <v>3.2728220734465227E-2</v>
      </c>
      <c r="BL36" s="58">
        <f t="shared" si="386"/>
        <v>3.2274376746307405E-2</v>
      </c>
      <c r="BM36" s="58">
        <f t="shared" si="386"/>
        <v>3.103395227880236E-2</v>
      </c>
      <c r="BN36" s="58">
        <f t="shared" ref="BN36:BS36" si="387">+BN32/BN35</f>
        <v>2.954858799699896E-2</v>
      </c>
      <c r="BO36" s="58">
        <f t="shared" si="387"/>
        <v>2.7770473784808448E-2</v>
      </c>
      <c r="BP36" s="58">
        <f t="shared" si="387"/>
        <v>2.8534546458983057E-2</v>
      </c>
      <c r="BQ36" s="58">
        <f t="shared" si="387"/>
        <v>2.8336822555979909E-2</v>
      </c>
      <c r="BR36" s="58">
        <f t="shared" si="387"/>
        <v>2.7553049077141973E-2</v>
      </c>
      <c r="BS36" s="58">
        <f t="shared" si="387"/>
        <v>2.7064206843144725E-2</v>
      </c>
      <c r="BT36" s="58">
        <f t="shared" ref="BT36:CB36" si="388">+BT32/BT35</f>
        <v>2.6561059975293885E-2</v>
      </c>
      <c r="BU36" s="58">
        <f t="shared" si="388"/>
        <v>2.7814151502875261E-2</v>
      </c>
      <c r="BV36" s="58">
        <f t="shared" si="388"/>
        <v>2.7316038688226522E-2</v>
      </c>
      <c r="BW36" s="58">
        <f t="shared" si="388"/>
        <v>2.7607273192088611E-2</v>
      </c>
      <c r="BX36" s="58">
        <f t="shared" si="388"/>
        <v>2.8688789295235072E-2</v>
      </c>
      <c r="BY36" s="58">
        <f t="shared" si="388"/>
        <v>2.8082808932432243E-2</v>
      </c>
      <c r="BZ36" s="58">
        <f t="shared" si="388"/>
        <v>2.5953247346181155E-2</v>
      </c>
      <c r="CA36" s="58">
        <f t="shared" si="388"/>
        <v>2.5162295843894195E-2</v>
      </c>
      <c r="CB36" s="58">
        <f t="shared" si="388"/>
        <v>2.5556452698383258E-2</v>
      </c>
      <c r="CC36" s="58">
        <f t="shared" ref="CC36:CH36" si="389">+CC32/CC35</f>
        <v>2.5400661467842141E-2</v>
      </c>
      <c r="CD36" s="58">
        <f t="shared" si="389"/>
        <v>2.5573006388970084E-2</v>
      </c>
      <c r="CE36" s="58">
        <f t="shared" si="389"/>
        <v>2.6252937766840852E-2</v>
      </c>
      <c r="CF36" s="58">
        <f t="shared" si="389"/>
        <v>2.5453774976092917E-2</v>
      </c>
      <c r="CG36" s="58">
        <f t="shared" si="389"/>
        <v>2.5980512893708486E-2</v>
      </c>
      <c r="CH36" s="58">
        <f t="shared" si="389"/>
        <v>2.4063434266655817E-2</v>
      </c>
      <c r="CI36" s="58">
        <f t="shared" ref="CI36:CJ36" si="390">+CI32/CI35</f>
        <v>2.4233095037108219E-2</v>
      </c>
      <c r="CJ36" s="58">
        <f t="shared" si="390"/>
        <v>2.4203558939447981E-2</v>
      </c>
      <c r="CK36" s="58">
        <f t="shared" ref="CK36:CL36" si="391">+CK32/CK35</f>
        <v>2.3298639824886731E-2</v>
      </c>
      <c r="CL36" s="58">
        <f t="shared" si="391"/>
        <v>2.3593392569483639E-2</v>
      </c>
      <c r="CM36" s="58">
        <f t="shared" ref="CM36:CN36" si="392">+CM32/CM35</f>
        <v>2.3590961057820648E-2</v>
      </c>
      <c r="CN36" s="58">
        <f t="shared" si="392"/>
        <v>2.3803671084584879E-2</v>
      </c>
      <c r="CO36" s="58">
        <f t="shared" ref="CO36:CP36" si="393">+CO32/CO35</f>
        <v>2.5204402517791064E-2</v>
      </c>
      <c r="CP36" s="58">
        <f t="shared" si="393"/>
        <v>2.487690535533274E-2</v>
      </c>
      <c r="CQ36" s="58">
        <f t="shared" ref="CQ36:CR36" si="394">+CQ32/CQ35</f>
        <v>2.6071329116513935E-2</v>
      </c>
      <c r="CR36" s="58">
        <f t="shared" si="394"/>
        <v>2.5680057212094012E-2</v>
      </c>
      <c r="CS36" s="58">
        <f t="shared" ref="CS36:CT36" si="395">+CS32/CS35</f>
        <v>2.5943853131847126E-2</v>
      </c>
      <c r="CT36" s="58">
        <f t="shared" si="395"/>
        <v>2.5445860997512212E-2</v>
      </c>
      <c r="CU36" s="58">
        <f t="shared" ref="CU36:CV36" si="396">+CU32/CU35</f>
        <v>2.5847281528488978E-2</v>
      </c>
      <c r="CV36" s="58">
        <f t="shared" si="396"/>
        <v>2.6042477421475731E-2</v>
      </c>
      <c r="CW36" s="58">
        <f t="shared" ref="CW36:DB36" si="397">+CW32/CW35</f>
        <v>2.5903992439489071E-2</v>
      </c>
      <c r="CX36" s="58">
        <f t="shared" si="397"/>
        <v>2.436136050374418E-2</v>
      </c>
      <c r="CY36" s="58">
        <f t="shared" si="397"/>
        <v>2.2950767234972257E-2</v>
      </c>
      <c r="CZ36" s="58">
        <f t="shared" si="397"/>
        <v>2.2935034109514751E-2</v>
      </c>
      <c r="DA36" s="58">
        <f t="shared" si="397"/>
        <v>2.3769228484295631E-2</v>
      </c>
      <c r="DB36" s="58">
        <f t="shared" si="397"/>
        <v>2.3955629444614053E-2</v>
      </c>
      <c r="DC36" s="58">
        <f t="shared" ref="DC36" si="398">+DC32/DC35</f>
        <v>2.3120193909703043E-2</v>
      </c>
      <c r="DD36" s="58">
        <f>+DD32/DD35</f>
        <v>2.1883741065891454E-2</v>
      </c>
      <c r="DE36" s="58">
        <f>+DE32/DE35</f>
        <v>2.1936950167983943E-2</v>
      </c>
      <c r="DF36" s="58">
        <f>+DF32/DF35</f>
        <v>2.077862630056319E-2</v>
      </c>
      <c r="DG36" s="58">
        <f>+DG32/DG35</f>
        <v>2.1740966691762769E-2</v>
      </c>
    </row>
    <row r="37" spans="1:111" s="4" customFormat="1" ht="17.25" customHeight="1">
      <c r="A37" s="813" t="s">
        <v>11</v>
      </c>
      <c r="B37" s="832" t="s">
        <v>19</v>
      </c>
      <c r="C37" s="833"/>
      <c r="D37" s="98">
        <f>+AKPK!AD68/1000</f>
        <v>702.73559999999998</v>
      </c>
      <c r="E37" s="98">
        <f>+AKPK!AE68/1000</f>
        <v>488.29059999999998</v>
      </c>
      <c r="F37" s="55">
        <f>+[2]AKPK!AF68/1000</f>
        <v>500.10300000000001</v>
      </c>
      <c r="G37" s="55">
        <f>+[2]AKPK!AG68/1000</f>
        <v>589.81899999999996</v>
      </c>
      <c r="H37" s="55">
        <f>+[2]AKPK!AH68/1000</f>
        <v>546.09550000000002</v>
      </c>
      <c r="I37" s="55">
        <f>+[2]AKPK!AI68/1000</f>
        <v>532.428</v>
      </c>
      <c r="J37" s="55">
        <f>+[2]AKPK!AJ68/1000</f>
        <v>752.52449999999999</v>
      </c>
      <c r="K37" s="55">
        <f>+[2]AKPK!AK68/1000</f>
        <v>605.4</v>
      </c>
      <c r="L37" s="55">
        <f>+[2]AKPK!AL68/1000</f>
        <v>681.27300000000002</v>
      </c>
      <c r="M37" s="55">
        <f>+[2]AKPK!AM68/1000</f>
        <v>506.98200000000003</v>
      </c>
      <c r="N37" s="55">
        <f>+[2]AKPK!AN68/1000</f>
        <v>958.35299999999995</v>
      </c>
      <c r="O37" s="55">
        <f>+[2]AKPK!AO68/1000</f>
        <v>889.96569999999997</v>
      </c>
      <c r="P37" s="55">
        <f>+[2]AKPK!AP68/1000</f>
        <v>762.62549999999999</v>
      </c>
      <c r="Q37" s="55">
        <f>+[2]AKPK!AQ68/1000</f>
        <v>640.99400000000003</v>
      </c>
      <c r="R37" s="55">
        <f>+AKPK!AR68/1000</f>
        <v>701.32799999999997</v>
      </c>
      <c r="S37" s="55">
        <f>+AKPK!AS68/1000</f>
        <v>935.14300000000003</v>
      </c>
      <c r="T37" s="55">
        <f>+AKPK!AT68/1000</f>
        <v>958.59280000000001</v>
      </c>
      <c r="U37" s="55">
        <f>+AKPK!AU68/1000</f>
        <v>776.72789</v>
      </c>
      <c r="V37" s="55">
        <f>+AKPK!AV68/1000</f>
        <v>913.21950000000004</v>
      </c>
      <c r="W37" s="55">
        <f>+AKPK!AW68/1000</f>
        <v>909.59500000000003</v>
      </c>
      <c r="X37" s="55">
        <f>+AKPK!AX68/1000</f>
        <v>952.69590000000005</v>
      </c>
      <c r="Y37" s="55">
        <f>+AKPK!AY68/1000</f>
        <v>499.39787999999999</v>
      </c>
      <c r="Z37" s="55">
        <f>+AKPK!AZ68/1000</f>
        <v>1155.4280000000001</v>
      </c>
      <c r="AA37" s="55">
        <f>+AKPK!BA68/1000</f>
        <v>853.49350000000004</v>
      </c>
      <c r="AB37" s="55">
        <f>+AKPK!BB68/1000</f>
        <v>1266.645</v>
      </c>
      <c r="AC37" s="55">
        <f>+AKPK!BC68/1000</f>
        <v>1122.6904999999999</v>
      </c>
      <c r="AD37" s="55">
        <f>+AKPK!BD68/1000</f>
        <v>1335.7347500000001</v>
      </c>
      <c r="AE37" s="55">
        <f>+AKPK!BE68/1000</f>
        <v>1160.3989999999999</v>
      </c>
      <c r="AF37" s="55">
        <f>+AKPK!BF68/1000</f>
        <v>1212.8785</v>
      </c>
      <c r="AG37" s="55">
        <f>+AKPK!BG68/1000</f>
        <v>1044.1357</v>
      </c>
      <c r="AH37" s="55">
        <f>+AKPK!BH68/1000</f>
        <v>802.88569999999993</v>
      </c>
      <c r="AI37" s="55">
        <f>+AKPK!BI68/1000</f>
        <v>969.43899999999996</v>
      </c>
      <c r="AJ37" s="55">
        <f>+AKPK!BJ68/1000</f>
        <v>1125.3399999999999</v>
      </c>
      <c r="AK37" s="55">
        <f>+AKPK!BK68/1000</f>
        <v>923.50850000000003</v>
      </c>
      <c r="AL37" s="55">
        <f>+AKPK!BL68/1000</f>
        <v>1101.8575000000001</v>
      </c>
      <c r="AM37" s="55">
        <f>+AKPK!BM68/1000</f>
        <v>769.92700000000002</v>
      </c>
      <c r="AN37" s="55">
        <f>+AKPK!BN68/1000</f>
        <v>1270.87925</v>
      </c>
      <c r="AO37" s="55">
        <f>+AKPK!BO68/1000</f>
        <v>1226.2755</v>
      </c>
      <c r="AP37" s="55">
        <f>+AKPK!BP68/1000</f>
        <v>1351.3665000000001</v>
      </c>
      <c r="AQ37" s="55">
        <f>+AKPK!BQ68/1000</f>
        <v>1465.4974999999999</v>
      </c>
      <c r="AR37" s="55">
        <f>+AKPK!BR68/1000</f>
        <v>1515.778</v>
      </c>
      <c r="AS37" s="55">
        <f>+AKPK!BS68/1000</f>
        <v>1532.8710000000001</v>
      </c>
      <c r="AT37" s="55">
        <f>+AKPK!BT68/1000</f>
        <v>1476.0651</v>
      </c>
      <c r="AU37" s="55">
        <f>+AKPK!BU68/1000</f>
        <v>1375.6849999999999</v>
      </c>
      <c r="AV37" s="55">
        <f>+AKPK!BV68/1000</f>
        <v>1615.7788999999998</v>
      </c>
      <c r="AW37" s="55">
        <f>+AKPK!BW68/1000</f>
        <v>1048.1821</v>
      </c>
      <c r="AX37" s="55">
        <f>+AKPK!BX68/1000</f>
        <v>1762.66175</v>
      </c>
      <c r="AY37" s="55">
        <f>+AKPK!BY68/1000</f>
        <v>1207.3685</v>
      </c>
      <c r="AZ37" s="55">
        <f>+AKPK!BZ68/1000</f>
        <v>1980.1959999999999</v>
      </c>
      <c r="BA37" s="55">
        <f>+AKPK!CA68/1000</f>
        <v>1939.1248000000001</v>
      </c>
      <c r="BB37" s="55">
        <f>+AKPK!CB68/1000</f>
        <v>2229.9909400000001</v>
      </c>
      <c r="BC37" s="55">
        <f>+AKPK!CC68/1000</f>
        <v>1369.2615000000001</v>
      </c>
      <c r="BD37" s="55">
        <f>+AKPK!CD68/1000</f>
        <v>1869.953</v>
      </c>
      <c r="BE37" s="55">
        <f>+AKPK!CE68/1000</f>
        <v>1622.9514999999999</v>
      </c>
      <c r="BF37" s="55">
        <f>+AKPK!CF68/1000</f>
        <v>1899.78862</v>
      </c>
      <c r="BG37" s="55">
        <f>+AKPK!CG68/1000</f>
        <v>1996.3810000000001</v>
      </c>
      <c r="BH37" s="55">
        <f>+AKPK!CH68/1000</f>
        <v>1089.4275</v>
      </c>
      <c r="BI37" s="55">
        <f>+AKPK!CI68/1000</f>
        <v>1712.5638100000001</v>
      </c>
      <c r="BJ37" s="55">
        <f>+AKPK!CJ68/1000</f>
        <v>2010.3948</v>
      </c>
      <c r="BK37" s="55">
        <f>+AKPK!CK68/1000</f>
        <v>1980.5719999999999</v>
      </c>
      <c r="BL37" s="55">
        <f>+AKPK!CL68/1000</f>
        <v>3441.3235</v>
      </c>
      <c r="BM37" s="55">
        <f>+AKPK!CM68/1000</f>
        <v>4013.2248</v>
      </c>
      <c r="BN37" s="55">
        <f>+AKPK!CN68/1000</f>
        <v>3720.5796500000001</v>
      </c>
      <c r="BO37" s="55">
        <f>+AKPK!CO68/1000</f>
        <v>3318.9810000000002</v>
      </c>
      <c r="BP37" s="55">
        <f>+AKPK!CP68/1000</f>
        <v>4087.8521700000001</v>
      </c>
      <c r="BQ37" s="55">
        <f>+AKPK!CQ68/1000</f>
        <v>5236.5533499999992</v>
      </c>
      <c r="BR37" s="55">
        <f>+AKPK!CR68/1000</f>
        <v>4377.7122499999996</v>
      </c>
      <c r="BS37" s="55">
        <f>+AKPK!CS68/1000</f>
        <v>4757.1584599999987</v>
      </c>
      <c r="BT37" s="55">
        <f>+AKPK!CT68/1000</f>
        <v>3723.5338800000009</v>
      </c>
      <c r="BU37" s="55">
        <f>+AKPK!CU68/1000</f>
        <v>3131.2916900000005</v>
      </c>
      <c r="BV37" s="55">
        <f>+AKPK!CV68/1000</f>
        <v>3878.068950000004</v>
      </c>
      <c r="BW37" s="55">
        <f>+AKPK!CW68/1000</f>
        <v>3543.225940000003</v>
      </c>
      <c r="BX37" s="55">
        <f>+AKPK!CX68/1000</f>
        <v>2881.3300600000066</v>
      </c>
      <c r="BY37" s="55">
        <f>+AKPK!CY68/1000</f>
        <v>5429.2218200000052</v>
      </c>
      <c r="BZ37" s="55">
        <f>+AKPK!CZ68/1000</f>
        <v>1472.8276100000094</v>
      </c>
      <c r="CA37" s="55">
        <f>+AKPK!DA68/1000</f>
        <v>2292.7225300000041</v>
      </c>
      <c r="CB37" s="55">
        <f>+AKPK!DB68/1000</f>
        <v>2261.6611200000048</v>
      </c>
      <c r="CC37" s="55">
        <f>+AKPK!DC68/1000</f>
        <v>2072.441240000006</v>
      </c>
      <c r="CD37" s="55">
        <f>+AKPK!DD68/1000</f>
        <v>2057.9976300000048</v>
      </c>
      <c r="CE37" s="55">
        <f>+AKPK!DE68/1000</f>
        <v>1906.2970100000052</v>
      </c>
      <c r="CF37" s="55">
        <f>+AKPK!DF68/1000</f>
        <v>2327.7010600000053</v>
      </c>
      <c r="CG37" s="55">
        <f>+AKPK!DG68/1000</f>
        <v>1836.7275700000032</v>
      </c>
      <c r="CH37" s="55">
        <f>+AKPK!DH68/1000</f>
        <v>1859.1112200000066</v>
      </c>
      <c r="CI37" s="55">
        <f>+AKPK!DI68/1000</f>
        <v>1828.2412000000056</v>
      </c>
      <c r="CJ37" s="55">
        <f>+AKPK!DJ68/1000</f>
        <v>1647.1250900000059</v>
      </c>
      <c r="CK37" s="55">
        <f>+AKPK!DK68/1000</f>
        <v>1700.5100900000025</v>
      </c>
      <c r="CL37" s="55">
        <f>+AKPK!DL68/1000</f>
        <v>1669.3357200000032</v>
      </c>
      <c r="CM37" s="55">
        <f>+AKPK!DM68/1000</f>
        <v>1507.7554000000032</v>
      </c>
      <c r="CN37" s="55">
        <f>+AKPK!DN68/1000</f>
        <v>1648.7355000000082</v>
      </c>
      <c r="CO37" s="55">
        <f>+AKPK!DO68/1000</f>
        <v>1391.3368500000024</v>
      </c>
      <c r="CP37" s="55">
        <f>+AKPK!DP68/1000</f>
        <v>1470.7719800000045</v>
      </c>
      <c r="CQ37" s="55">
        <f>+AKPK!DQ68/1000</f>
        <v>1575.1638000000053</v>
      </c>
      <c r="CR37" s="55">
        <f>+AKPK!DR68/1000</f>
        <v>1657.7880700000069</v>
      </c>
      <c r="CS37" s="55">
        <f>+AKPK!DS68/1000</f>
        <v>1829.3750800000062</v>
      </c>
      <c r="CT37" s="55">
        <f>+AKPK!DT68/1000</f>
        <v>1986.3320600000086</v>
      </c>
      <c r="CU37" s="55">
        <f>+AKPK!DU68/1000</f>
        <v>1676.5142299999991</v>
      </c>
      <c r="CV37" s="55">
        <f>+AKPK!DV68/1000</f>
        <v>1698.9316500000061</v>
      </c>
      <c r="CW37" s="55">
        <f>+AKPK!DW68/1000</f>
        <v>1784.0079500000086</v>
      </c>
      <c r="CX37" s="55">
        <f>+AKPK!DX68/1000</f>
        <v>1804.8401100000067</v>
      </c>
      <c r="CY37" s="55">
        <f>+AKPK!DY68/1000</f>
        <v>2001.5744500000092</v>
      </c>
      <c r="CZ37" s="55">
        <f>+AKPK!DZ68/1000</f>
        <v>1659.8155100000067</v>
      </c>
      <c r="DA37" s="55">
        <f>+AKPK!EA68/1000</f>
        <v>1716.8417000000081</v>
      </c>
      <c r="DB37" s="55">
        <f>+AKPK!EB68/1000</f>
        <v>1567.3000300000062</v>
      </c>
      <c r="DC37" s="55">
        <f>+AKPK!EC68/1000</f>
        <v>1393.4991000000066</v>
      </c>
      <c r="DD37" s="55">
        <f>+AKPK!ED68/1000</f>
        <v>1437.1250800000068</v>
      </c>
      <c r="DE37" s="55">
        <f>+AKPK!EE68/1000</f>
        <v>1481.2254300000075</v>
      </c>
      <c r="DF37" s="55">
        <f>+AKPK!EF68/1000</f>
        <v>1542.0691700000068</v>
      </c>
      <c r="DG37" s="55">
        <f>+AKPK!EG68/1000</f>
        <v>1871.1192000000071</v>
      </c>
    </row>
    <row r="38" spans="1:111" s="4" customFormat="1" ht="17.25" customHeight="1">
      <c r="A38" s="807"/>
      <c r="B38" s="823" t="s">
        <v>20</v>
      </c>
      <c r="C38" s="824"/>
      <c r="D38" s="98">
        <f>+AKPK!AD70/1000</f>
        <v>520.82650000000001</v>
      </c>
      <c r="E38" s="98">
        <f>+AKPK!AE70/1000</f>
        <v>772.52249000000018</v>
      </c>
      <c r="F38" s="55">
        <f>+[2]AKPK!AF70/1000</f>
        <v>429.12054999999981</v>
      </c>
      <c r="G38" s="55">
        <f>+[2]AKPK!AG70/1000</f>
        <v>506.48750000000001</v>
      </c>
      <c r="H38" s="55">
        <f>+[2]AKPK!AH70/1000</f>
        <v>398.54950000000002</v>
      </c>
      <c r="I38" s="55">
        <f>+[2]AKPK!AI70/1000</f>
        <v>1104.6489999999999</v>
      </c>
      <c r="J38" s="55">
        <f>+[2]AKPK!AJ70/1000</f>
        <v>588.42795999999998</v>
      </c>
      <c r="K38" s="55">
        <f>+[2]AKPK!AK70/1000</f>
        <v>630.29449000000022</v>
      </c>
      <c r="L38" s="55">
        <f>+[2]AKPK!AL70/1000</f>
        <v>1220.0189199999897</v>
      </c>
      <c r="M38" s="55">
        <f>+[2]AKPK!AM70/1000</f>
        <v>1175.0688700000098</v>
      </c>
      <c r="N38" s="55">
        <f>+[2]AKPK!AN70/1000</f>
        <v>563.43128999999999</v>
      </c>
      <c r="O38" s="55">
        <f>+[2]AKPK!AO70/1000</f>
        <v>375.77508000000051</v>
      </c>
      <c r="P38" s="55">
        <f>+[2]AKPK!AP70/1000</f>
        <v>960.88979999999981</v>
      </c>
      <c r="Q38" s="55">
        <f>+[2]AKPK!AQ70/1000</f>
        <v>1563.4492800000003</v>
      </c>
      <c r="R38" s="55">
        <f>+AKPK!AR70/1000</f>
        <v>1142.35754</v>
      </c>
      <c r="S38" s="55">
        <f>+AKPK!AS70/1000</f>
        <v>743.38335999999936</v>
      </c>
      <c r="T38" s="55">
        <f>+AKPK!AT70/1000</f>
        <v>863.2434199999999</v>
      </c>
      <c r="U38" s="55">
        <f>+AKPK!AU70/1000</f>
        <v>885.81878000000029</v>
      </c>
      <c r="V38" s="55">
        <f>+AKPK!AV70/1000</f>
        <v>871.76614999999947</v>
      </c>
      <c r="W38" s="55">
        <f>+AKPK!AW70/1000</f>
        <v>1163.9610600000005</v>
      </c>
      <c r="X38" s="55">
        <f>+AKPK!AX70/1000</f>
        <v>1043.8130899999999</v>
      </c>
      <c r="Y38" s="55">
        <f>+AKPK!AY70/1000</f>
        <v>1093.2609400000003</v>
      </c>
      <c r="Z38" s="55">
        <f>+AKPK!AZ70/1000</f>
        <v>1197.1406899999995</v>
      </c>
      <c r="AA38" s="55">
        <f>+AKPK!BA70/1000</f>
        <v>1369.2936400000006</v>
      </c>
      <c r="AB38" s="55">
        <f>+AKPK!BB70/1000</f>
        <v>1200.3027500000001</v>
      </c>
      <c r="AC38" s="55">
        <f>+AKPK!BC70/1000</f>
        <v>1108.4430499999999</v>
      </c>
      <c r="AD38" s="55">
        <f>+AKPK!BD70/1000</f>
        <v>1084.9238700000001</v>
      </c>
      <c r="AE38" s="55">
        <f>+AKPK!BE70/1000</f>
        <v>1029.69013</v>
      </c>
      <c r="AF38" s="55">
        <f>+AKPK!BF70/1000</f>
        <v>1225.3663399999998</v>
      </c>
      <c r="AG38" s="55">
        <f>+AKPK!BG70/1000</f>
        <v>1156.7788899999996</v>
      </c>
      <c r="AH38" s="55">
        <f>+AKPK!BH70/1000</f>
        <v>1181.513670000001</v>
      </c>
      <c r="AI38" s="55">
        <f>+AKPK!BI70/1000</f>
        <v>1381.08491</v>
      </c>
      <c r="AJ38" s="55">
        <f>+AKPK!BJ70/1000</f>
        <v>1257.8630099999998</v>
      </c>
      <c r="AK38" s="55">
        <f>+AKPK!BK70/1000</f>
        <v>1621.0550000000001</v>
      </c>
      <c r="AL38" s="55">
        <f>+AKPK!BL70/1000</f>
        <v>1308.1389500000002</v>
      </c>
      <c r="AM38" s="55">
        <f>+AKPK!BM70/1000</f>
        <v>1907.7903599999995</v>
      </c>
      <c r="AN38" s="55">
        <f>+AKPK!BN70/1000</f>
        <v>1301.2725899999998</v>
      </c>
      <c r="AO38" s="55">
        <f>+AKPK!BO70/1000</f>
        <v>1377.7800999999997</v>
      </c>
      <c r="AP38" s="55">
        <f>+AKPK!BP70/1000</f>
        <v>1344.8380100000015</v>
      </c>
      <c r="AQ38" s="55">
        <f>+AKPK!BQ70/1000</f>
        <v>1344.1391799999979</v>
      </c>
      <c r="AR38" s="55">
        <f>+AKPK!BR70/1000</f>
        <v>1109.8084100000019</v>
      </c>
      <c r="AS38" s="55">
        <f>+AKPK!BS70/1000</f>
        <v>1036.9787899999992</v>
      </c>
      <c r="AT38" s="55">
        <f>+AKPK!BT70/1000</f>
        <v>1500.9924399999995</v>
      </c>
      <c r="AU38" s="55">
        <f>+AKPK!BU70/1000</f>
        <v>1675.0132600000015</v>
      </c>
      <c r="AV38" s="55">
        <f>+AKPK!BV70/1000</f>
        <v>1780.7789899999993</v>
      </c>
      <c r="AW38" s="55">
        <f>+AKPK!BW70/1000</f>
        <v>1726.352370000001</v>
      </c>
      <c r="AX38" s="55">
        <f>+AKPK!BX70/1000</f>
        <v>2517.6666600000003</v>
      </c>
      <c r="AY38" s="55">
        <f>+AKPK!BY70/1000</f>
        <v>2410.8179799999984</v>
      </c>
      <c r="AZ38" s="55">
        <f>+AKPK!BZ70/1000</f>
        <v>2659.1384499999995</v>
      </c>
      <c r="BA38" s="55">
        <f>+AKPK!CA70/1000</f>
        <v>2100.7140000000018</v>
      </c>
      <c r="BB38" s="55">
        <f>+AKPK!CB70/1000</f>
        <v>1746.5262899999991</v>
      </c>
      <c r="BC38" s="55">
        <f>+AKPK!CC70/1000</f>
        <v>1932.458540000001</v>
      </c>
      <c r="BD38" s="55">
        <f>+AKPK!CD70/1000</f>
        <v>2345.0718599999996</v>
      </c>
      <c r="BE38" s="55">
        <f>+AKPK!CE70/1000</f>
        <v>2585.9027100000008</v>
      </c>
      <c r="BF38" s="55">
        <f>+AKPK!CF70/1000</f>
        <v>2945.4232099999972</v>
      </c>
      <c r="BG38" s="55">
        <f>+AKPK!CG70/1000</f>
        <v>3160.887549999999</v>
      </c>
      <c r="BH38" s="55">
        <f>+AKPK!CH70/1000</f>
        <v>3355.5790299999994</v>
      </c>
      <c r="BI38" s="55">
        <f>+AKPK!CI70/1000</f>
        <v>3323.2094499999994</v>
      </c>
      <c r="BJ38" s="55">
        <f>+AKPK!CJ70/1000</f>
        <v>4106.8320799999983</v>
      </c>
      <c r="BK38" s="55">
        <f>+AKPK!CK70/1000</f>
        <v>4451.6114499999994</v>
      </c>
      <c r="BL38" s="55">
        <f>+AKPK!CL70/1000</f>
        <v>3867.1861799999997</v>
      </c>
      <c r="BM38" s="55">
        <f>+AKPK!CM70/1000</f>
        <v>3752.4250100000054</v>
      </c>
      <c r="BN38" s="55">
        <f>+AKPK!CN70/1000</f>
        <v>3363.8697199999951</v>
      </c>
      <c r="BO38" s="55">
        <f>+AKPK!CO70/1000</f>
        <v>3635.7208200000041</v>
      </c>
      <c r="BP38" s="55">
        <f>+AKPK!CP70/1000</f>
        <v>4633.1166600000006</v>
      </c>
      <c r="BQ38" s="55">
        <f>+AKPK!CQ70/1000</f>
        <v>3488.7435599999985</v>
      </c>
      <c r="BR38" s="55">
        <f>+AKPK!CR70/1000</f>
        <v>2404.4710500000006</v>
      </c>
      <c r="BS38" s="55">
        <f>+AKPK!CS70/1000</f>
        <v>3524.9730299999974</v>
      </c>
      <c r="BT38" s="55">
        <f>+AKPK!CT70/1000</f>
        <v>3227.3906100000031</v>
      </c>
      <c r="BU38" s="55">
        <f>+AKPK!CU70/1000</f>
        <v>2665.0853799999954</v>
      </c>
      <c r="BV38" s="55">
        <f>+AKPK!CV70/1000</f>
        <v>2833.3981100000069</v>
      </c>
      <c r="BW38" s="55">
        <f>+AKPK!CW70/1000</f>
        <v>2679.7424500000066</v>
      </c>
      <c r="BX38" s="55">
        <f>+AKPK!CX70/1000</f>
        <v>2547.921020000007</v>
      </c>
      <c r="BY38" s="55">
        <f>+AKPK!CY70/1000</f>
        <v>3615.0196400000063</v>
      </c>
      <c r="BZ38" s="55">
        <f>+AKPK!CZ70/1000</f>
        <v>-613.47202999999183</v>
      </c>
      <c r="CA38" s="55">
        <f>+AKPK!DA70/1000</f>
        <v>1446.7561700000037</v>
      </c>
      <c r="CB38" s="55">
        <f>+AKPK!DB70/1000</f>
        <v>2087.5144900000059</v>
      </c>
      <c r="CC38" s="55">
        <f>+AKPK!DC70/1000</f>
        <v>1553.2812500000036</v>
      </c>
      <c r="CD38" s="55">
        <f>+AKPK!DD70/1000</f>
        <v>2053.8101100000067</v>
      </c>
      <c r="CE38" s="55">
        <f>+AKPK!DE70/1000</f>
        <v>1970.7000000000037</v>
      </c>
      <c r="CF38" s="55">
        <f>+AKPK!DF70/1000</f>
        <v>1513.9400900000035</v>
      </c>
      <c r="CG38" s="55">
        <f>+AKPK!DG70/1000</f>
        <v>2071.6078500000035</v>
      </c>
      <c r="CH38" s="55">
        <f>+AKPK!DH70/1000</f>
        <v>1115.5370100000055</v>
      </c>
      <c r="CI38" s="55">
        <f>+AKPK!DI70/1000</f>
        <v>1890.2991800000073</v>
      </c>
      <c r="CJ38" s="55">
        <f>+AKPK!DJ70/1000</f>
        <v>1518.1230500000063</v>
      </c>
      <c r="CK38" s="55">
        <f>+AKPK!DK70/1000</f>
        <v>1268.9014299999997</v>
      </c>
      <c r="CL38" s="55">
        <f>+AKPK!DL70/1000</f>
        <v>1523.9980099999998</v>
      </c>
      <c r="CM38" s="55">
        <f>+AKPK!DM70/1000</f>
        <v>1485.6588600000032</v>
      </c>
      <c r="CN38" s="55">
        <f>+AKPK!DN70/1000</f>
        <v>1474.2044600000083</v>
      </c>
      <c r="CO38" s="55">
        <f>+AKPK!DO70/1000</f>
        <v>2085.278740000002</v>
      </c>
      <c r="CP38" s="55">
        <f>+AKPK!DP70/1000</f>
        <v>1978.8908300000037</v>
      </c>
      <c r="CQ38" s="55">
        <f>+AKPK!DQ70/1000</f>
        <v>1711.4821200000067</v>
      </c>
      <c r="CR38" s="55">
        <f>+AKPK!DR70/1000</f>
        <v>1691.5649600000047</v>
      </c>
      <c r="CS38" s="55">
        <f>+AKPK!DS70/1000</f>
        <v>1712.6350700000021</v>
      </c>
      <c r="CT38" s="55">
        <f>+AKPK!DT70/1000</f>
        <v>1932.5406900000107</v>
      </c>
      <c r="CU38" s="55">
        <f>+AKPK!DU70/1000</f>
        <v>2111.2988799999971</v>
      </c>
      <c r="CV38" s="55">
        <f>+AKPK!DV70/1000</f>
        <v>1918.1759400000069</v>
      </c>
      <c r="CW38" s="55">
        <f>+AKPK!DW70/1000</f>
        <v>1477.7254200000075</v>
      </c>
      <c r="CX38" s="55">
        <f>+AKPK!DX70/1000</f>
        <v>1172.1156100000069</v>
      </c>
      <c r="CY38" s="55">
        <f>+AKPK!DY70/1000</f>
        <v>1129.0885900000092</v>
      </c>
      <c r="CZ38" s="55">
        <f>+AKPK!DZ70/1000</f>
        <v>1154.4353800000083</v>
      </c>
      <c r="DA38" s="55">
        <f>+AKPK!EA70/1000</f>
        <v>2010.8216300000065</v>
      </c>
      <c r="DB38" s="55">
        <f>+AKPK!EB70/1000</f>
        <v>1186.8143200000095</v>
      </c>
      <c r="DC38" s="55">
        <f>+AKPK!EC70/1000</f>
        <v>2181.5459200000055</v>
      </c>
      <c r="DD38" s="55">
        <f>+AKPK!ED70/1000</f>
        <v>1299.4171200000067</v>
      </c>
      <c r="DE38" s="55">
        <f>+AKPK!EE70/1000</f>
        <v>1882.764920000011</v>
      </c>
      <c r="DF38" s="55">
        <f>+AKPK!EF70/1000</f>
        <v>1599.0695000000019</v>
      </c>
      <c r="DG38" s="55">
        <f>+AKPK!EG70/1000</f>
        <v>2479.2605400000066</v>
      </c>
    </row>
    <row r="39" spans="1:111" s="4" customFormat="1" ht="17.25" customHeight="1">
      <c r="A39" s="807"/>
      <c r="B39" s="785" t="s">
        <v>21</v>
      </c>
      <c r="C39" s="786"/>
      <c r="D39" s="99">
        <v>1947.8231000000001</v>
      </c>
      <c r="E39" s="99">
        <f t="shared" ref="E39:N39" si="399">+D39+E38-E37</f>
        <v>2232.0549900000005</v>
      </c>
      <c r="F39" s="31">
        <f t="shared" si="399"/>
        <v>2161.0725400000001</v>
      </c>
      <c r="G39" s="31">
        <f t="shared" si="399"/>
        <v>2077.7410400000003</v>
      </c>
      <c r="H39" s="31">
        <f t="shared" si="399"/>
        <v>1930.1950400000005</v>
      </c>
      <c r="I39" s="31">
        <f t="shared" si="399"/>
        <v>2502.4160400000005</v>
      </c>
      <c r="J39" s="31">
        <f t="shared" si="399"/>
        <v>2338.3195000000005</v>
      </c>
      <c r="K39" s="31">
        <f t="shared" si="399"/>
        <v>2363.2139900000006</v>
      </c>
      <c r="L39" s="31">
        <f t="shared" si="399"/>
        <v>2901.9599099999905</v>
      </c>
      <c r="M39" s="31">
        <f t="shared" si="399"/>
        <v>3570.0467800000006</v>
      </c>
      <c r="N39" s="31">
        <f t="shared" si="399"/>
        <v>3175.125070000001</v>
      </c>
      <c r="O39" s="31">
        <f t="shared" ref="O39:AP39" si="400">+N39+O38-O37</f>
        <v>2660.9344500000016</v>
      </c>
      <c r="P39" s="31">
        <f t="shared" si="400"/>
        <v>2859.1987500000014</v>
      </c>
      <c r="Q39" s="31">
        <f t="shared" si="400"/>
        <v>3781.654030000002</v>
      </c>
      <c r="R39" s="31">
        <f t="shared" si="400"/>
        <v>4222.6835700000029</v>
      </c>
      <c r="S39" s="31">
        <f t="shared" si="400"/>
        <v>4030.9239300000027</v>
      </c>
      <c r="T39" s="31">
        <f t="shared" si="400"/>
        <v>3935.5745500000025</v>
      </c>
      <c r="U39" s="31">
        <f t="shared" si="400"/>
        <v>4044.6654400000025</v>
      </c>
      <c r="V39" s="31">
        <f t="shared" si="400"/>
        <v>4003.2120900000018</v>
      </c>
      <c r="W39" s="31">
        <f t="shared" si="400"/>
        <v>4257.5781500000021</v>
      </c>
      <c r="X39" s="31">
        <f t="shared" si="400"/>
        <v>4348.695340000002</v>
      </c>
      <c r="Y39" s="31">
        <f t="shared" si="400"/>
        <v>4942.5584000000017</v>
      </c>
      <c r="Z39" s="31">
        <f t="shared" si="400"/>
        <v>4984.2710900000011</v>
      </c>
      <c r="AA39" s="31">
        <f t="shared" si="400"/>
        <v>5500.0712300000014</v>
      </c>
      <c r="AB39" s="31">
        <f t="shared" si="400"/>
        <v>5433.7289800000017</v>
      </c>
      <c r="AC39" s="31">
        <f t="shared" si="400"/>
        <v>5419.4815300000018</v>
      </c>
      <c r="AD39" s="31">
        <f t="shared" si="400"/>
        <v>5168.6706500000018</v>
      </c>
      <c r="AE39" s="31">
        <f t="shared" si="400"/>
        <v>5037.9617800000015</v>
      </c>
      <c r="AF39" s="31">
        <f t="shared" si="400"/>
        <v>5050.4496200000012</v>
      </c>
      <c r="AG39" s="31">
        <f t="shared" si="400"/>
        <v>5163.092810000001</v>
      </c>
      <c r="AH39" s="31">
        <f t="shared" si="400"/>
        <v>5541.7207800000024</v>
      </c>
      <c r="AI39" s="31">
        <f t="shared" si="400"/>
        <v>5953.3666900000026</v>
      </c>
      <c r="AJ39" s="31">
        <f t="shared" si="400"/>
        <v>6085.8897000000024</v>
      </c>
      <c r="AK39" s="31">
        <f t="shared" si="400"/>
        <v>6783.4362000000028</v>
      </c>
      <c r="AL39" s="31">
        <f t="shared" si="400"/>
        <v>6989.7176500000032</v>
      </c>
      <c r="AM39" s="31">
        <f t="shared" si="400"/>
        <v>8127.5810100000035</v>
      </c>
      <c r="AN39" s="31">
        <f t="shared" si="400"/>
        <v>8157.9743500000041</v>
      </c>
      <c r="AO39" s="31">
        <f t="shared" si="400"/>
        <v>8309.4789500000043</v>
      </c>
      <c r="AP39" s="31">
        <f t="shared" si="400"/>
        <v>8302.9504600000055</v>
      </c>
      <c r="AQ39" s="31">
        <f t="shared" ref="AQ39:AZ39" si="401">+AP39+AQ38-AQ37</f>
        <v>8181.5921400000043</v>
      </c>
      <c r="AR39" s="31">
        <f t="shared" si="401"/>
        <v>7775.6225500000055</v>
      </c>
      <c r="AS39" s="31">
        <f t="shared" si="401"/>
        <v>7279.7303400000046</v>
      </c>
      <c r="AT39" s="31">
        <f t="shared" si="401"/>
        <v>7304.6576800000039</v>
      </c>
      <c r="AU39" s="31">
        <f t="shared" si="401"/>
        <v>7603.9859400000059</v>
      </c>
      <c r="AV39" s="31">
        <f t="shared" si="401"/>
        <v>7768.9860300000055</v>
      </c>
      <c r="AW39" s="31">
        <f t="shared" si="401"/>
        <v>8447.156300000006</v>
      </c>
      <c r="AX39" s="31">
        <f t="shared" si="401"/>
        <v>9202.1612100000075</v>
      </c>
      <c r="AY39" s="31">
        <f t="shared" si="401"/>
        <v>10405.610690000005</v>
      </c>
      <c r="AZ39" s="31">
        <f t="shared" si="401"/>
        <v>11084.553140000004</v>
      </c>
      <c r="BA39" s="31">
        <f t="shared" ref="BA39:BW39" si="402">+AZ39+BA38-BA37</f>
        <v>11246.142340000006</v>
      </c>
      <c r="BB39" s="31">
        <f t="shared" si="402"/>
        <v>10762.677690000006</v>
      </c>
      <c r="BC39" s="31">
        <f t="shared" si="402"/>
        <v>11325.874730000007</v>
      </c>
      <c r="BD39" s="31">
        <f t="shared" si="402"/>
        <v>11800.993590000007</v>
      </c>
      <c r="BE39" s="31">
        <f t="shared" si="402"/>
        <v>12763.944800000008</v>
      </c>
      <c r="BF39" s="31">
        <f t="shared" si="402"/>
        <v>13809.579390000006</v>
      </c>
      <c r="BG39" s="31">
        <f t="shared" si="402"/>
        <v>14974.085940000006</v>
      </c>
      <c r="BH39" s="31">
        <f t="shared" si="402"/>
        <v>17240.237470000004</v>
      </c>
      <c r="BI39" s="31">
        <f t="shared" si="402"/>
        <v>18850.883110000002</v>
      </c>
      <c r="BJ39" s="31">
        <f t="shared" si="402"/>
        <v>20947.320390000001</v>
      </c>
      <c r="BK39" s="31">
        <f t="shared" si="402"/>
        <v>23418.359840000001</v>
      </c>
      <c r="BL39" s="31">
        <f t="shared" si="402"/>
        <v>23844.222520000003</v>
      </c>
      <c r="BM39" s="31">
        <f t="shared" si="402"/>
        <v>23583.422730000009</v>
      </c>
      <c r="BN39" s="31">
        <f t="shared" si="402"/>
        <v>23226.712800000005</v>
      </c>
      <c r="BO39" s="31">
        <f t="shared" si="402"/>
        <v>23543.452620000011</v>
      </c>
      <c r="BP39" s="31">
        <f t="shared" si="402"/>
        <v>24088.717110000012</v>
      </c>
      <c r="BQ39" s="31">
        <f t="shared" si="402"/>
        <v>22340.907320000013</v>
      </c>
      <c r="BR39" s="31">
        <f t="shared" si="402"/>
        <v>20367.666120000013</v>
      </c>
      <c r="BS39" s="31">
        <f t="shared" si="402"/>
        <v>19135.480690000011</v>
      </c>
      <c r="BT39" s="31">
        <f t="shared" si="402"/>
        <v>18639.337420000011</v>
      </c>
      <c r="BU39" s="31">
        <f t="shared" si="402"/>
        <v>18173.131110000006</v>
      </c>
      <c r="BV39" s="31">
        <f t="shared" si="402"/>
        <v>17128.460270000007</v>
      </c>
      <c r="BW39" s="31">
        <f t="shared" si="402"/>
        <v>16264.976780000008</v>
      </c>
      <c r="BX39" s="31">
        <f t="shared" ref="BX39:DC39" si="403">+BW39+BX38-BX37</f>
        <v>15931.567740000006</v>
      </c>
      <c r="BY39" s="31">
        <f t="shared" si="403"/>
        <v>14117.365560000006</v>
      </c>
      <c r="BZ39" s="31">
        <f t="shared" si="403"/>
        <v>12031.065920000005</v>
      </c>
      <c r="CA39" s="31">
        <f t="shared" si="403"/>
        <v>11185.099560000004</v>
      </c>
      <c r="CB39" s="31">
        <f t="shared" si="403"/>
        <v>11010.952930000007</v>
      </c>
      <c r="CC39" s="31">
        <f t="shared" si="403"/>
        <v>10491.792940000005</v>
      </c>
      <c r="CD39" s="31">
        <f t="shared" si="403"/>
        <v>10487.605420000007</v>
      </c>
      <c r="CE39" s="31">
        <f t="shared" si="403"/>
        <v>10552.008410000006</v>
      </c>
      <c r="CF39" s="31">
        <f t="shared" si="403"/>
        <v>9738.2474400000046</v>
      </c>
      <c r="CG39" s="31">
        <f t="shared" si="403"/>
        <v>9973.1277200000059</v>
      </c>
      <c r="CH39" s="31">
        <f t="shared" si="403"/>
        <v>9229.5535100000052</v>
      </c>
      <c r="CI39" s="31">
        <f t="shared" si="403"/>
        <v>9291.6114900000066</v>
      </c>
      <c r="CJ39" s="31">
        <f t="shared" si="403"/>
        <v>9162.6094500000072</v>
      </c>
      <c r="CK39" s="31">
        <f t="shared" si="403"/>
        <v>8731.0007900000055</v>
      </c>
      <c r="CL39" s="31">
        <f t="shared" si="403"/>
        <v>8585.6630800000021</v>
      </c>
      <c r="CM39" s="31">
        <f t="shared" si="403"/>
        <v>8563.5665400000016</v>
      </c>
      <c r="CN39" s="31">
        <f t="shared" si="403"/>
        <v>8389.0355000000018</v>
      </c>
      <c r="CO39" s="31">
        <f t="shared" si="403"/>
        <v>9082.97739</v>
      </c>
      <c r="CP39" s="31">
        <f t="shared" si="403"/>
        <v>9591.0962399999989</v>
      </c>
      <c r="CQ39" s="31">
        <f t="shared" si="403"/>
        <v>9727.4145599999993</v>
      </c>
      <c r="CR39" s="31">
        <f t="shared" si="403"/>
        <v>9761.1914499999984</v>
      </c>
      <c r="CS39" s="31">
        <f t="shared" si="403"/>
        <v>9644.4514399999935</v>
      </c>
      <c r="CT39" s="31">
        <f t="shared" si="403"/>
        <v>9590.6600699999963</v>
      </c>
      <c r="CU39" s="31">
        <f t="shared" si="403"/>
        <v>10025.444719999994</v>
      </c>
      <c r="CV39" s="31">
        <f t="shared" si="403"/>
        <v>10244.689009999995</v>
      </c>
      <c r="CW39" s="31">
        <f t="shared" si="403"/>
        <v>9938.4064799999942</v>
      </c>
      <c r="CX39" s="31">
        <f t="shared" si="403"/>
        <v>9305.6819799999939</v>
      </c>
      <c r="CY39" s="31">
        <f t="shared" si="403"/>
        <v>8433.1961199999932</v>
      </c>
      <c r="CZ39" s="31">
        <f t="shared" si="403"/>
        <v>7927.8159899999946</v>
      </c>
      <c r="DA39" s="31">
        <f t="shared" si="403"/>
        <v>8221.7959199999932</v>
      </c>
      <c r="DB39" s="31">
        <f t="shared" si="403"/>
        <v>7841.310209999996</v>
      </c>
      <c r="DC39" s="31">
        <f t="shared" si="403"/>
        <v>8629.3570299999956</v>
      </c>
      <c r="DD39" s="31">
        <f>+DC39+DD38-DD37</f>
        <v>8491.6490699999958</v>
      </c>
      <c r="DE39" s="31">
        <f>+DD39+DE38-DE37</f>
        <v>8893.1885599999987</v>
      </c>
      <c r="DF39" s="31">
        <f>+DE39+DF38-DF37</f>
        <v>8950.188889999994</v>
      </c>
      <c r="DG39" s="31">
        <f>+DF39+DG38-DG37</f>
        <v>9558.3302299999941</v>
      </c>
    </row>
    <row r="40" spans="1:111" s="4" customFormat="1" ht="17.25" customHeight="1">
      <c r="A40" s="807"/>
      <c r="B40" s="819" t="s">
        <v>22</v>
      </c>
      <c r="C40" s="820"/>
      <c r="D40" s="100">
        <v>270343.25893999997</v>
      </c>
      <c r="E40" s="100">
        <v>274614.04882999999</v>
      </c>
      <c r="F40" s="56">
        <v>276000.38152</v>
      </c>
      <c r="G40" s="56">
        <v>274570.69831999997</v>
      </c>
      <c r="H40" s="56">
        <v>272944.31319000002</v>
      </c>
      <c r="I40" s="56">
        <v>274033.42584000004</v>
      </c>
      <c r="J40" s="56">
        <v>278386.16418000002</v>
      </c>
      <c r="K40" s="56">
        <v>279181.06781000004</v>
      </c>
      <c r="L40" s="56">
        <v>283566.61543000001</v>
      </c>
      <c r="M40" s="56">
        <v>291466.20587000006</v>
      </c>
      <c r="N40" s="56">
        <v>300369.9216</v>
      </c>
      <c r="O40" s="56">
        <v>305275.63200000004</v>
      </c>
      <c r="P40" s="56">
        <v>308436.18184999999</v>
      </c>
      <c r="Q40" s="56">
        <v>311416.41652999999</v>
      </c>
      <c r="R40" s="56">
        <v>311648.10578999994</v>
      </c>
      <c r="S40" s="56">
        <v>310893.94270000001</v>
      </c>
      <c r="T40" s="56">
        <v>312203.88091999997</v>
      </c>
      <c r="U40" s="56">
        <v>313231.57344999997</v>
      </c>
      <c r="V40" s="56">
        <v>317087.10764999996</v>
      </c>
      <c r="W40" s="56">
        <v>319531.99803999998</v>
      </c>
      <c r="X40" s="56">
        <v>325296.74389000004</v>
      </c>
      <c r="Y40" s="56">
        <v>334630.0687</v>
      </c>
      <c r="Z40" s="56">
        <v>337648.89863999997</v>
      </c>
      <c r="AA40" s="56">
        <v>339909.57101999997</v>
      </c>
      <c r="AB40" s="56">
        <v>340389.19094999996</v>
      </c>
      <c r="AC40" s="56">
        <v>345789.70856</v>
      </c>
      <c r="AD40" s="56">
        <v>352047.44020999997</v>
      </c>
      <c r="AE40" s="56">
        <v>353589.86682</v>
      </c>
      <c r="AF40" s="56">
        <v>359191.31449000002</v>
      </c>
      <c r="AG40" s="56">
        <v>364042.52255000005</v>
      </c>
      <c r="AH40" s="56">
        <v>371686.54572999995</v>
      </c>
      <c r="AI40" s="56">
        <v>377407.03329999995</v>
      </c>
      <c r="AJ40" s="56">
        <v>385253.04149999999</v>
      </c>
      <c r="AK40" s="56">
        <v>398923.44721000001</v>
      </c>
      <c r="AL40" s="56">
        <v>400658.76082000002</v>
      </c>
      <c r="AM40" s="56">
        <v>400856.20508999994</v>
      </c>
      <c r="AN40" s="56">
        <v>402526.47169999994</v>
      </c>
      <c r="AO40" s="56">
        <v>405462.17080000002</v>
      </c>
      <c r="AP40" s="56">
        <v>409065.39000999992</v>
      </c>
      <c r="AQ40" s="56">
        <v>410120.44754000008</v>
      </c>
      <c r="AR40" s="56">
        <v>415066.23955000006</v>
      </c>
      <c r="AS40" s="56">
        <v>421741.53112999996</v>
      </c>
      <c r="AT40" s="56">
        <v>431440.28412000003</v>
      </c>
      <c r="AU40" s="56">
        <v>441919.21001000004</v>
      </c>
      <c r="AV40" s="56">
        <v>456188.64608000009</v>
      </c>
      <c r="AW40" s="56">
        <v>467278.38988000003</v>
      </c>
      <c r="AX40" s="56">
        <v>474797.82747000002</v>
      </c>
      <c r="AY40" s="56">
        <v>484306.73790000001</v>
      </c>
      <c r="AZ40" s="56">
        <v>496841.17161000002</v>
      </c>
      <c r="BA40" s="56">
        <v>502151.91435999994</v>
      </c>
      <c r="BB40" s="56">
        <v>502758.03035000002</v>
      </c>
      <c r="BC40" s="56">
        <v>508043.15303000004</v>
      </c>
      <c r="BD40" s="56">
        <v>516147.61827000004</v>
      </c>
      <c r="BE40" s="56">
        <v>519875.80169000005</v>
      </c>
      <c r="BF40" s="56">
        <v>531239.44105000002</v>
      </c>
      <c r="BG40" s="56">
        <v>544186.84190999996</v>
      </c>
      <c r="BH40" s="56">
        <v>560550.42179000005</v>
      </c>
      <c r="BI40" s="56">
        <v>565929.79879000003</v>
      </c>
      <c r="BJ40" s="56">
        <v>566698.25092000002</v>
      </c>
      <c r="BK40" s="56">
        <v>580694.32449999999</v>
      </c>
      <c r="BL40" s="56">
        <v>578745.11191000009</v>
      </c>
      <c r="BM40" s="56">
        <v>573898.12280999997</v>
      </c>
      <c r="BN40" s="56">
        <v>558513.34477999993</v>
      </c>
      <c r="BO40" s="56">
        <v>547911.71605000005</v>
      </c>
      <c r="BP40" s="56">
        <v>538762.27975999995</v>
      </c>
      <c r="BQ40" s="56">
        <v>521082.39397999999</v>
      </c>
      <c r="BR40" s="56">
        <v>508329.16834999999</v>
      </c>
      <c r="BS40" s="56">
        <v>497807.88060000003</v>
      </c>
      <c r="BT40" s="56">
        <v>494885.64364999998</v>
      </c>
      <c r="BU40" s="56">
        <v>482805.81359999994</v>
      </c>
      <c r="BV40" s="56">
        <v>470634.87707999995</v>
      </c>
      <c r="BW40" s="56">
        <v>465088.22448999999</v>
      </c>
      <c r="BX40" s="56">
        <v>459502.03642999998</v>
      </c>
      <c r="BY40" s="56">
        <v>459796.84854000004</v>
      </c>
      <c r="BZ40" s="56">
        <v>452741.09266000002</v>
      </c>
      <c r="CA40" s="56">
        <v>444859.37325</v>
      </c>
      <c r="CB40" s="56">
        <v>438669.03457999998</v>
      </c>
      <c r="CC40" s="56">
        <v>428305.70585999999</v>
      </c>
      <c r="CD40" s="56">
        <v>423698.18166000006</v>
      </c>
      <c r="CE40" s="56">
        <v>425796.28496000002</v>
      </c>
      <c r="CF40" s="56">
        <v>423756</v>
      </c>
      <c r="CG40" s="56">
        <v>413847.2324700001</v>
      </c>
      <c r="CH40" s="56">
        <v>407747.99901000003</v>
      </c>
      <c r="CI40" s="56">
        <v>408140.47636000009</v>
      </c>
      <c r="CJ40" s="56">
        <v>405891.21713000012</v>
      </c>
      <c r="CK40" s="56">
        <v>407974.87199000001</v>
      </c>
      <c r="CL40" s="56">
        <v>408761.31639999995</v>
      </c>
      <c r="CM40" s="56">
        <v>401368.34012999997</v>
      </c>
      <c r="CN40" s="56">
        <v>404143.84606000001</v>
      </c>
      <c r="CO40" s="56">
        <v>400691.66852000001</v>
      </c>
      <c r="CP40" s="56">
        <v>406988.90917000006</v>
      </c>
      <c r="CQ40" s="56">
        <v>410434.66589000006</v>
      </c>
      <c r="CR40" s="56">
        <v>415619.36649999989</v>
      </c>
      <c r="CS40" s="56">
        <v>411135.83789000002</v>
      </c>
      <c r="CT40" s="56">
        <v>409224.96464999998</v>
      </c>
      <c r="CU40" s="56">
        <v>410506.23012999992</v>
      </c>
      <c r="CV40" s="56">
        <v>406289.29316000012</v>
      </c>
      <c r="CW40" s="56">
        <v>397714.63036000018</v>
      </c>
      <c r="CX40" s="56">
        <v>392584.07972000004</v>
      </c>
      <c r="CY40" s="56">
        <v>385063.71945000003</v>
      </c>
      <c r="CZ40" s="56">
        <v>384476.58998000005</v>
      </c>
      <c r="DA40" s="56">
        <v>383492.30853000004</v>
      </c>
      <c r="DB40" s="56">
        <v>381753.84720000008</v>
      </c>
      <c r="DC40" s="56">
        <v>375697.36035999993</v>
      </c>
      <c r="DD40" s="56">
        <v>379415.09662999999</v>
      </c>
      <c r="DE40" s="56">
        <v>375707.98705000005</v>
      </c>
      <c r="DF40" s="56">
        <v>367932.62754999998</v>
      </c>
      <c r="DG40" s="56">
        <v>362253.72471000004</v>
      </c>
    </row>
    <row r="41" spans="1:111" s="4" customFormat="1" ht="17.25" customHeight="1">
      <c r="A41" s="807"/>
      <c r="B41" s="785" t="s">
        <v>32</v>
      </c>
      <c r="C41" s="786"/>
      <c r="D41" s="101">
        <f t="shared" ref="D41:S41" si="404">+D42-D40</f>
        <v>9701.4298799993703</v>
      </c>
      <c r="E41" s="101">
        <f t="shared" si="404"/>
        <v>10352.04482000001</v>
      </c>
      <c r="F41" s="57">
        <f t="shared" si="404"/>
        <v>8723.2032799990266</v>
      </c>
      <c r="G41" s="57">
        <f t="shared" si="404"/>
        <v>9371.5094399990048</v>
      </c>
      <c r="H41" s="57">
        <f t="shared" si="404"/>
        <v>8177.3021299999673</v>
      </c>
      <c r="I41" s="57">
        <f t="shared" si="404"/>
        <v>10259.225579999969</v>
      </c>
      <c r="J41" s="57">
        <f t="shared" si="404"/>
        <v>8904.168079999974</v>
      </c>
      <c r="K41" s="57">
        <f t="shared" si="404"/>
        <v>10125.285979999986</v>
      </c>
      <c r="L41" s="57">
        <f t="shared" si="404"/>
        <v>12412.255130000005</v>
      </c>
      <c r="M41" s="57">
        <f t="shared" si="404"/>
        <v>11960.657009999908</v>
      </c>
      <c r="N41" s="57">
        <f t="shared" si="404"/>
        <v>10828.777419999999</v>
      </c>
      <c r="O41" s="57">
        <f t="shared" si="404"/>
        <v>9856.7410299999756</v>
      </c>
      <c r="P41" s="57">
        <f t="shared" si="404"/>
        <v>9937.0937699999777</v>
      </c>
      <c r="Q41" s="57">
        <f t="shared" si="404"/>
        <v>9652.7098600000027</v>
      </c>
      <c r="R41" s="57">
        <f t="shared" si="404"/>
        <v>8658.1307600000291</v>
      </c>
      <c r="S41" s="57">
        <f t="shared" si="404"/>
        <v>8348.9135099999839</v>
      </c>
      <c r="T41" s="57">
        <f t="shared" ref="T41:Y41" si="405">+T42-T40</f>
        <v>10132.539380000031</v>
      </c>
      <c r="U41" s="57">
        <f t="shared" si="405"/>
        <v>10531.547780000023</v>
      </c>
      <c r="V41" s="57">
        <f t="shared" si="405"/>
        <v>10022.57551000017</v>
      </c>
      <c r="W41" s="57">
        <f t="shared" si="405"/>
        <v>11025.398219999857</v>
      </c>
      <c r="X41" s="57">
        <f t="shared" si="405"/>
        <v>14632.955679999955</v>
      </c>
      <c r="Y41" s="57">
        <f t="shared" si="405"/>
        <v>12867.526000000187</v>
      </c>
      <c r="Z41" s="57">
        <f t="shared" ref="Z41:AE41" si="406">+Z42-Z40</f>
        <v>13985.134240000043</v>
      </c>
      <c r="AA41" s="57">
        <f t="shared" si="406"/>
        <v>11087.692380000022</v>
      </c>
      <c r="AB41" s="57">
        <f t="shared" si="406"/>
        <v>12408.291819999984</v>
      </c>
      <c r="AC41" s="57">
        <f t="shared" si="406"/>
        <v>12933.951720000012</v>
      </c>
      <c r="AD41" s="57">
        <f t="shared" si="406"/>
        <v>11149.968050000432</v>
      </c>
      <c r="AE41" s="57">
        <f t="shared" si="406"/>
        <v>12954.764110000047</v>
      </c>
      <c r="AF41" s="57">
        <f t="shared" ref="AF41:AM41" si="407">+AF42-AF40</f>
        <v>13877.059829999984</v>
      </c>
      <c r="AG41" s="57">
        <f t="shared" si="407"/>
        <v>13978.98865000013</v>
      </c>
      <c r="AH41" s="57">
        <f t="shared" si="407"/>
        <v>13475.260489999549</v>
      </c>
      <c r="AI41" s="57">
        <f t="shared" si="407"/>
        <v>13559.608960000274</v>
      </c>
      <c r="AJ41" s="57">
        <f t="shared" si="407"/>
        <v>15010.069009999745</v>
      </c>
      <c r="AK41" s="57">
        <f t="shared" si="407"/>
        <v>10393.883319999732</v>
      </c>
      <c r="AL41" s="57">
        <f t="shared" si="407"/>
        <v>11715.023850000289</v>
      </c>
      <c r="AM41" s="57">
        <f t="shared" si="407"/>
        <v>12099.50116000016</v>
      </c>
      <c r="AN41" s="57">
        <f t="shared" ref="AN41:AS41" si="408">+AN42-AN40</f>
        <v>11370.769209999999</v>
      </c>
      <c r="AO41" s="57">
        <f t="shared" si="408"/>
        <v>14970.911640000297</v>
      </c>
      <c r="AP41" s="57">
        <f t="shared" si="408"/>
        <v>15290.121339999896</v>
      </c>
      <c r="AQ41" s="57">
        <f t="shared" si="408"/>
        <v>12436.851170000271</v>
      </c>
      <c r="AR41" s="57">
        <f t="shared" si="408"/>
        <v>14135.457810000167</v>
      </c>
      <c r="AS41" s="57">
        <f t="shared" si="408"/>
        <v>16977.900419999671</v>
      </c>
      <c r="AT41" s="57">
        <f t="shared" ref="AT41:AZ41" si="409">+AT42-AT40</f>
        <v>15640.209910000267</v>
      </c>
      <c r="AU41" s="57">
        <f t="shared" si="409"/>
        <v>14885.914769999683</v>
      </c>
      <c r="AV41" s="57">
        <f t="shared" si="409"/>
        <v>13743.11501999991</v>
      </c>
      <c r="AW41" s="57">
        <f t="shared" si="409"/>
        <v>14773.291269999638</v>
      </c>
      <c r="AX41" s="57">
        <f t="shared" si="409"/>
        <v>15124.154399999359</v>
      </c>
      <c r="AY41" s="57">
        <f t="shared" si="409"/>
        <v>21505.226680000254</v>
      </c>
      <c r="AZ41" s="57">
        <f t="shared" si="409"/>
        <v>16134.064330000256</v>
      </c>
      <c r="BA41" s="57">
        <f t="shared" ref="BA41:BG41" si="410">+BA42-BA40</f>
        <v>13711.277520000469</v>
      </c>
      <c r="BB41" s="57">
        <f t="shared" si="410"/>
        <v>17167.187190000026</v>
      </c>
      <c r="BC41" s="57">
        <f t="shared" si="410"/>
        <v>25037.840304128011</v>
      </c>
      <c r="BD41" s="57">
        <f t="shared" si="410"/>
        <v>24501.369558758975</v>
      </c>
      <c r="BE41" s="57">
        <f t="shared" si="410"/>
        <v>30528.00238803</v>
      </c>
      <c r="BF41" s="57">
        <f t="shared" si="410"/>
        <v>29541.887342526927</v>
      </c>
      <c r="BG41" s="57">
        <f t="shared" si="410"/>
        <v>34691.089091161033</v>
      </c>
      <c r="BH41" s="57">
        <f t="shared" ref="BH41:BM41" si="411">+BH42-BH40</f>
        <v>29988.03139999893</v>
      </c>
      <c r="BI41" s="57">
        <f t="shared" si="411"/>
        <v>26127.29090180702</v>
      </c>
      <c r="BJ41" s="57">
        <f t="shared" si="411"/>
        <v>32949.024030689732</v>
      </c>
      <c r="BK41" s="57">
        <f t="shared" si="411"/>
        <v>27204.928543140995</v>
      </c>
      <c r="BL41" s="57">
        <f t="shared" si="411"/>
        <v>26058.595810000435</v>
      </c>
      <c r="BM41" s="57">
        <f t="shared" si="411"/>
        <v>33539.421063163085</v>
      </c>
      <c r="BN41" s="57">
        <f t="shared" ref="BN41:BS41" si="412">+BN42-BN40</f>
        <v>17355.185317588272</v>
      </c>
      <c r="BO41" s="57">
        <f t="shared" si="412"/>
        <v>38521.768903408665</v>
      </c>
      <c r="BP41" s="57">
        <f t="shared" si="412"/>
        <v>30310.87602999981</v>
      </c>
      <c r="BQ41" s="57">
        <f t="shared" si="412"/>
        <v>30420.656954143022</v>
      </c>
      <c r="BR41" s="57">
        <f t="shared" si="412"/>
        <v>26918.866869998456</v>
      </c>
      <c r="BS41" s="57">
        <f t="shared" si="412"/>
        <v>38029.183479972417</v>
      </c>
      <c r="BT41" s="57">
        <f t="shared" ref="BT41:BY41" si="413">+BT42-BT40</f>
        <v>22903.76993000065</v>
      </c>
      <c r="BU41" s="57">
        <f t="shared" si="413"/>
        <v>21766.71324000007</v>
      </c>
      <c r="BV41" s="57">
        <f t="shared" si="413"/>
        <v>24488.110170000291</v>
      </c>
      <c r="BW41" s="57">
        <f t="shared" si="413"/>
        <v>24881.082149599097</v>
      </c>
      <c r="BX41" s="57">
        <f t="shared" si="413"/>
        <v>30566.56057999999</v>
      </c>
      <c r="BY41" s="57">
        <f t="shared" si="413"/>
        <v>23177.77773929399</v>
      </c>
      <c r="BZ41" s="57">
        <f t="shared" ref="BZ41:CE41" si="414">+BZ42-BZ40</f>
        <v>17127.706507557712</v>
      </c>
      <c r="CA41" s="57">
        <f t="shared" si="414"/>
        <v>22232.507600000477</v>
      </c>
      <c r="CB41" s="57">
        <f t="shared" si="414"/>
        <v>21473.634856780642</v>
      </c>
      <c r="CC41" s="57">
        <f t="shared" si="414"/>
        <v>21961.134610001114</v>
      </c>
      <c r="CD41" s="57">
        <f t="shared" si="414"/>
        <v>25734.029562376556</v>
      </c>
      <c r="CE41" s="57">
        <f t="shared" si="414"/>
        <v>24718.085309069196</v>
      </c>
      <c r="CF41" s="57">
        <f t="shared" ref="CF41:CG41" si="415">+CF42-CF40</f>
        <v>19938.8473959291</v>
      </c>
      <c r="CG41" s="57">
        <f t="shared" si="415"/>
        <v>21307.631818055408</v>
      </c>
      <c r="CH41" s="57">
        <f t="shared" ref="CH41:CI41" si="416">+CH42-CH40</f>
        <v>22578.110799999966</v>
      </c>
      <c r="CI41" s="57">
        <f t="shared" si="416"/>
        <v>25347.53780666308</v>
      </c>
      <c r="CJ41" s="57">
        <f t="shared" ref="CJ41:CK41" si="417">+CJ42-CJ40</f>
        <v>27756.471909999847</v>
      </c>
      <c r="CK41" s="57">
        <f t="shared" si="417"/>
        <v>24426.099254722125</v>
      </c>
      <c r="CL41" s="57">
        <f t="shared" ref="CL41:CM41" si="418">+CL42-CL40</f>
        <v>21169.389980000036</v>
      </c>
      <c r="CM41" s="57">
        <f t="shared" si="418"/>
        <v>31147.270810000016</v>
      </c>
      <c r="CN41" s="57">
        <f t="shared" ref="CN41:CO41" si="419">+CN42-CN40</f>
        <v>27054.231215963722</v>
      </c>
      <c r="CO41" s="57">
        <f t="shared" si="419"/>
        <v>31927.086830001208</v>
      </c>
      <c r="CP41" s="57">
        <f t="shared" ref="CP41:CQ41" si="420">+CP42-CP40</f>
        <v>27636.545160000736</v>
      </c>
      <c r="CQ41" s="57">
        <f t="shared" si="420"/>
        <v>26910.871790000936</v>
      </c>
      <c r="CR41" s="57">
        <f t="shared" ref="CR41:CS41" si="421">+CR42-CR40</f>
        <v>20765.666790000629</v>
      </c>
      <c r="CS41" s="57">
        <f t="shared" si="421"/>
        <v>19383.496450000501</v>
      </c>
      <c r="CT41" s="57">
        <f t="shared" ref="CT41:CU41" si="422">+CT42-CT40</f>
        <v>9352.2421700000414</v>
      </c>
      <c r="CU41" s="57">
        <f t="shared" si="422"/>
        <v>8685.9687700000941</v>
      </c>
      <c r="CV41" s="57">
        <f t="shared" ref="CV41:CW41" si="423">+CV42-CV40</f>
        <v>14614.447269999888</v>
      </c>
      <c r="CW41" s="57">
        <f t="shared" si="423"/>
        <v>13859.646789999795</v>
      </c>
      <c r="CX41" s="57">
        <f t="shared" ref="CX41:CY41" si="424">+CX42-CX40</f>
        <v>11448.016289999941</v>
      </c>
      <c r="CY41" s="57">
        <f t="shared" si="424"/>
        <v>26761.727049999987</v>
      </c>
      <c r="CZ41" s="57">
        <f t="shared" ref="CZ41:DA41" si="425">+CZ42-CZ40</f>
        <v>16401.563759999932</v>
      </c>
      <c r="DA41" s="57">
        <f t="shared" si="425"/>
        <v>17692.985889999953</v>
      </c>
      <c r="DB41" s="57">
        <f t="shared" ref="DB41:DC41" si="426">+DB42-DB40</f>
        <v>15568.011079999909</v>
      </c>
      <c r="DC41" s="57">
        <f t="shared" si="426"/>
        <v>16712.799180000089</v>
      </c>
      <c r="DD41" s="57">
        <f t="shared" ref="DD41:DE41" si="427">+DD42-DD40</f>
        <v>9937.4905100000324</v>
      </c>
      <c r="DE41" s="57">
        <f t="shared" si="427"/>
        <v>2961.7206099999603</v>
      </c>
      <c r="DF41" s="57">
        <f t="shared" ref="DF41:DG41" si="428">+DF42-DF40</f>
        <v>1679.1473899999983</v>
      </c>
      <c r="DG41" s="57">
        <f t="shared" si="428"/>
        <v>-1345.0571000000346</v>
      </c>
    </row>
    <row r="42" spans="1:111" s="4" customFormat="1" ht="17.25" customHeight="1">
      <c r="A42" s="807"/>
      <c r="B42" s="804" t="s">
        <v>24</v>
      </c>
      <c r="C42" s="805"/>
      <c r="D42" s="102">
        <v>280044.68881999934</v>
      </c>
      <c r="E42" s="102">
        <v>284966.09365</v>
      </c>
      <c r="F42" s="60">
        <v>284723.58479999902</v>
      </c>
      <c r="G42" s="60">
        <v>283942.20775999897</v>
      </c>
      <c r="H42" s="60">
        <v>281121.61531999998</v>
      </c>
      <c r="I42" s="60">
        <v>284292.65142000001</v>
      </c>
      <c r="J42" s="60">
        <v>287290.33226</v>
      </c>
      <c r="K42" s="60">
        <v>289306.35379000002</v>
      </c>
      <c r="L42" s="60">
        <v>295978.87056000001</v>
      </c>
      <c r="M42" s="60">
        <v>303426.86287999997</v>
      </c>
      <c r="N42" s="60">
        <v>311198.69902</v>
      </c>
      <c r="O42" s="60">
        <v>315132.37303000002</v>
      </c>
      <c r="P42" s="60">
        <v>318373.27561999997</v>
      </c>
      <c r="Q42" s="60">
        <v>321069.12638999999</v>
      </c>
      <c r="R42" s="60">
        <v>320306.23654999997</v>
      </c>
      <c r="S42" s="60">
        <v>319242.85621</v>
      </c>
      <c r="T42" s="60">
        <v>322336.4203</v>
      </c>
      <c r="U42" s="60">
        <v>323763.12122999999</v>
      </c>
      <c r="V42" s="60">
        <v>327109.68316000013</v>
      </c>
      <c r="W42" s="60">
        <v>330557.39625999983</v>
      </c>
      <c r="X42" s="60">
        <v>339929.69957</v>
      </c>
      <c r="Y42" s="60">
        <v>347497.59470000019</v>
      </c>
      <c r="Z42" s="60">
        <v>351634.03288000001</v>
      </c>
      <c r="AA42" s="60">
        <v>350997.2634</v>
      </c>
      <c r="AB42" s="60">
        <v>352797.48276999994</v>
      </c>
      <c r="AC42" s="60">
        <v>358723.66028000001</v>
      </c>
      <c r="AD42" s="60">
        <v>363197.4082600004</v>
      </c>
      <c r="AE42" s="60">
        <v>366544.63093000004</v>
      </c>
      <c r="AF42" s="60">
        <v>373068.37432</v>
      </c>
      <c r="AG42" s="60">
        <v>378021.51120000018</v>
      </c>
      <c r="AH42" s="60">
        <v>385161.8062199995</v>
      </c>
      <c r="AI42" s="60">
        <v>390966.64226000023</v>
      </c>
      <c r="AJ42" s="60">
        <v>400263.11050999974</v>
      </c>
      <c r="AK42" s="60">
        <v>409317.33052999974</v>
      </c>
      <c r="AL42" s="60">
        <v>412373.78467000031</v>
      </c>
      <c r="AM42" s="60">
        <v>412955.7062500001</v>
      </c>
      <c r="AN42" s="60">
        <v>413897.24090999993</v>
      </c>
      <c r="AO42" s="60">
        <v>420433.08244000032</v>
      </c>
      <c r="AP42" s="60">
        <v>424355.51134999981</v>
      </c>
      <c r="AQ42" s="60">
        <v>422557.29871000035</v>
      </c>
      <c r="AR42" s="60">
        <v>429201.69736000022</v>
      </c>
      <c r="AS42" s="60">
        <v>438719.43154999963</v>
      </c>
      <c r="AT42" s="60">
        <v>447080.49403000029</v>
      </c>
      <c r="AU42" s="60">
        <v>456805.12477999972</v>
      </c>
      <c r="AV42" s="60">
        <v>469931.7611</v>
      </c>
      <c r="AW42" s="60">
        <v>482051.68114999967</v>
      </c>
      <c r="AX42" s="60">
        <v>489921.98186999938</v>
      </c>
      <c r="AY42" s="60">
        <v>505811.96458000026</v>
      </c>
      <c r="AZ42" s="60">
        <v>512975.23594000028</v>
      </c>
      <c r="BA42" s="60">
        <v>515863.19188000041</v>
      </c>
      <c r="BB42" s="60">
        <v>519925.21754000004</v>
      </c>
      <c r="BC42" s="60">
        <v>533080.99333412806</v>
      </c>
      <c r="BD42" s="60">
        <v>540648.98782875901</v>
      </c>
      <c r="BE42" s="60">
        <v>550403.80407803005</v>
      </c>
      <c r="BF42" s="60">
        <v>560781.32839252695</v>
      </c>
      <c r="BG42" s="60">
        <v>578877.93100116099</v>
      </c>
      <c r="BH42" s="60">
        <v>590538.45318999898</v>
      </c>
      <c r="BI42" s="60">
        <v>592057.08969180705</v>
      </c>
      <c r="BJ42" s="60">
        <v>599647.27495068975</v>
      </c>
      <c r="BK42" s="60">
        <v>607899.25304314098</v>
      </c>
      <c r="BL42" s="60">
        <v>604803.70772000053</v>
      </c>
      <c r="BM42" s="60">
        <v>607437.54387316306</v>
      </c>
      <c r="BN42" s="60">
        <v>575868.5300975882</v>
      </c>
      <c r="BO42" s="60">
        <v>586433.48495340871</v>
      </c>
      <c r="BP42" s="60">
        <v>569073.15578999976</v>
      </c>
      <c r="BQ42" s="60">
        <v>551503.05093414302</v>
      </c>
      <c r="BR42" s="60">
        <v>535248.03521999845</v>
      </c>
      <c r="BS42" s="60">
        <v>535837.06407997245</v>
      </c>
      <c r="BT42" s="60">
        <v>517789.41358000063</v>
      </c>
      <c r="BU42" s="60">
        <v>504572.52684000001</v>
      </c>
      <c r="BV42" s="60">
        <v>495122.98725000024</v>
      </c>
      <c r="BW42" s="60">
        <v>489969.30663959909</v>
      </c>
      <c r="BX42" s="60">
        <v>490068.59700999997</v>
      </c>
      <c r="BY42" s="60">
        <v>482974.62627929403</v>
      </c>
      <c r="BZ42" s="60">
        <v>469868.79916755774</v>
      </c>
      <c r="CA42" s="60">
        <v>467091.88085000048</v>
      </c>
      <c r="CB42" s="60">
        <v>460142.66943678062</v>
      </c>
      <c r="CC42" s="60">
        <v>450266.8404700011</v>
      </c>
      <c r="CD42" s="60">
        <v>449432.21122237662</v>
      </c>
      <c r="CE42" s="60">
        <v>450514.37026906922</v>
      </c>
      <c r="CF42" s="60">
        <v>443694.8473959291</v>
      </c>
      <c r="CG42" s="60">
        <v>435154.86428805551</v>
      </c>
      <c r="CH42" s="60">
        <v>430326.10980999999</v>
      </c>
      <c r="CI42" s="60">
        <v>433488.01416666317</v>
      </c>
      <c r="CJ42" s="60">
        <v>433647.68903999997</v>
      </c>
      <c r="CK42" s="60">
        <v>432400.97124472214</v>
      </c>
      <c r="CL42" s="60">
        <v>429930.70637999999</v>
      </c>
      <c r="CM42" s="60">
        <v>432515.61093999998</v>
      </c>
      <c r="CN42" s="60">
        <v>431198.07727596373</v>
      </c>
      <c r="CO42" s="60">
        <v>432618.75535000121</v>
      </c>
      <c r="CP42" s="60">
        <v>434625.45433000079</v>
      </c>
      <c r="CQ42" s="60">
        <v>437345.537680001</v>
      </c>
      <c r="CR42" s="60">
        <v>436385.03329000052</v>
      </c>
      <c r="CS42" s="60">
        <v>430519.33434000053</v>
      </c>
      <c r="CT42" s="60">
        <v>418577.20682000002</v>
      </c>
      <c r="CU42" s="60">
        <v>419192.19890000002</v>
      </c>
      <c r="CV42" s="60">
        <v>420903.74043000001</v>
      </c>
      <c r="CW42" s="60">
        <v>411574.27714999998</v>
      </c>
      <c r="CX42" s="60">
        <v>404032.09600999998</v>
      </c>
      <c r="CY42" s="60">
        <v>411825.44650000002</v>
      </c>
      <c r="CZ42" s="60">
        <v>400878.15373999998</v>
      </c>
      <c r="DA42" s="60">
        <v>401185.29441999999</v>
      </c>
      <c r="DB42" s="60">
        <v>397321.85827999999</v>
      </c>
      <c r="DC42" s="60">
        <v>392410.15954000002</v>
      </c>
      <c r="DD42" s="60">
        <v>389352.58714000002</v>
      </c>
      <c r="DE42" s="60">
        <v>378669.70766000001</v>
      </c>
      <c r="DF42" s="60">
        <v>369611.77493999997</v>
      </c>
      <c r="DG42" s="60">
        <v>360908.66761</v>
      </c>
    </row>
    <row r="43" spans="1:111" s="39" customFormat="1" ht="17.25" customHeight="1" thickBot="1">
      <c r="A43" s="814"/>
      <c r="B43" s="821" t="s">
        <v>25</v>
      </c>
      <c r="C43" s="822"/>
      <c r="D43" s="103">
        <f t="shared" ref="D43:S43" si="429">+D39/D42</f>
        <v>6.9554009690645366E-3</v>
      </c>
      <c r="E43" s="103">
        <f t="shared" si="429"/>
        <v>7.8327037487535157E-3</v>
      </c>
      <c r="F43" s="61">
        <f t="shared" si="429"/>
        <v>7.5900721098254714E-3</v>
      </c>
      <c r="G43" s="61">
        <f t="shared" si="429"/>
        <v>7.3174786390201021E-3</v>
      </c>
      <c r="H43" s="61">
        <f t="shared" si="429"/>
        <v>6.8660499044261138E-3</v>
      </c>
      <c r="I43" s="61">
        <f t="shared" si="429"/>
        <v>8.8022536899944482E-3</v>
      </c>
      <c r="J43" s="61">
        <f t="shared" si="429"/>
        <v>8.1392209811077219E-3</v>
      </c>
      <c r="K43" s="61">
        <f t="shared" si="429"/>
        <v>8.1685519831873315E-3</v>
      </c>
      <c r="L43" s="61">
        <f t="shared" si="429"/>
        <v>9.8046185003321483E-3</v>
      </c>
      <c r="M43" s="61">
        <f t="shared" si="429"/>
        <v>1.1765757145279164E-2</v>
      </c>
      <c r="N43" s="61">
        <f t="shared" si="429"/>
        <v>1.0202886708713211E-2</v>
      </c>
      <c r="O43" s="61">
        <f t="shared" si="429"/>
        <v>8.4438625724647005E-3</v>
      </c>
      <c r="P43" s="61">
        <f t="shared" si="429"/>
        <v>8.9806493476313268E-3</v>
      </c>
      <c r="Q43" s="61">
        <f t="shared" si="429"/>
        <v>1.1778317250617421E-2</v>
      </c>
      <c r="R43" s="61">
        <f t="shared" si="429"/>
        <v>1.318326990907915E-2</v>
      </c>
      <c r="S43" s="61">
        <f t="shared" si="429"/>
        <v>1.2626512548642388E-2</v>
      </c>
      <c r="T43" s="61">
        <f t="shared" ref="T43:Y43" si="430">+T39/T42</f>
        <v>1.220952490052829E-2</v>
      </c>
      <c r="U43" s="61">
        <f t="shared" si="430"/>
        <v>1.2492668790176039E-2</v>
      </c>
      <c r="V43" s="61">
        <f t="shared" si="430"/>
        <v>1.223813386179063E-2</v>
      </c>
      <c r="W43" s="61">
        <f t="shared" si="430"/>
        <v>1.2879996630452658E-2</v>
      </c>
      <c r="X43" s="61">
        <f t="shared" si="430"/>
        <v>1.2792925553433431E-2</v>
      </c>
      <c r="Y43" s="61">
        <f t="shared" si="430"/>
        <v>1.4223288089999545E-2</v>
      </c>
      <c r="Z43" s="61">
        <f t="shared" ref="Z43:AE43" si="431">+Z39/Z42</f>
        <v>1.4174598087611595E-2</v>
      </c>
      <c r="AA43" s="61">
        <f t="shared" si="431"/>
        <v>1.566984077517455E-2</v>
      </c>
      <c r="AB43" s="61">
        <f t="shared" si="431"/>
        <v>1.5401836025974213E-2</v>
      </c>
      <c r="AC43" s="61">
        <f t="shared" si="431"/>
        <v>1.5107677942876286E-2</v>
      </c>
      <c r="AD43" s="61">
        <f t="shared" si="431"/>
        <v>1.4231022943588656E-2</v>
      </c>
      <c r="AE43" s="61">
        <f t="shared" si="431"/>
        <v>1.3744470263328217E-2</v>
      </c>
      <c r="AF43" s="61">
        <f t="shared" ref="AF43:AM43" si="432">+AF39/AF42</f>
        <v>1.3537597844377905E-2</v>
      </c>
      <c r="AG43" s="61">
        <f t="shared" si="432"/>
        <v>1.3658198427941734E-2</v>
      </c>
      <c r="AH43" s="61">
        <f t="shared" si="432"/>
        <v>1.4388033004587797E-2</v>
      </c>
      <c r="AI43" s="61">
        <f t="shared" si="432"/>
        <v>1.5227300865327791E-2</v>
      </c>
      <c r="AJ43" s="61">
        <f t="shared" si="432"/>
        <v>1.5204722943979518E-2</v>
      </c>
      <c r="AK43" s="61">
        <f t="shared" si="432"/>
        <v>1.65725604415932E-2</v>
      </c>
      <c r="AL43" s="61">
        <f t="shared" si="432"/>
        <v>1.6949956349901058E-2</v>
      </c>
      <c r="AM43" s="61">
        <f t="shared" si="432"/>
        <v>1.9681483720870613E-2</v>
      </c>
      <c r="AN43" s="61">
        <f t="shared" ref="AN43:AS43" si="433">+AN39/AN42</f>
        <v>1.9710144315201943E-2</v>
      </c>
      <c r="AO43" s="61">
        <f t="shared" si="433"/>
        <v>1.9764093971329773E-2</v>
      </c>
      <c r="AP43" s="61">
        <f t="shared" si="433"/>
        <v>1.9566024802142607E-2</v>
      </c>
      <c r="AQ43" s="61">
        <f t="shared" si="433"/>
        <v>1.9362089271625631E-2</v>
      </c>
      <c r="AR43" s="61">
        <f t="shared" si="433"/>
        <v>1.8116476700412651E-2</v>
      </c>
      <c r="AS43" s="61">
        <f t="shared" si="433"/>
        <v>1.6593134054447175E-2</v>
      </c>
      <c r="AT43" s="61">
        <f t="shared" ref="AT43:AZ43" si="434">+AT39/AT42</f>
        <v>1.6338573875490623E-2</v>
      </c>
      <c r="AU43" s="61">
        <f t="shared" si="434"/>
        <v>1.664601714716343E-2</v>
      </c>
      <c r="AV43" s="61">
        <f t="shared" si="434"/>
        <v>1.6532157800559451E-2</v>
      </c>
      <c r="AW43" s="61">
        <f t="shared" si="434"/>
        <v>1.7523341646373203E-2</v>
      </c>
      <c r="AX43" s="61">
        <f t="shared" si="434"/>
        <v>1.8782911464547834E-2</v>
      </c>
      <c r="AY43" s="61">
        <f t="shared" si="434"/>
        <v>2.0572092830268021E-2</v>
      </c>
      <c r="AZ43" s="61">
        <f t="shared" si="434"/>
        <v>2.1608359163163383E-2</v>
      </c>
      <c r="BA43" s="61">
        <f t="shared" ref="BA43:BG43" si="435">+BA39/BA42</f>
        <v>2.1800629540973476E-2</v>
      </c>
      <c r="BB43" s="61">
        <f t="shared" si="435"/>
        <v>2.0700434075737031E-2</v>
      </c>
      <c r="BC43" s="61">
        <f t="shared" si="435"/>
        <v>2.1246067429946992E-2</v>
      </c>
      <c r="BD43" s="61">
        <f t="shared" si="435"/>
        <v>2.1827458953345463E-2</v>
      </c>
      <c r="BE43" s="61">
        <f t="shared" si="435"/>
        <v>2.319014640783711E-2</v>
      </c>
      <c r="BF43" s="61">
        <f t="shared" si="435"/>
        <v>2.4625604831717565E-2</v>
      </c>
      <c r="BG43" s="61">
        <f t="shared" si="435"/>
        <v>2.586743273163401E-2</v>
      </c>
      <c r="BH43" s="61">
        <f t="shared" ref="BH43:BM43" si="436">+BH39/BH42</f>
        <v>2.9194097991199153E-2</v>
      </c>
      <c r="BI43" s="61">
        <f t="shared" si="436"/>
        <v>3.1839637491399272E-2</v>
      </c>
      <c r="BJ43" s="61">
        <f t="shared" si="436"/>
        <v>3.4932736735479274E-2</v>
      </c>
      <c r="BK43" s="61">
        <f t="shared" si="436"/>
        <v>3.8523422627627514E-2</v>
      </c>
      <c r="BL43" s="61">
        <f t="shared" si="436"/>
        <v>3.9424729404997146E-2</v>
      </c>
      <c r="BM43" s="61">
        <f t="shared" si="436"/>
        <v>3.8824440418395313E-2</v>
      </c>
      <c r="BN43" s="61">
        <f t="shared" ref="BN43:BS43" si="437">+BN39/BN42</f>
        <v>4.0333360109231782E-2</v>
      </c>
      <c r="BO43" s="61">
        <f t="shared" si="437"/>
        <v>4.0146842266127594E-2</v>
      </c>
      <c r="BP43" s="61">
        <f t="shared" si="437"/>
        <v>4.232973716105011E-2</v>
      </c>
      <c r="BQ43" s="61">
        <f t="shared" si="437"/>
        <v>4.0509127342375884E-2</v>
      </c>
      <c r="BR43" s="61">
        <f t="shared" si="437"/>
        <v>3.8052762046344481E-2</v>
      </c>
      <c r="BS43" s="61">
        <f t="shared" si="437"/>
        <v>3.5711379396375767E-2</v>
      </c>
      <c r="BT43" s="61">
        <f t="shared" ref="BT43:BY43" si="438">+BT39/BT42</f>
        <v>3.5997911373134232E-2</v>
      </c>
      <c r="BU43" s="61">
        <f t="shared" si="438"/>
        <v>3.6016885865374729E-2</v>
      </c>
      <c r="BV43" s="61">
        <f t="shared" si="438"/>
        <v>3.4594354758470162E-2</v>
      </c>
      <c r="BW43" s="61">
        <f t="shared" si="438"/>
        <v>3.3195909538806773E-2</v>
      </c>
      <c r="BX43" s="61">
        <f t="shared" si="438"/>
        <v>3.2508852510039363E-2</v>
      </c>
      <c r="BY43" s="61">
        <f t="shared" si="438"/>
        <v>2.9230035682736324E-2</v>
      </c>
      <c r="BZ43" s="61">
        <f t="shared" ref="BZ43:CE43" si="439">+BZ39/BZ42</f>
        <v>2.5605160294352003E-2</v>
      </c>
      <c r="CA43" s="61">
        <f t="shared" si="439"/>
        <v>2.3946251302090028E-2</v>
      </c>
      <c r="CB43" s="61">
        <f t="shared" si="439"/>
        <v>2.392943245945334E-2</v>
      </c>
      <c r="CC43" s="61">
        <f t="shared" si="439"/>
        <v>2.3301278257684663E-2</v>
      </c>
      <c r="CD43" s="61">
        <f t="shared" si="439"/>
        <v>2.3335233118862497E-2</v>
      </c>
      <c r="CE43" s="61">
        <f t="shared" si="439"/>
        <v>2.3422135022458507E-2</v>
      </c>
      <c r="CF43" s="61">
        <f t="shared" ref="CF43:CG43" si="440">+CF39/CF42</f>
        <v>2.1948074216219426E-2</v>
      </c>
      <c r="CG43" s="61">
        <f t="shared" si="440"/>
        <v>2.2918571153551864E-2</v>
      </c>
      <c r="CH43" s="61">
        <f t="shared" ref="CH43:CI43" si="441">+CH39/CH42</f>
        <v>2.1447812018831693E-2</v>
      </c>
      <c r="CI43" s="61">
        <f t="shared" si="441"/>
        <v>2.1434529182686145E-2</v>
      </c>
      <c r="CJ43" s="61">
        <f t="shared" ref="CJ43:CK43" si="442">+CJ39/CJ42</f>
        <v>2.1129155490910139E-2</v>
      </c>
      <c r="CK43" s="61">
        <f t="shared" si="442"/>
        <v>2.019190836890743E-2</v>
      </c>
      <c r="CL43" s="61">
        <f t="shared" ref="CL43:CM43" si="443">+CL39/CL42</f>
        <v>1.9969876430299561E-2</v>
      </c>
      <c r="CM43" s="61">
        <f t="shared" si="443"/>
        <v>1.9799439195705627E-2</v>
      </c>
      <c r="CN43" s="61">
        <f t="shared" ref="CN43:CO43" si="444">+CN39/CN42</f>
        <v>1.9455178355610055E-2</v>
      </c>
      <c r="CO43" s="61">
        <f t="shared" si="444"/>
        <v>2.0995338916019964E-2</v>
      </c>
      <c r="CP43" s="61">
        <f t="shared" ref="CP43:CQ43" si="445">+CP39/CP42</f>
        <v>2.2067497760307676E-2</v>
      </c>
      <c r="CQ43" s="61">
        <f t="shared" si="445"/>
        <v>2.2241943090585272E-2</v>
      </c>
      <c r="CR43" s="61">
        <f t="shared" ref="CR43:CS43" si="446">+CR39/CR42</f>
        <v>2.2368300251748505E-2</v>
      </c>
      <c r="CS43" s="61">
        <f t="shared" si="446"/>
        <v>2.2401900845603687E-2</v>
      </c>
      <c r="CT43" s="61">
        <f t="shared" ref="CT43:CU43" si="447">+CT39/CT42</f>
        <v>2.2912523457409018E-2</v>
      </c>
      <c r="CU43" s="61">
        <f t="shared" si="447"/>
        <v>2.3916105181126246E-2</v>
      </c>
      <c r="CV43" s="61">
        <f t="shared" ref="CV43" si="448">+CV39/CV42</f>
        <v>2.4339743333081108E-2</v>
      </c>
      <c r="CW43" s="61">
        <f t="shared" ref="CW43:DB43" si="449">+CW39/CW42</f>
        <v>2.4147297418147199E-2</v>
      </c>
      <c r="CX43" s="61">
        <f t="shared" si="449"/>
        <v>2.3032036493877146E-2</v>
      </c>
      <c r="CY43" s="61">
        <f t="shared" si="449"/>
        <v>2.0477598438055702E-2</v>
      </c>
      <c r="CZ43" s="61">
        <f t="shared" si="449"/>
        <v>1.9776123782344564E-2</v>
      </c>
      <c r="DA43" s="61">
        <f t="shared" si="449"/>
        <v>2.0493761945802064E-2</v>
      </c>
      <c r="DB43" s="61">
        <f t="shared" si="449"/>
        <v>1.9735411094534049E-2</v>
      </c>
      <c r="DC43" s="61">
        <f t="shared" ref="DC43" si="450">+DC39/DC42</f>
        <v>2.1990656511329108E-2</v>
      </c>
      <c r="DD43" s="61">
        <f>+DD39/DD42</f>
        <v>2.1809663915104905E-2</v>
      </c>
      <c r="DE43" s="61">
        <f>+DE39/DE42</f>
        <v>2.3485344563090892E-2</v>
      </c>
      <c r="DF43" s="61">
        <f>+DF39/DF42</f>
        <v>2.4215107571864833E-2</v>
      </c>
      <c r="DG43" s="61">
        <f>+DG39/DG42</f>
        <v>2.6484069482999452E-2</v>
      </c>
    </row>
    <row r="44" spans="1:111" s="4" customFormat="1" ht="17.25" customHeight="1" thickTop="1">
      <c r="A44" s="806" t="s">
        <v>12</v>
      </c>
      <c r="B44" s="777" t="s">
        <v>19</v>
      </c>
      <c r="C44" s="778"/>
      <c r="D44" s="98">
        <f>+AKPK!AD84/1000</f>
        <v>1926.5617999999999</v>
      </c>
      <c r="E44" s="98">
        <f>+AKPK!AE84/1000</f>
        <v>1826.3409999999999</v>
      </c>
      <c r="F44" s="55">
        <f>+[2]AKPK!AF84/1000</f>
        <v>1392.701</v>
      </c>
      <c r="G44" s="55">
        <f>+[2]AKPK!AG84/1000</f>
        <v>1931.2108999999998</v>
      </c>
      <c r="H44" s="55">
        <f>+[2]AKPK!AH84/1000</f>
        <v>2056.8969999999999</v>
      </c>
      <c r="I44" s="55">
        <f>+[2]AKPK!AI84/1000</f>
        <v>1467.7165</v>
      </c>
      <c r="J44" s="55">
        <f>+[2]AKPK!AJ84/1000</f>
        <v>1758.896</v>
      </c>
      <c r="K44" s="55">
        <f>+[2]AKPK!AK84/1000</f>
        <v>1980.0803000000001</v>
      </c>
      <c r="L44" s="55">
        <f>+[2]AKPK!AL84/1000</f>
        <v>1879.0605</v>
      </c>
      <c r="M44" s="55">
        <f>+[2]AKPK!AM84/1000</f>
        <v>1652.7250200000001</v>
      </c>
      <c r="N44" s="55">
        <f>+[2]AKPK!AN84/1000</f>
        <v>1839.2650000000001</v>
      </c>
      <c r="O44" s="55">
        <f>+[2]AKPK!AO84/1000</f>
        <v>1711.7004899999999</v>
      </c>
      <c r="P44" s="55">
        <f>+[2]AKPK!AP84/1000</f>
        <v>1984.0621999999998</v>
      </c>
      <c r="Q44" s="55">
        <f>+[2]AKPK!AQ84/1000</f>
        <v>2063.2020000000002</v>
      </c>
      <c r="R44" s="55">
        <f>+AKPK!AR84/1000</f>
        <v>1990.549</v>
      </c>
      <c r="S44" s="55">
        <f>+AKPK!AS84/1000</f>
        <v>1846.5205000000001</v>
      </c>
      <c r="T44" s="55">
        <f>+AKPK!AT84/1000</f>
        <v>1832.9356</v>
      </c>
      <c r="U44" s="55">
        <f>+AKPK!AU84/1000</f>
        <v>1799.874</v>
      </c>
      <c r="V44" s="55">
        <f>+AKPK!AV84/1000</f>
        <v>1840.0088500000002</v>
      </c>
      <c r="W44" s="55">
        <f>+AKPK!AW84/1000</f>
        <v>1689.701</v>
      </c>
      <c r="X44" s="55">
        <f>+AKPK!AX84/1000</f>
        <v>1885.3679999999999</v>
      </c>
      <c r="Y44" s="55">
        <f>+AKPK!AY84/1000</f>
        <v>1453.9765</v>
      </c>
      <c r="Z44" s="55">
        <f>+AKPK!AZ84/1000</f>
        <v>1794.5664899999999</v>
      </c>
      <c r="AA44" s="55">
        <f>+AKPK!BA84/1000</f>
        <v>2198.9903100000001</v>
      </c>
      <c r="AB44" s="55">
        <f>+AKPK!BB84/1000</f>
        <v>2309.54351</v>
      </c>
      <c r="AC44" s="55">
        <f>+AKPK!BC84/1000</f>
        <v>2031.335</v>
      </c>
      <c r="AD44" s="55">
        <f>+AKPK!BD84/1000</f>
        <v>2107.8454999999999</v>
      </c>
      <c r="AE44" s="55">
        <f>+AKPK!BE84/1000</f>
        <v>2069.4385000000002</v>
      </c>
      <c r="AF44" s="55">
        <f>+AKPK!BF84/1000</f>
        <v>2181.6480000000001</v>
      </c>
      <c r="AG44" s="55">
        <f>+AKPK!BG84/1000</f>
        <v>2188.4605000000001</v>
      </c>
      <c r="AH44" s="55">
        <f>+AKPK!BH84/1000</f>
        <v>2702.1455099999998</v>
      </c>
      <c r="AI44" s="55">
        <f>+AKPK!BI84/1000</f>
        <v>2366.3251500000001</v>
      </c>
      <c r="AJ44" s="55">
        <f>+AKPK!BJ84/1000</f>
        <v>2490.4659999999999</v>
      </c>
      <c r="AK44" s="55">
        <f>+AKPK!BK84/1000</f>
        <v>2382.2757499999998</v>
      </c>
      <c r="AL44" s="55">
        <f>+AKPK!BL84/1000</f>
        <v>2676.3760000000002</v>
      </c>
      <c r="AM44" s="55">
        <f>+AKPK!BM84/1000</f>
        <v>2217.721</v>
      </c>
      <c r="AN44" s="55">
        <f>+AKPK!BN84/1000</f>
        <v>2543.0179800000001</v>
      </c>
      <c r="AO44" s="55">
        <f>+AKPK!BO84/1000</f>
        <v>2801.24</v>
      </c>
      <c r="AP44" s="55">
        <f>+AKPK!BP84/1000</f>
        <v>3660.9712100000002</v>
      </c>
      <c r="AQ44" s="55">
        <f>+AKPK!BQ84/1000</f>
        <v>2657.9589999999998</v>
      </c>
      <c r="AR44" s="55">
        <f>+AKPK!BR84/1000</f>
        <v>2563.7170000000001</v>
      </c>
      <c r="AS44" s="55">
        <f>+AKPK!BS84/1000</f>
        <v>3242.1264999999999</v>
      </c>
      <c r="AT44" s="55">
        <f>+AKPK!BT84/1000</f>
        <v>3291.3604999999998</v>
      </c>
      <c r="AU44" s="55">
        <f>+AKPK!BU84/1000</f>
        <v>3227.4214999999999</v>
      </c>
      <c r="AV44" s="55">
        <f>+AKPK!BV84/1000</f>
        <v>3479.971</v>
      </c>
      <c r="AW44" s="55">
        <f>+AKPK!BW84/1000</f>
        <v>3494.1334999999999</v>
      </c>
      <c r="AX44" s="55">
        <f>+AKPK!BX84/1000</f>
        <v>2968.7370000000001</v>
      </c>
      <c r="AY44" s="55">
        <f>+AKPK!BY84/1000</f>
        <v>3133.4515000000001</v>
      </c>
      <c r="AZ44" s="55">
        <f>+AKPK!BZ84/1000</f>
        <v>5246.5839999999998</v>
      </c>
      <c r="BA44" s="55">
        <f>+AKPK!CA84/1000</f>
        <v>3803.5185000000001</v>
      </c>
      <c r="BB44" s="55">
        <f>+AKPK!CB84/1000</f>
        <v>5042.6495000000004</v>
      </c>
      <c r="BC44" s="55">
        <f>+AKPK!CC84/1000</f>
        <v>4125.6817499999997</v>
      </c>
      <c r="BD44" s="55">
        <f>+AKPK!CD84/1000</f>
        <v>5483.0931700000001</v>
      </c>
      <c r="BE44" s="55">
        <f>+AKPK!CE84/1000</f>
        <v>4895.5434999999998</v>
      </c>
      <c r="BF44" s="55">
        <f>+AKPK!CF84/1000</f>
        <v>4624.2055</v>
      </c>
      <c r="BG44" s="55">
        <f>+AKPK!CG84/1000</f>
        <v>4812.2375000000002</v>
      </c>
      <c r="BH44" s="55">
        <f>+AKPK!CH84/1000</f>
        <v>3347.5785000000001</v>
      </c>
      <c r="BI44" s="55">
        <f>+AKPK!CI84/1000</f>
        <v>5828.2654199999997</v>
      </c>
      <c r="BJ44" s="55">
        <f>+AKPK!CJ84/1000</f>
        <v>6668.4520000000002</v>
      </c>
      <c r="BK44" s="55">
        <f>+AKPK!CK84/1000</f>
        <v>6480.7884999999997</v>
      </c>
      <c r="BL44" s="55">
        <f>+AKPK!CL84/1000</f>
        <v>8700.1885999999995</v>
      </c>
      <c r="BM44" s="55">
        <f>+AKPK!CM84/1000</f>
        <v>12199.000300000002</v>
      </c>
      <c r="BN44" s="55">
        <f>+AKPK!CN84/1000</f>
        <v>13146.026400000001</v>
      </c>
      <c r="BO44" s="55">
        <f>+AKPK!CO84/1000</f>
        <v>11428.294190000001</v>
      </c>
      <c r="BP44" s="55">
        <f>+AKPK!CP84/1000</f>
        <v>9806.0409</v>
      </c>
      <c r="BQ44" s="55">
        <f>+AKPK!CQ84/1000</f>
        <v>10307.8469</v>
      </c>
      <c r="BR44" s="55">
        <f>+AKPK!CR84/1000</f>
        <v>10305.3835</v>
      </c>
      <c r="BS44" s="55">
        <f>+AKPK!CS84/1000</f>
        <v>9817.9859999999917</v>
      </c>
      <c r="BT44" s="55">
        <f>+AKPK!CT84/1000</f>
        <v>11268.238819999995</v>
      </c>
      <c r="BU44" s="55">
        <f>+AKPK!CU84/1000</f>
        <v>9161.240200000002</v>
      </c>
      <c r="BV44" s="55">
        <f>+AKPK!CV84/1000</f>
        <v>11516.359989999959</v>
      </c>
      <c r="BW44" s="55">
        <f>+AKPK!CW84/1000</f>
        <v>9182.2507999999925</v>
      </c>
      <c r="BX44" s="55">
        <f>+AKPK!CX84/1000</f>
        <v>9381.0839999999753</v>
      </c>
      <c r="BY44" s="55">
        <f>+AKPK!CY84/1000</f>
        <v>24835.458729999991</v>
      </c>
      <c r="BZ44" s="55">
        <f>+AKPK!CZ84/1000</f>
        <v>4814.7800799999859</v>
      </c>
      <c r="CA44" s="55">
        <f>+AKPK!DA84/1000</f>
        <v>10470.005759999967</v>
      </c>
      <c r="CB44" s="55">
        <f>+AKPK!DB84/1000</f>
        <v>10246.407769999974</v>
      </c>
      <c r="CC44" s="55">
        <f>+AKPK!DC84/1000</f>
        <v>9587.8919699999842</v>
      </c>
      <c r="CD44" s="55">
        <f>+AKPK!DD84/1000</f>
        <v>11144.844869999972</v>
      </c>
      <c r="CE44" s="55">
        <f>+AKPK!DE84/1000</f>
        <v>12441.101179999969</v>
      </c>
      <c r="CF44" s="55">
        <f>+AKPK!DF84/1000</f>
        <v>11349.947259999975</v>
      </c>
      <c r="CG44" s="55">
        <f>+AKPK!DG84/1000</f>
        <v>11320.416099999986</v>
      </c>
      <c r="CH44" s="55">
        <f>+AKPK!DH84/1000</f>
        <v>11745.555839999974</v>
      </c>
      <c r="CI44" s="55">
        <f>+AKPK!DI84/1000</f>
        <v>12583.60699999998</v>
      </c>
      <c r="CJ44" s="55">
        <f>+AKPK!DJ84/1000</f>
        <v>11621.953349999963</v>
      </c>
      <c r="CK44" s="55">
        <f>+AKPK!DK84/1000</f>
        <v>10884.307989999972</v>
      </c>
      <c r="CL44" s="55">
        <f>+AKPK!DL84/1000</f>
        <v>12042.459609999973</v>
      </c>
      <c r="CM44" s="55">
        <f>+AKPK!DM84/1000</f>
        <v>11086.336569999972</v>
      </c>
      <c r="CN44" s="55">
        <f>+AKPK!DN84/1000</f>
        <v>10583.137609999983</v>
      </c>
      <c r="CO44" s="55">
        <f>+AKPK!DO84/1000</f>
        <v>10815.448219999989</v>
      </c>
      <c r="CP44" s="55">
        <f>+AKPK!DP84/1000</f>
        <v>11800.549339999998</v>
      </c>
      <c r="CQ44" s="55">
        <f>+AKPK!DQ84/1000</f>
        <v>11199.839169999977</v>
      </c>
      <c r="CR44" s="55">
        <f>+AKPK!DR84/1000</f>
        <v>11503.897019999986</v>
      </c>
      <c r="CS44" s="55">
        <f>+AKPK!DS84/1000</f>
        <v>12726.331519999983</v>
      </c>
      <c r="CT44" s="55">
        <f>+AKPK!DT84/1000</f>
        <v>13002.306859999988</v>
      </c>
      <c r="CU44" s="55">
        <f>+AKPK!DU84/1000</f>
        <v>12229.76556</v>
      </c>
      <c r="CV44" s="55">
        <f>+AKPK!DV84/1000</f>
        <v>12268.285880000027</v>
      </c>
      <c r="CW44" s="55">
        <f>+AKPK!DW84/1000</f>
        <v>13327.008049999993</v>
      </c>
      <c r="CX44" s="55">
        <f>+AKPK!DX84/1000</f>
        <v>13104.927449999983</v>
      </c>
      <c r="CY44" s="55">
        <f>+AKPK!DY84/1000</f>
        <v>12606.78258000001</v>
      </c>
      <c r="CZ44" s="55">
        <f>+AKPK!DZ84/1000</f>
        <v>12113.77708999999</v>
      </c>
      <c r="DA44" s="55">
        <f>+AKPK!EA84/1000</f>
        <v>13101.650339999987</v>
      </c>
      <c r="DB44" s="55">
        <f>+AKPK!EB84/1000</f>
        <v>12559.869149999999</v>
      </c>
      <c r="DC44" s="55">
        <f>+AKPK!EC84/1000</f>
        <v>11916.660739999998</v>
      </c>
      <c r="DD44" s="55">
        <f>+AKPK!ED84/1000</f>
        <v>12804.338579999998</v>
      </c>
      <c r="DE44" s="55">
        <f>+AKPK!EE84/1000</f>
        <v>13020.034559999989</v>
      </c>
      <c r="DF44" s="55">
        <f>+AKPK!EF84/1000</f>
        <v>13276.585790000008</v>
      </c>
      <c r="DG44" s="55">
        <f>+AKPK!EG84/1000</f>
        <v>12619.105309999994</v>
      </c>
    </row>
    <row r="45" spans="1:111" s="4" customFormat="1" ht="17.25" customHeight="1">
      <c r="A45" s="813"/>
      <c r="B45" s="823" t="s">
        <v>20</v>
      </c>
      <c r="C45" s="824"/>
      <c r="D45" s="98">
        <f>+AKPK!AD86/1000</f>
        <v>1961.3244000000004</v>
      </c>
      <c r="E45" s="98">
        <f>+AKPK!AE86/1000</f>
        <v>2159.317</v>
      </c>
      <c r="F45" s="55">
        <f>+[2]AKPK!AF86/1000</f>
        <v>1423.655</v>
      </c>
      <c r="G45" s="55">
        <f>+[2]AKPK!AG86/1000</f>
        <v>1560.3969999999999</v>
      </c>
      <c r="H45" s="55">
        <f>+[2]AKPK!AH86/1000</f>
        <v>1541.0788000000007</v>
      </c>
      <c r="I45" s="55">
        <f>+[2]AKPK!AI86/1000</f>
        <v>1777.2775000000008</v>
      </c>
      <c r="J45" s="55">
        <f>+[2]AKPK!AJ86/1000</f>
        <v>2215.3662999999997</v>
      </c>
      <c r="K45" s="55">
        <f>+[2]AKPK!AK86/1000</f>
        <v>2171.4492700000014</v>
      </c>
      <c r="L45" s="55">
        <f>+[2]AKPK!AL86/1000</f>
        <v>1489.1769000000004</v>
      </c>
      <c r="M45" s="55">
        <f>+[2]AKPK!AM86/1000</f>
        <v>2100.9153000000006</v>
      </c>
      <c r="N45" s="55">
        <f>+[2]AKPK!AN86/1000</f>
        <v>2268.0670699999982</v>
      </c>
      <c r="O45" s="55">
        <f>+[2]AKPK!AO86/1000</f>
        <v>2097.1198700000009</v>
      </c>
      <c r="P45" s="55">
        <f>+[2]AKPK!AP86/1000</f>
        <v>1998.1818899999987</v>
      </c>
      <c r="Q45" s="55">
        <f>+[2]AKPK!AQ86/1000</f>
        <v>2400.288</v>
      </c>
      <c r="R45" s="55">
        <f>+AKPK!AR86/1000</f>
        <v>1808.8834499999994</v>
      </c>
      <c r="S45" s="55">
        <f>+AKPK!AS86/1000</f>
        <v>1995.4162599999997</v>
      </c>
      <c r="T45" s="55">
        <f>+AKPK!AT86/1000</f>
        <v>2043.015290000001</v>
      </c>
      <c r="U45" s="55">
        <f>+AKPK!AU86/1000</f>
        <v>2460.0136099999995</v>
      </c>
      <c r="V45" s="55">
        <f>+AKPK!AV86/1000</f>
        <v>2249.6772699999997</v>
      </c>
      <c r="W45" s="55">
        <f>+AKPK!AW86/1000</f>
        <v>1800.3342899999991</v>
      </c>
      <c r="X45" s="55">
        <f>+AKPK!AX86/1000</f>
        <v>1965.894870000001</v>
      </c>
      <c r="Y45" s="55">
        <f>+AKPK!AY86/1000</f>
        <v>2601.6937400000002</v>
      </c>
      <c r="Z45" s="55">
        <f>+AKPK!AZ86/1000</f>
        <v>2035.8221399999986</v>
      </c>
      <c r="AA45" s="55">
        <f>+AKPK!BA86/1000</f>
        <v>2565.3296000000014</v>
      </c>
      <c r="AB45" s="55">
        <f>+AKPK!BB86/1000</f>
        <v>1811.1683799999989</v>
      </c>
      <c r="AC45" s="55">
        <f>+AKPK!BC86/1000</f>
        <v>2397.2938100000006</v>
      </c>
      <c r="AD45" s="55">
        <f>+AKPK!BD86/1000</f>
        <v>1963.8444000000004</v>
      </c>
      <c r="AE45" s="55">
        <f>+AKPK!BE86/1000</f>
        <v>2249.8824299999997</v>
      </c>
      <c r="AF45" s="55">
        <f>+AKPK!BF86/1000</f>
        <v>2278.1166899999994</v>
      </c>
      <c r="AG45" s="55">
        <f>+AKPK!BG86/1000</f>
        <v>2349.4041699999998</v>
      </c>
      <c r="AH45" s="55">
        <f>+AKPK!BH86/1000</f>
        <v>2170.6267499999999</v>
      </c>
      <c r="AI45" s="55">
        <f>+AKPK!BI86/1000</f>
        <v>3049.7914999999998</v>
      </c>
      <c r="AJ45" s="55">
        <f>+AKPK!BJ86/1000</f>
        <v>2812.0027799999993</v>
      </c>
      <c r="AK45" s="55">
        <f>+AKPK!BK86/1000</f>
        <v>3621.9736000000016</v>
      </c>
      <c r="AL45" s="55">
        <f>+AKPK!BL86/1000</f>
        <v>2856.505009999998</v>
      </c>
      <c r="AM45" s="55">
        <f>+AKPK!BM86/1000</f>
        <v>4165.5180499999988</v>
      </c>
      <c r="AN45" s="55">
        <f>+AKPK!BN86/1000</f>
        <v>3318.6800399999993</v>
      </c>
      <c r="AO45" s="55">
        <f>+AKPK!BO86/1000</f>
        <v>3412.0705200000034</v>
      </c>
      <c r="AP45" s="55">
        <f>+AKPK!BP86/1000</f>
        <v>3387.9962100000007</v>
      </c>
      <c r="AQ45" s="55">
        <f>+AKPK!BQ86/1000</f>
        <v>2954.2174099999966</v>
      </c>
      <c r="AR45" s="55">
        <f>+AKPK!BR86/1000</f>
        <v>2886.3668000000043</v>
      </c>
      <c r="AS45" s="55">
        <f>+AKPK!BS86/1000</f>
        <v>3532.2888499999976</v>
      </c>
      <c r="AT45" s="55">
        <f>+AKPK!BT86/1000</f>
        <v>4922.7648599999993</v>
      </c>
      <c r="AU45" s="55">
        <f>+AKPK!BU86/1000</f>
        <v>4794.0080199999993</v>
      </c>
      <c r="AV45" s="55">
        <f>+AKPK!BV86/1000</f>
        <v>5074.5026600000037</v>
      </c>
      <c r="AW45" s="55">
        <f>+AKPK!BW86/1000</f>
        <v>6025.9123799999988</v>
      </c>
      <c r="AX45" s="55">
        <f>+AKPK!BX86/1000</f>
        <v>5963.0801499999989</v>
      </c>
      <c r="AY45" s="55">
        <f>+AKPK!BY86/1000</f>
        <v>6350.4561399999966</v>
      </c>
      <c r="AZ45" s="55">
        <f>+AKPK!BZ86/1000</f>
        <v>7333.5259699999951</v>
      </c>
      <c r="BA45" s="55">
        <f>+AKPK!CA86/1000</f>
        <v>6666.647100000001</v>
      </c>
      <c r="BB45" s="55">
        <f>+AKPK!CB86/1000</f>
        <v>5525.4443300000057</v>
      </c>
      <c r="BC45" s="55">
        <f>+AKPK!CC86/1000</f>
        <v>5556.6191899999976</v>
      </c>
      <c r="BD45" s="55">
        <f>+AKPK!CD86/1000</f>
        <v>6887.3228599999993</v>
      </c>
      <c r="BE45" s="55">
        <f>+AKPK!CE86/1000</f>
        <v>8302.1412700000037</v>
      </c>
      <c r="BF45" s="55">
        <f>+AKPK!CF86/1000</f>
        <v>9582.370560000003</v>
      </c>
      <c r="BG45" s="55">
        <f>+AKPK!CG86/1000</f>
        <v>10619.824449999996</v>
      </c>
      <c r="BH45" s="55">
        <f>+AKPK!CH86/1000</f>
        <v>10671.322600000001</v>
      </c>
      <c r="BI45" s="55">
        <f>+AKPK!CI86/1000</f>
        <v>11515.59643</v>
      </c>
      <c r="BJ45" s="55">
        <f>+AKPK!CJ86/1000</f>
        <v>10190.802960000008</v>
      </c>
      <c r="BK45" s="55">
        <f>+AKPK!CK86/1000</f>
        <v>10618.837329999984</v>
      </c>
      <c r="BL45" s="55">
        <f>+AKPK!CL86/1000</f>
        <v>8957.4163799999951</v>
      </c>
      <c r="BM45" s="55">
        <f>+AKPK!CM86/1000</f>
        <v>8741.2051899999824</v>
      </c>
      <c r="BN45" s="55">
        <f>+AKPK!CN86/1000</f>
        <v>7856.0252700000256</v>
      </c>
      <c r="BO45" s="55">
        <f>+AKPK!CO86/1000</f>
        <v>7464.6257300000043</v>
      </c>
      <c r="BP45" s="55">
        <f>+AKPK!CP86/1000</f>
        <v>11865.907450000002</v>
      </c>
      <c r="BQ45" s="55">
        <f>+AKPK!CQ86/1000</f>
        <v>11685.972900000021</v>
      </c>
      <c r="BR45" s="55">
        <f>+AKPK!CR86/1000</f>
        <v>11700.920279999986</v>
      </c>
      <c r="BS45" s="55">
        <f>+AKPK!CS86/1000</f>
        <v>11876.02251999998</v>
      </c>
      <c r="BT45" s="55">
        <f>+AKPK!CT86/1000</f>
        <v>11106.15152000001</v>
      </c>
      <c r="BU45" s="55">
        <f>+AKPK!CU86/1000</f>
        <v>13638.732199999988</v>
      </c>
      <c r="BV45" s="55">
        <f>+AKPK!CV86/1000</f>
        <v>10076.195439999952</v>
      </c>
      <c r="BW45" s="55">
        <f>+AKPK!CW86/1000</f>
        <v>10837.354200000003</v>
      </c>
      <c r="BX45" s="55">
        <f>+AKPK!CX86/1000</f>
        <v>13027.393849999979</v>
      </c>
      <c r="BY45" s="55">
        <f>+AKPK!CY86/1000</f>
        <v>23787.588679999993</v>
      </c>
      <c r="BZ45" s="55">
        <f>+AKPK!CZ86/1000</f>
        <v>-1503.8986899999977</v>
      </c>
      <c r="CA45" s="55">
        <f>+AKPK!DA86/1000</f>
        <v>8694.3704999999409</v>
      </c>
      <c r="CB45" s="55">
        <f>+AKPK!DB86/1000</f>
        <v>13665.640069999963</v>
      </c>
      <c r="CC45" s="55">
        <f>+AKPK!DC86/1000</f>
        <v>9551.4866199999742</v>
      </c>
      <c r="CD45" s="55">
        <f>+AKPK!DD86/1000</f>
        <v>14445.876089999974</v>
      </c>
      <c r="CE45" s="55">
        <f>+AKPK!DE86/1000</f>
        <v>16516.889329999969</v>
      </c>
      <c r="CF45" s="55">
        <f>+AKPK!DF86/1000</f>
        <v>11368.357139999986</v>
      </c>
      <c r="CG45" s="55">
        <f>+AKPK!DG86/1000</f>
        <v>14622.138190000012</v>
      </c>
      <c r="CH45" s="55">
        <f>+AKPK!DH86/1000</f>
        <v>6522.203469999954</v>
      </c>
      <c r="CI45" s="55">
        <f>+AKPK!DI86/1000</f>
        <v>14329.195629999966</v>
      </c>
      <c r="CJ45" s="55">
        <f>+AKPK!DJ86/1000</f>
        <v>12050.969829999969</v>
      </c>
      <c r="CK45" s="55">
        <f>+AKPK!DK86/1000</f>
        <v>7726.0495899999587</v>
      </c>
      <c r="CL45" s="55">
        <f>+AKPK!DL86/1000</f>
        <v>12404.590579999998</v>
      </c>
      <c r="CM45" s="55">
        <f>+AKPK!DM86/1000</f>
        <v>11940.202739999981</v>
      </c>
      <c r="CN45" s="55">
        <f>+AKPK!DN86/1000</f>
        <v>12400.958049999983</v>
      </c>
      <c r="CO45" s="55">
        <f>+AKPK!DO86/1000</f>
        <v>18242.316769999979</v>
      </c>
      <c r="CP45" s="55">
        <f>+AKPK!DP86/1000</f>
        <v>10133.131890000001</v>
      </c>
      <c r="CQ45" s="55">
        <f>+AKPK!DQ86/1000</f>
        <v>17650.142589999974</v>
      </c>
      <c r="CR45" s="55">
        <f>+AKPK!DR86/1000</f>
        <v>10683.11536</v>
      </c>
      <c r="CS45" s="55">
        <f>+AKPK!DS86/1000</f>
        <v>14365.661059999973</v>
      </c>
      <c r="CT45" s="55">
        <f>+AKPK!DT86/1000</f>
        <v>10625.904209999993</v>
      </c>
      <c r="CU45" s="55">
        <f>+AKPK!DU86/1000</f>
        <v>14467.78825</v>
      </c>
      <c r="CV45" s="55">
        <f>+AKPK!DV86/1000</f>
        <v>13073.311430000007</v>
      </c>
      <c r="CW45" s="55">
        <f>+AKPK!DW86/1000</f>
        <v>13358.99022</v>
      </c>
      <c r="CX45" s="55">
        <f>+AKPK!DX86/1000</f>
        <v>8319.16014</v>
      </c>
      <c r="CY45" s="55">
        <f>+AKPK!DY86/1000</f>
        <v>6602.4206200000199</v>
      </c>
      <c r="CZ45" s="55">
        <f>+AKPK!DZ86/1000</f>
        <v>14137.086929999963</v>
      </c>
      <c r="DA45" s="55">
        <f>+AKPK!EA86/1000</f>
        <v>16429.484130000012</v>
      </c>
      <c r="DB45" s="55">
        <f>+AKPK!EB86/1000</f>
        <v>14888.948299999967</v>
      </c>
      <c r="DC45" s="55">
        <f>+AKPK!EC86/1000</f>
        <v>10664.700870000019</v>
      </c>
      <c r="DD45" s="55">
        <f>+AKPK!ED86/1000</f>
        <v>9916.4432100000085</v>
      </c>
      <c r="DE45" s="55">
        <f>+AKPK!EE86/1000</f>
        <v>15488.398159999952</v>
      </c>
      <c r="DF45" s="55">
        <f>+AKPK!EF86/1000</f>
        <v>11122.162130000024</v>
      </c>
      <c r="DG45" s="55">
        <f>+AKPK!EG86/1000</f>
        <v>19834.899139999987</v>
      </c>
    </row>
    <row r="46" spans="1:111" s="4" customFormat="1" ht="17.25" customHeight="1">
      <c r="A46" s="813"/>
      <c r="B46" s="785" t="s">
        <v>21</v>
      </c>
      <c r="C46" s="786"/>
      <c r="D46" s="99">
        <v>8321.1979000000028</v>
      </c>
      <c r="E46" s="99">
        <f t="shared" ref="E46:AP46" si="451">+D46+E45-E44</f>
        <v>8654.1739000000016</v>
      </c>
      <c r="F46" s="31">
        <f t="shared" si="451"/>
        <v>8685.1279000000031</v>
      </c>
      <c r="G46" s="31">
        <f t="shared" si="451"/>
        <v>8314.3140000000039</v>
      </c>
      <c r="H46" s="31">
        <f t="shared" si="451"/>
        <v>7798.4958000000051</v>
      </c>
      <c r="I46" s="31">
        <f t="shared" si="451"/>
        <v>8108.0568000000058</v>
      </c>
      <c r="J46" s="31">
        <f t="shared" si="451"/>
        <v>8564.5271000000048</v>
      </c>
      <c r="K46" s="31">
        <f t="shared" si="451"/>
        <v>8755.8960700000061</v>
      </c>
      <c r="L46" s="31">
        <f t="shared" si="451"/>
        <v>8366.0124700000069</v>
      </c>
      <c r="M46" s="31">
        <f t="shared" si="451"/>
        <v>8814.2027500000077</v>
      </c>
      <c r="N46" s="31">
        <f t="shared" si="451"/>
        <v>9243.0048200000056</v>
      </c>
      <c r="O46" s="31">
        <f t="shared" si="451"/>
        <v>9628.4242000000067</v>
      </c>
      <c r="P46" s="31">
        <f t="shared" si="451"/>
        <v>9642.5438900000045</v>
      </c>
      <c r="Q46" s="31">
        <f t="shared" si="451"/>
        <v>9979.6298900000038</v>
      </c>
      <c r="R46" s="31">
        <f t="shared" si="451"/>
        <v>9797.9643400000023</v>
      </c>
      <c r="S46" s="31">
        <f t="shared" si="451"/>
        <v>9946.8601000000017</v>
      </c>
      <c r="T46" s="31">
        <f t="shared" si="451"/>
        <v>10156.939790000002</v>
      </c>
      <c r="U46" s="31">
        <f t="shared" si="451"/>
        <v>10817.079400000002</v>
      </c>
      <c r="V46" s="31">
        <f t="shared" si="451"/>
        <v>11226.747820000002</v>
      </c>
      <c r="W46" s="31">
        <f t="shared" si="451"/>
        <v>11337.381110000002</v>
      </c>
      <c r="X46" s="31">
        <f t="shared" si="451"/>
        <v>11417.907980000002</v>
      </c>
      <c r="Y46" s="31">
        <f t="shared" si="451"/>
        <v>12565.625220000002</v>
      </c>
      <c r="Z46" s="31">
        <f t="shared" si="451"/>
        <v>12806.880870000001</v>
      </c>
      <c r="AA46" s="31">
        <f t="shared" si="451"/>
        <v>13173.220160000001</v>
      </c>
      <c r="AB46" s="31">
        <f t="shared" si="451"/>
        <v>12674.84503</v>
      </c>
      <c r="AC46" s="31">
        <f t="shared" si="451"/>
        <v>13040.80384</v>
      </c>
      <c r="AD46" s="31">
        <f t="shared" si="451"/>
        <v>12896.802740000001</v>
      </c>
      <c r="AE46" s="31">
        <f t="shared" si="451"/>
        <v>13077.24667</v>
      </c>
      <c r="AF46" s="31">
        <f t="shared" si="451"/>
        <v>13173.715359999998</v>
      </c>
      <c r="AG46" s="31">
        <f t="shared" si="451"/>
        <v>13334.659029999999</v>
      </c>
      <c r="AH46" s="31">
        <f t="shared" si="451"/>
        <v>12803.140269999998</v>
      </c>
      <c r="AI46" s="31">
        <f t="shared" si="451"/>
        <v>13486.606619999997</v>
      </c>
      <c r="AJ46" s="31">
        <f t="shared" si="451"/>
        <v>13808.143399999995</v>
      </c>
      <c r="AK46" s="31">
        <f t="shared" si="451"/>
        <v>15047.841249999998</v>
      </c>
      <c r="AL46" s="31">
        <f t="shared" si="451"/>
        <v>15227.970259999995</v>
      </c>
      <c r="AM46" s="31">
        <f t="shared" si="451"/>
        <v>17175.767309999992</v>
      </c>
      <c r="AN46" s="31">
        <f t="shared" si="451"/>
        <v>17951.429369999991</v>
      </c>
      <c r="AO46" s="31">
        <f t="shared" si="451"/>
        <v>18562.259889999994</v>
      </c>
      <c r="AP46" s="31">
        <f t="shared" si="451"/>
        <v>18289.284889999995</v>
      </c>
      <c r="AQ46" s="31">
        <f t="shared" ref="AQ46:AZ46" si="452">+AP46+AQ45-AQ44</f>
        <v>18585.543299999994</v>
      </c>
      <c r="AR46" s="31">
        <f t="shared" si="452"/>
        <v>18908.193099999997</v>
      </c>
      <c r="AS46" s="31">
        <f t="shared" si="452"/>
        <v>19198.355449999995</v>
      </c>
      <c r="AT46" s="31">
        <f t="shared" si="452"/>
        <v>20829.759809999996</v>
      </c>
      <c r="AU46" s="31">
        <f t="shared" si="452"/>
        <v>22396.346329999997</v>
      </c>
      <c r="AV46" s="31">
        <f t="shared" si="452"/>
        <v>23990.877989999997</v>
      </c>
      <c r="AW46" s="31">
        <f t="shared" si="452"/>
        <v>26522.656869999995</v>
      </c>
      <c r="AX46" s="31">
        <f t="shared" si="452"/>
        <v>29517.000019999992</v>
      </c>
      <c r="AY46" s="31">
        <f t="shared" si="452"/>
        <v>32734.004659999988</v>
      </c>
      <c r="AZ46" s="31">
        <f t="shared" si="452"/>
        <v>34820.946629999977</v>
      </c>
      <c r="BA46" s="31">
        <f t="shared" ref="BA46:DG46" si="453">+AZ46+BA45-BA44</f>
        <v>37684.07522999998</v>
      </c>
      <c r="BB46" s="31">
        <f t="shared" si="453"/>
        <v>38166.870059999987</v>
      </c>
      <c r="BC46" s="31">
        <f t="shared" si="453"/>
        <v>39597.807499999981</v>
      </c>
      <c r="BD46" s="31">
        <f t="shared" si="453"/>
        <v>41002.037189999981</v>
      </c>
      <c r="BE46" s="31">
        <f t="shared" si="453"/>
        <v>44408.634959999981</v>
      </c>
      <c r="BF46" s="31">
        <f t="shared" si="453"/>
        <v>49366.800019999981</v>
      </c>
      <c r="BG46" s="31">
        <f t="shared" si="453"/>
        <v>55174.386969999978</v>
      </c>
      <c r="BH46" s="31">
        <f t="shared" si="453"/>
        <v>62498.131069999974</v>
      </c>
      <c r="BI46" s="31">
        <f t="shared" si="453"/>
        <v>68185.462079999983</v>
      </c>
      <c r="BJ46" s="31">
        <f t="shared" si="453"/>
        <v>71707.813039999994</v>
      </c>
      <c r="BK46" s="31">
        <f t="shared" si="453"/>
        <v>75845.861869999979</v>
      </c>
      <c r="BL46" s="31">
        <f t="shared" si="453"/>
        <v>76103.08964999998</v>
      </c>
      <c r="BM46" s="31">
        <f t="shared" si="453"/>
        <v>72645.294539999959</v>
      </c>
      <c r="BN46" s="31">
        <f t="shared" si="453"/>
        <v>67355.293409999984</v>
      </c>
      <c r="BO46" s="31">
        <f t="shared" si="453"/>
        <v>63391.624949999983</v>
      </c>
      <c r="BP46" s="31">
        <f t="shared" si="453"/>
        <v>65451.491499999982</v>
      </c>
      <c r="BQ46" s="31">
        <f t="shared" si="453"/>
        <v>66829.617499999993</v>
      </c>
      <c r="BR46" s="31">
        <f t="shared" si="453"/>
        <v>68225.154279999988</v>
      </c>
      <c r="BS46" s="31">
        <f t="shared" si="453"/>
        <v>70283.190799999982</v>
      </c>
      <c r="BT46" s="31">
        <f t="shared" si="453"/>
        <v>70121.103499999997</v>
      </c>
      <c r="BU46" s="31">
        <f t="shared" si="453"/>
        <v>74598.595499999981</v>
      </c>
      <c r="BV46" s="31">
        <f t="shared" si="453"/>
        <v>73158.43094999998</v>
      </c>
      <c r="BW46" s="31">
        <f t="shared" si="453"/>
        <v>74813.534349999987</v>
      </c>
      <c r="BX46" s="31">
        <f t="shared" si="453"/>
        <v>78459.844199999992</v>
      </c>
      <c r="BY46" s="31">
        <f t="shared" si="453"/>
        <v>77411.974149999995</v>
      </c>
      <c r="BZ46" s="31">
        <f t="shared" si="453"/>
        <v>71093.29538000001</v>
      </c>
      <c r="CA46" s="31">
        <f t="shared" si="453"/>
        <v>69317.660119999986</v>
      </c>
      <c r="CB46" s="31">
        <f t="shared" si="453"/>
        <v>72736.892419999975</v>
      </c>
      <c r="CC46" s="31">
        <f t="shared" si="453"/>
        <v>72700.487069999959</v>
      </c>
      <c r="CD46" s="31">
        <f t="shared" si="453"/>
        <v>76001.518289999964</v>
      </c>
      <c r="CE46" s="31">
        <f t="shared" si="453"/>
        <v>80077.306439999957</v>
      </c>
      <c r="CF46" s="31">
        <f t="shared" si="453"/>
        <v>80095.716319999963</v>
      </c>
      <c r="CG46" s="31">
        <f t="shared" si="453"/>
        <v>83397.438409999988</v>
      </c>
      <c r="CH46" s="31">
        <f t="shared" si="453"/>
        <v>78174.086039999966</v>
      </c>
      <c r="CI46" s="31">
        <f t="shared" si="453"/>
        <v>79919.674669999964</v>
      </c>
      <c r="CJ46" s="31">
        <f t="shared" si="453"/>
        <v>80348.69114999997</v>
      </c>
      <c r="CK46" s="31">
        <f t="shared" si="453"/>
        <v>77190.432749999949</v>
      </c>
      <c r="CL46" s="31">
        <f t="shared" si="453"/>
        <v>77552.563719999976</v>
      </c>
      <c r="CM46" s="31">
        <f t="shared" si="453"/>
        <v>78406.429889999985</v>
      </c>
      <c r="CN46" s="31">
        <f t="shared" si="453"/>
        <v>80224.250329999981</v>
      </c>
      <c r="CO46" s="31">
        <f t="shared" si="453"/>
        <v>87651.118879999965</v>
      </c>
      <c r="CP46" s="31">
        <f t="shared" si="453"/>
        <v>85983.701429999972</v>
      </c>
      <c r="CQ46" s="31">
        <f t="shared" si="453"/>
        <v>92434.004849999968</v>
      </c>
      <c r="CR46" s="31">
        <f t="shared" si="453"/>
        <v>91613.223189999975</v>
      </c>
      <c r="CS46" s="31">
        <f t="shared" si="453"/>
        <v>93252.552729999967</v>
      </c>
      <c r="CT46" s="31">
        <f t="shared" si="453"/>
        <v>90876.150079999978</v>
      </c>
      <c r="CU46" s="31">
        <f t="shared" si="453"/>
        <v>93114.172769999976</v>
      </c>
      <c r="CV46" s="31">
        <f t="shared" si="453"/>
        <v>93919.198319999952</v>
      </c>
      <c r="CW46" s="31">
        <f t="shared" si="453"/>
        <v>93951.180489999955</v>
      </c>
      <c r="CX46" s="31">
        <f t="shared" si="453"/>
        <v>89165.413179999974</v>
      </c>
      <c r="CY46" s="31">
        <f t="shared" si="453"/>
        <v>83161.051219999979</v>
      </c>
      <c r="CZ46" s="31">
        <f t="shared" si="453"/>
        <v>85184.361059999952</v>
      </c>
      <c r="DA46" s="31">
        <f t="shared" si="453"/>
        <v>88512.194849999971</v>
      </c>
      <c r="DB46" s="31">
        <f t="shared" si="453"/>
        <v>90841.273999999932</v>
      </c>
      <c r="DC46" s="31">
        <f t="shared" si="453"/>
        <v>89589.314129999955</v>
      </c>
      <c r="DD46" s="31">
        <f t="shared" si="453"/>
        <v>86701.418759999971</v>
      </c>
      <c r="DE46" s="31">
        <f t="shared" si="453"/>
        <v>89169.782359999939</v>
      </c>
      <c r="DF46" s="31">
        <f t="shared" si="453"/>
        <v>87015.358699999953</v>
      </c>
      <c r="DG46" s="31">
        <f t="shared" si="453"/>
        <v>94231.152529999948</v>
      </c>
    </row>
    <row r="47" spans="1:111" s="4" customFormat="1" ht="17.25" customHeight="1">
      <c r="A47" s="813"/>
      <c r="B47" s="819" t="s">
        <v>22</v>
      </c>
      <c r="C47" s="820"/>
      <c r="D47" s="100">
        <v>407812.79521999997</v>
      </c>
      <c r="E47" s="100">
        <v>409168.03584999993</v>
      </c>
      <c r="F47" s="56">
        <v>412277.34220999997</v>
      </c>
      <c r="G47" s="56">
        <v>411254.03194999998</v>
      </c>
      <c r="H47" s="56">
        <v>411955.27224000002</v>
      </c>
      <c r="I47" s="56">
        <v>412220.93828999996</v>
      </c>
      <c r="J47" s="56">
        <v>414828.53391999996</v>
      </c>
      <c r="K47" s="56">
        <v>409425.90497000003</v>
      </c>
      <c r="L47" s="56">
        <v>414303.24148999999</v>
      </c>
      <c r="M47" s="56">
        <v>422423.72287</v>
      </c>
      <c r="N47" s="56">
        <v>424754.15408999991</v>
      </c>
      <c r="O47" s="56">
        <v>429484.43735999998</v>
      </c>
      <c r="P47" s="56">
        <v>434533.89434000006</v>
      </c>
      <c r="Q47" s="56">
        <v>437884.85705000005</v>
      </c>
      <c r="R47" s="56">
        <v>445430.85556</v>
      </c>
      <c r="S47" s="56">
        <v>450881.42512999999</v>
      </c>
      <c r="T47" s="56">
        <v>460020.61388999998</v>
      </c>
      <c r="U47" s="56">
        <v>463819.83089000004</v>
      </c>
      <c r="V47" s="56">
        <v>472397.59138999996</v>
      </c>
      <c r="W47" s="56">
        <v>478941.43648999999</v>
      </c>
      <c r="X47" s="56">
        <v>495239.98054000002</v>
      </c>
      <c r="Y47" s="56">
        <v>504549.64941999997</v>
      </c>
      <c r="Z47" s="56">
        <v>511819.37520000001</v>
      </c>
      <c r="AA47" s="56">
        <v>525160.96688000008</v>
      </c>
      <c r="AB47" s="56">
        <v>532996.32964999997</v>
      </c>
      <c r="AC47" s="56">
        <v>543132.79107000004</v>
      </c>
      <c r="AD47" s="56">
        <v>555889.61979999999</v>
      </c>
      <c r="AE47" s="56">
        <v>575935.26653999998</v>
      </c>
      <c r="AF47" s="56">
        <v>598498.23492000008</v>
      </c>
      <c r="AG47" s="56">
        <v>620568.25188</v>
      </c>
      <c r="AH47" s="56">
        <v>643218.21823</v>
      </c>
      <c r="AI47" s="56">
        <v>673350.76692999993</v>
      </c>
      <c r="AJ47" s="56">
        <v>710568.98289999994</v>
      </c>
      <c r="AK47" s="56">
        <v>740140.58966000006</v>
      </c>
      <c r="AL47" s="56">
        <v>772565.32874999987</v>
      </c>
      <c r="AM47" s="56">
        <v>810732.91879999987</v>
      </c>
      <c r="AN47" s="56">
        <v>847714.95092999982</v>
      </c>
      <c r="AO47" s="56">
        <v>898187.93020000006</v>
      </c>
      <c r="AP47" s="56">
        <v>955136.27411</v>
      </c>
      <c r="AQ47" s="56">
        <v>1014760.85234</v>
      </c>
      <c r="AR47" s="56">
        <v>1087761.97092</v>
      </c>
      <c r="AS47" s="56">
        <v>1146112.4488900001</v>
      </c>
      <c r="AT47" s="56">
        <v>1216156.61662</v>
      </c>
      <c r="AU47" s="56">
        <v>1299545.48609</v>
      </c>
      <c r="AV47" s="56">
        <v>1376504.12</v>
      </c>
      <c r="AW47" s="56">
        <v>1449430.8646999998</v>
      </c>
      <c r="AX47" s="56">
        <v>1524201.6194699998</v>
      </c>
      <c r="AY47" s="56">
        <v>1587813.1040800002</v>
      </c>
      <c r="AZ47" s="56">
        <v>1651020.24535</v>
      </c>
      <c r="BA47" s="56">
        <v>1704316.98377</v>
      </c>
      <c r="BB47" s="56">
        <v>1760691.1858499998</v>
      </c>
      <c r="BC47" s="56">
        <v>1828251.8709</v>
      </c>
      <c r="BD47" s="56">
        <v>1924185.2839300002</v>
      </c>
      <c r="BE47" s="56">
        <v>1993236.3317999998</v>
      </c>
      <c r="BF47" s="56">
        <v>2064321.04324</v>
      </c>
      <c r="BG47" s="56">
        <v>2136189.6705700005</v>
      </c>
      <c r="BH47" s="56">
        <v>2197861.09308</v>
      </c>
      <c r="BI47" s="56">
        <v>2261059.6729800003</v>
      </c>
      <c r="BJ47" s="56">
        <v>2329453.1780599998</v>
      </c>
      <c r="BK47" s="56">
        <v>2401677.0483300001</v>
      </c>
      <c r="BL47" s="56">
        <v>2466589.7637499995</v>
      </c>
      <c r="BM47" s="56">
        <v>2524848.3155299993</v>
      </c>
      <c r="BN47" s="56">
        <v>2576127.2142600003</v>
      </c>
      <c r="BO47" s="56">
        <v>2626110.7355</v>
      </c>
      <c r="BP47" s="56">
        <v>2716325.6845499999</v>
      </c>
      <c r="BQ47" s="56">
        <v>2763058.7004599995</v>
      </c>
      <c r="BR47" s="56">
        <v>2820542.6245499994</v>
      </c>
      <c r="BS47" s="56">
        <v>2880375.9754299996</v>
      </c>
      <c r="BT47" s="56">
        <v>2928001.5721400003</v>
      </c>
      <c r="BU47" s="56">
        <v>2987447.3432499999</v>
      </c>
      <c r="BV47" s="56">
        <v>3030868.6110900003</v>
      </c>
      <c r="BW47" s="56">
        <v>3086628.0453299996</v>
      </c>
      <c r="BX47" s="56">
        <v>3089731.4155799998</v>
      </c>
      <c r="BY47" s="56">
        <v>3183988.2102100002</v>
      </c>
      <c r="BZ47" s="56">
        <v>3241909.8012200003</v>
      </c>
      <c r="CA47" s="56">
        <v>3292491.21893</v>
      </c>
      <c r="CB47" s="56">
        <v>3350611.1644499996</v>
      </c>
      <c r="CC47" s="56">
        <v>3404827.1894800006</v>
      </c>
      <c r="CD47" s="56">
        <v>3464691.5241799997</v>
      </c>
      <c r="CE47" s="56">
        <v>3495176.2703799997</v>
      </c>
      <c r="CF47" s="56">
        <v>3545049.14</v>
      </c>
      <c r="CG47" s="56">
        <v>3678617.3636699999</v>
      </c>
      <c r="CH47" s="56">
        <v>3646140.8246299992</v>
      </c>
      <c r="CI47" s="56">
        <v>3710833.29996</v>
      </c>
      <c r="CJ47" s="56">
        <v>3742068.3030699999</v>
      </c>
      <c r="CK47" s="56">
        <v>3770359.5248799999</v>
      </c>
      <c r="CL47" s="56">
        <v>3806221.0556799998</v>
      </c>
      <c r="CM47" s="56">
        <v>3837736.1126200003</v>
      </c>
      <c r="CN47" s="56">
        <v>3901746.6473699999</v>
      </c>
      <c r="CO47" s="56">
        <v>3928830.7672099997</v>
      </c>
      <c r="CP47" s="56">
        <v>3981998.3825800004</v>
      </c>
      <c r="CQ47" s="56">
        <v>4004014.27703</v>
      </c>
      <c r="CR47" s="56">
        <v>4041556.8570200005</v>
      </c>
      <c r="CS47" s="56">
        <v>4062619.9236799995</v>
      </c>
      <c r="CT47" s="56">
        <v>4091117.0972199999</v>
      </c>
      <c r="CU47" s="56">
        <v>4139655.3555800002</v>
      </c>
      <c r="CV47" s="56">
        <v>4155633.3974899999</v>
      </c>
      <c r="CW47" s="56">
        <v>4130816.2602400002</v>
      </c>
      <c r="CX47" s="56">
        <v>4171707.4544500001</v>
      </c>
      <c r="CY47" s="56">
        <v>4202280.7968300004</v>
      </c>
      <c r="CZ47" s="56">
        <v>4260855.1718599992</v>
      </c>
      <c r="DA47" s="56">
        <v>4314716.5775900008</v>
      </c>
      <c r="DB47" s="56">
        <v>4352018.4096400002</v>
      </c>
      <c r="DC47" s="56">
        <v>4385209.0514600007</v>
      </c>
      <c r="DD47" s="56">
        <v>4470524.910170001</v>
      </c>
      <c r="DE47" s="56">
        <v>4538987.8008500002</v>
      </c>
      <c r="DF47" s="56">
        <v>4605314.82596</v>
      </c>
      <c r="DG47" s="56">
        <v>4705762.6086599994</v>
      </c>
    </row>
    <row r="48" spans="1:111" s="4" customFormat="1" ht="17.25" customHeight="1">
      <c r="A48" s="813"/>
      <c r="B48" s="785" t="s">
        <v>32</v>
      </c>
      <c r="C48" s="786"/>
      <c r="D48" s="101">
        <f t="shared" ref="D48:S48" si="454">+D49-D47</f>
        <v>10200.000000000058</v>
      </c>
      <c r="E48" s="101">
        <f t="shared" si="454"/>
        <v>15600.000000000058</v>
      </c>
      <c r="F48" s="57">
        <f t="shared" si="454"/>
        <v>12600</v>
      </c>
      <c r="G48" s="57">
        <f t="shared" si="454"/>
        <v>12500</v>
      </c>
      <c r="H48" s="57">
        <f t="shared" si="454"/>
        <v>8800</v>
      </c>
      <c r="I48" s="57">
        <f t="shared" si="454"/>
        <v>7100.2710000000661</v>
      </c>
      <c r="J48" s="57">
        <f t="shared" si="454"/>
        <v>7089.9710000000196</v>
      </c>
      <c r="K48" s="57">
        <f t="shared" si="454"/>
        <v>16100.000029999996</v>
      </c>
      <c r="L48" s="57">
        <f t="shared" si="454"/>
        <v>16400</v>
      </c>
      <c r="M48" s="57">
        <f t="shared" si="454"/>
        <v>10400</v>
      </c>
      <c r="N48" s="57">
        <f t="shared" si="454"/>
        <v>13300.000000000116</v>
      </c>
      <c r="O48" s="57">
        <f t="shared" si="454"/>
        <v>12900</v>
      </c>
      <c r="P48" s="57">
        <f t="shared" si="454"/>
        <v>12799.999999999942</v>
      </c>
      <c r="Q48" s="57">
        <f t="shared" si="454"/>
        <v>16399.999999999942</v>
      </c>
      <c r="R48" s="57">
        <f t="shared" si="454"/>
        <v>14600</v>
      </c>
      <c r="S48" s="57">
        <f t="shared" si="454"/>
        <v>16400.000900000043</v>
      </c>
      <c r="T48" s="57">
        <f t="shared" ref="T48:Y48" si="455">+T49-T47</f>
        <v>16100</v>
      </c>
      <c r="U48" s="57">
        <f t="shared" si="455"/>
        <v>15499.999999999942</v>
      </c>
      <c r="V48" s="57">
        <f t="shared" si="455"/>
        <v>14200.000000000116</v>
      </c>
      <c r="W48" s="57">
        <f t="shared" si="455"/>
        <v>19099.999999999884</v>
      </c>
      <c r="X48" s="57">
        <f t="shared" si="455"/>
        <v>18900</v>
      </c>
      <c r="Y48" s="57">
        <f t="shared" si="455"/>
        <v>17400</v>
      </c>
      <c r="Z48" s="57">
        <f t="shared" ref="Z48:AE48" si="456">+Z49-Z47</f>
        <v>21500</v>
      </c>
      <c r="AA48" s="57">
        <f t="shared" si="456"/>
        <v>16299.999999999884</v>
      </c>
      <c r="AB48" s="57">
        <f t="shared" si="456"/>
        <v>17000</v>
      </c>
      <c r="AC48" s="57">
        <f t="shared" si="456"/>
        <v>20500</v>
      </c>
      <c r="AD48" s="57">
        <f t="shared" si="456"/>
        <v>18500.000000000116</v>
      </c>
      <c r="AE48" s="57">
        <f t="shared" si="456"/>
        <v>21400</v>
      </c>
      <c r="AF48" s="57">
        <f t="shared" ref="AF48:AM48" si="457">+AF49-AF47</f>
        <v>24899.999999999884</v>
      </c>
      <c r="AG48" s="57">
        <f t="shared" si="457"/>
        <v>22200</v>
      </c>
      <c r="AH48" s="57">
        <f t="shared" si="457"/>
        <v>26428</v>
      </c>
      <c r="AI48" s="57">
        <f t="shared" si="457"/>
        <v>24689.000000000116</v>
      </c>
      <c r="AJ48" s="57">
        <f t="shared" si="457"/>
        <v>17300</v>
      </c>
      <c r="AK48" s="57">
        <f t="shared" si="457"/>
        <v>13755.546789999935</v>
      </c>
      <c r="AL48" s="57">
        <f t="shared" si="457"/>
        <v>20840.000000000116</v>
      </c>
      <c r="AM48" s="57">
        <f t="shared" si="457"/>
        <v>19709.995000000228</v>
      </c>
      <c r="AN48" s="57">
        <f t="shared" ref="AN48:AS48" si="458">+AN49-AN47</f>
        <v>27850.000000000116</v>
      </c>
      <c r="AO48" s="57">
        <f t="shared" si="458"/>
        <v>31000</v>
      </c>
      <c r="AP48" s="57">
        <f t="shared" si="458"/>
        <v>31599.999999999884</v>
      </c>
      <c r="AQ48" s="57">
        <f t="shared" si="458"/>
        <v>37380</v>
      </c>
      <c r="AR48" s="57">
        <f t="shared" si="458"/>
        <v>35369.282270000083</v>
      </c>
      <c r="AS48" s="57">
        <f t="shared" si="458"/>
        <v>35699.999999999767</v>
      </c>
      <c r="AT48" s="57">
        <f t="shared" ref="AT48:AZ48" si="459">+AT49-AT47</f>
        <v>41300.001000000164</v>
      </c>
      <c r="AU48" s="57">
        <f t="shared" si="459"/>
        <v>41030.000000000233</v>
      </c>
      <c r="AV48" s="57">
        <f t="shared" si="459"/>
        <v>35496.325000000186</v>
      </c>
      <c r="AW48" s="57">
        <f t="shared" si="459"/>
        <v>31852.673640000168</v>
      </c>
      <c r="AX48" s="57">
        <f t="shared" si="459"/>
        <v>33072.931950000348</v>
      </c>
      <c r="AY48" s="57">
        <f t="shared" si="459"/>
        <v>39383.263719999697</v>
      </c>
      <c r="AZ48" s="57">
        <f t="shared" si="459"/>
        <v>35534.190310000209</v>
      </c>
      <c r="BA48" s="57">
        <f t="shared" ref="BA48:BG48" si="460">+BA49-BA47</f>
        <v>35010.561279999791</v>
      </c>
      <c r="BB48" s="57">
        <f t="shared" si="460"/>
        <v>47516.803170000203</v>
      </c>
      <c r="BC48" s="57">
        <f t="shared" si="460"/>
        <v>75571.71773926029</v>
      </c>
      <c r="BD48" s="57">
        <f t="shared" si="460"/>
        <v>62499.751588439336</v>
      </c>
      <c r="BE48" s="57">
        <f t="shared" si="460"/>
        <v>70800.039566683816</v>
      </c>
      <c r="BF48" s="57">
        <f t="shared" si="460"/>
        <v>80647.394921860192</v>
      </c>
      <c r="BG48" s="57">
        <f t="shared" si="460"/>
        <v>82269.115082152653</v>
      </c>
      <c r="BH48" s="57">
        <f t="shared" ref="BH48:BM48" si="461">+BH49-BH47</f>
        <v>80906.314069999848</v>
      </c>
      <c r="BI48" s="57">
        <f t="shared" si="461"/>
        <v>91282.147671038285</v>
      </c>
      <c r="BJ48" s="57">
        <f t="shared" si="461"/>
        <v>88314.446544580627</v>
      </c>
      <c r="BK48" s="57">
        <f t="shared" si="461"/>
        <v>91618.1934265499</v>
      </c>
      <c r="BL48" s="57">
        <f t="shared" si="461"/>
        <v>84360.118000000715</v>
      </c>
      <c r="BM48" s="57">
        <f t="shared" si="461"/>
        <v>25111.155048805755</v>
      </c>
      <c r="BN48" s="57">
        <f t="shared" ref="BN48:BS48" si="462">+BN49-BN47</f>
        <v>82430.072200979106</v>
      </c>
      <c r="BO48" s="57">
        <f t="shared" si="462"/>
        <v>120378.14830673393</v>
      </c>
      <c r="BP48" s="57">
        <f t="shared" si="462"/>
        <v>77169.574000000488</v>
      </c>
      <c r="BQ48" s="57">
        <f t="shared" si="462"/>
        <v>89305.203394749202</v>
      </c>
      <c r="BR48" s="57">
        <f t="shared" si="462"/>
        <v>86263.319800000638</v>
      </c>
      <c r="BS48" s="57">
        <f t="shared" si="462"/>
        <v>87378.10881011514</v>
      </c>
      <c r="BT48" s="57">
        <f t="shared" ref="BT48:BY48" si="463">+BT49-BT47</f>
        <v>89825.880799999461</v>
      </c>
      <c r="BU48" s="57">
        <f t="shared" si="463"/>
        <v>86944.64100000076</v>
      </c>
      <c r="BV48" s="57">
        <f t="shared" si="463"/>
        <v>97098.224129999988</v>
      </c>
      <c r="BW48" s="57">
        <f t="shared" si="463"/>
        <v>88223.615128005855</v>
      </c>
      <c r="BX48" s="57">
        <f t="shared" si="463"/>
        <v>138849.89174000034</v>
      </c>
      <c r="BY48" s="57">
        <f t="shared" si="463"/>
        <v>89232.241536432412</v>
      </c>
      <c r="BZ48" s="57">
        <f t="shared" ref="BZ48:CE48" si="464">+BZ49-BZ47</f>
        <v>86841.237673383206</v>
      </c>
      <c r="CA48" s="57">
        <f t="shared" si="464"/>
        <v>108553.26102000009</v>
      </c>
      <c r="CB48" s="57">
        <f t="shared" si="464"/>
        <v>111590.65647338005</v>
      </c>
      <c r="CC48" s="57">
        <f t="shared" si="464"/>
        <v>115065.43582371762</v>
      </c>
      <c r="CD48" s="57">
        <f t="shared" si="464"/>
        <v>105029.37626532651</v>
      </c>
      <c r="CE48" s="57">
        <f t="shared" si="464"/>
        <v>110339.28593904572</v>
      </c>
      <c r="CF48" s="57">
        <f t="shared" ref="CF48:CG48" si="465">+CF49-CF47</f>
        <v>113232.04327813396</v>
      </c>
      <c r="CG48" s="57">
        <f t="shared" si="465"/>
        <v>32174.868734388612</v>
      </c>
      <c r="CH48" s="57">
        <f t="shared" ref="CH48:CI48" si="466">+CH49-CH47</f>
        <v>123509.24848514237</v>
      </c>
      <c r="CI48" s="57">
        <f t="shared" si="466"/>
        <v>102691.46521068178</v>
      </c>
      <c r="CJ48" s="57">
        <f t="shared" ref="CJ48:CK48" si="467">+CJ49-CJ47</f>
        <v>99129.228130000178</v>
      </c>
      <c r="CK48" s="57">
        <f t="shared" si="467"/>
        <v>117818.38281249162</v>
      </c>
      <c r="CL48" s="57">
        <f t="shared" ref="CL48:CM48" si="468">+CL49-CL47</f>
        <v>125556.32836479461</v>
      </c>
      <c r="CM48" s="57">
        <f t="shared" si="468"/>
        <v>155061.97019000025</v>
      </c>
      <c r="CN48" s="57">
        <f t="shared" ref="CN48:CO48" si="469">+CN49-CN47</f>
        <v>129966.3035728503</v>
      </c>
      <c r="CO48" s="57">
        <f t="shared" si="469"/>
        <v>142974.92694999976</v>
      </c>
      <c r="CP48" s="57">
        <f t="shared" ref="CP48:CQ48" si="470">+CP49-CP47</f>
        <v>127905.02473000018</v>
      </c>
      <c r="CQ48" s="57">
        <f t="shared" si="470"/>
        <v>132359.8309600004</v>
      </c>
      <c r="CR48" s="57">
        <f t="shared" ref="CR48:CS48" si="471">+CR49-CR47</f>
        <v>135980.5127499993</v>
      </c>
      <c r="CS48" s="57">
        <f t="shared" si="471"/>
        <v>138187.39212000044</v>
      </c>
      <c r="CT48" s="57">
        <f t="shared" ref="CT48:CU48" si="472">+CT49-CT47</f>
        <v>142116.80247000046</v>
      </c>
      <c r="CU48" s="57">
        <f t="shared" si="472"/>
        <v>132180.82433000021</v>
      </c>
      <c r="CV48" s="57">
        <f t="shared" ref="CV48:CW48" si="473">+CV49-CV47</f>
        <v>112582.04740000004</v>
      </c>
      <c r="CW48" s="57">
        <f t="shared" si="473"/>
        <v>171462.37785999989</v>
      </c>
      <c r="CX48" s="57">
        <f t="shared" ref="CX48:CY48" si="474">+CX49-CX47</f>
        <v>169775.77168999985</v>
      </c>
      <c r="CY48" s="57">
        <f t="shared" si="474"/>
        <v>194351.1141499998</v>
      </c>
      <c r="CZ48" s="57">
        <f t="shared" ref="CZ48:DA48" si="475">+CZ49-CZ47</f>
        <v>197740.86379000079</v>
      </c>
      <c r="DA48" s="57">
        <f t="shared" si="475"/>
        <v>178176.97977998946</v>
      </c>
      <c r="DB48" s="57">
        <f t="shared" ref="DB48:DC48" si="476">+DB49-DB47</f>
        <v>181885.61511998996</v>
      </c>
      <c r="DC48" s="57">
        <f t="shared" si="476"/>
        <v>222541.62281998899</v>
      </c>
      <c r="DD48" s="57">
        <f t="shared" ref="DD48:DE48" si="477">+DD49-DD47</f>
        <v>217647.16508998908</v>
      </c>
      <c r="DE48" s="57">
        <f t="shared" si="477"/>
        <v>211692.8603899898</v>
      </c>
      <c r="DF48" s="57">
        <f t="shared" ref="DF48:DG48" si="478">+DF49-DF47</f>
        <v>241140.39666999038</v>
      </c>
      <c r="DG48" s="57">
        <f t="shared" si="478"/>
        <v>215514.07080999017</v>
      </c>
    </row>
    <row r="49" spans="1:111" s="4" customFormat="1" ht="17.25" customHeight="1">
      <c r="A49" s="813"/>
      <c r="B49" s="804" t="s">
        <v>24</v>
      </c>
      <c r="C49" s="805"/>
      <c r="D49" s="102">
        <v>418012.79522000003</v>
      </c>
      <c r="E49" s="102">
        <v>424768.03584999999</v>
      </c>
      <c r="F49" s="60">
        <v>424877.34220999997</v>
      </c>
      <c r="G49" s="60">
        <v>423754.03194999998</v>
      </c>
      <c r="H49" s="60">
        <v>420755.27224000002</v>
      </c>
      <c r="I49" s="60">
        <v>419321.20929000003</v>
      </c>
      <c r="J49" s="60">
        <v>421918.50491999998</v>
      </c>
      <c r="K49" s="60">
        <v>425525.90500000003</v>
      </c>
      <c r="L49" s="60">
        <v>430703.24148999999</v>
      </c>
      <c r="M49" s="60">
        <v>432823.72287</v>
      </c>
      <c r="N49" s="60">
        <v>438054.15409000003</v>
      </c>
      <c r="O49" s="60">
        <v>442384.43735999998</v>
      </c>
      <c r="P49" s="60">
        <v>447333.89434</v>
      </c>
      <c r="Q49" s="60">
        <v>454284.85704999999</v>
      </c>
      <c r="R49" s="60">
        <v>460030.85556</v>
      </c>
      <c r="S49" s="60">
        <v>467281.42603000003</v>
      </c>
      <c r="T49" s="60">
        <v>476120.61388999998</v>
      </c>
      <c r="U49" s="60">
        <v>479319.83088999998</v>
      </c>
      <c r="V49" s="60">
        <v>486597.59139000007</v>
      </c>
      <c r="W49" s="60">
        <v>498041.43648999988</v>
      </c>
      <c r="X49" s="60">
        <v>514139.98054000002</v>
      </c>
      <c r="Y49" s="60">
        <v>521949.64941999997</v>
      </c>
      <c r="Z49" s="60">
        <v>533319.37520000001</v>
      </c>
      <c r="AA49" s="60">
        <v>541460.96687999996</v>
      </c>
      <c r="AB49" s="60">
        <v>549996.32964999997</v>
      </c>
      <c r="AC49" s="60">
        <v>563632.79107000004</v>
      </c>
      <c r="AD49" s="60">
        <v>574389.6198000001</v>
      </c>
      <c r="AE49" s="60">
        <v>597335.26653999998</v>
      </c>
      <c r="AF49" s="60">
        <v>623398.23491999996</v>
      </c>
      <c r="AG49" s="60">
        <v>642768.25188</v>
      </c>
      <c r="AH49" s="60">
        <v>669646.21823</v>
      </c>
      <c r="AI49" s="60">
        <v>698039.76693000004</v>
      </c>
      <c r="AJ49" s="60">
        <v>727868.98289999994</v>
      </c>
      <c r="AK49" s="60">
        <v>753896.13644999999</v>
      </c>
      <c r="AL49" s="60">
        <v>793405.32874999999</v>
      </c>
      <c r="AM49" s="60">
        <v>830442.9138000001</v>
      </c>
      <c r="AN49" s="60">
        <v>875564.95092999993</v>
      </c>
      <c r="AO49" s="60">
        <v>929187.93020000006</v>
      </c>
      <c r="AP49" s="60">
        <v>986736.27410999988</v>
      </c>
      <c r="AQ49" s="60">
        <v>1052140.85234</v>
      </c>
      <c r="AR49" s="60">
        <v>1123131.2531900001</v>
      </c>
      <c r="AS49" s="60">
        <v>1181812.4488899999</v>
      </c>
      <c r="AT49" s="60">
        <v>1257456.6176200002</v>
      </c>
      <c r="AU49" s="60">
        <v>1340575.4860900003</v>
      </c>
      <c r="AV49" s="60">
        <v>1412000.4450000003</v>
      </c>
      <c r="AW49" s="60">
        <v>1481283.53834</v>
      </c>
      <c r="AX49" s="60">
        <v>1557274.5514200001</v>
      </c>
      <c r="AY49" s="60">
        <v>1627196.3677999999</v>
      </c>
      <c r="AZ49" s="60">
        <v>1686554.4356600002</v>
      </c>
      <c r="BA49" s="60">
        <v>1739327.5450499998</v>
      </c>
      <c r="BB49" s="60">
        <v>1808207.98902</v>
      </c>
      <c r="BC49" s="60">
        <v>1903823.5886392603</v>
      </c>
      <c r="BD49" s="60">
        <v>1986685.0355184395</v>
      </c>
      <c r="BE49" s="60">
        <v>2064036.3713666836</v>
      </c>
      <c r="BF49" s="60">
        <v>2144968.4381618602</v>
      </c>
      <c r="BG49" s="60">
        <v>2218458.7856521532</v>
      </c>
      <c r="BH49" s="60">
        <v>2278767.4071499999</v>
      </c>
      <c r="BI49" s="60">
        <v>2352341.8206510385</v>
      </c>
      <c r="BJ49" s="60">
        <v>2417767.6246045805</v>
      </c>
      <c r="BK49" s="60">
        <v>2493295.24175655</v>
      </c>
      <c r="BL49" s="60">
        <v>2550949.8817500002</v>
      </c>
      <c r="BM49" s="60">
        <v>2549959.4705788051</v>
      </c>
      <c r="BN49" s="60">
        <v>2658557.2864609794</v>
      </c>
      <c r="BO49" s="60">
        <v>2746488.8838067339</v>
      </c>
      <c r="BP49" s="60">
        <v>2793495.2585500004</v>
      </c>
      <c r="BQ49" s="60">
        <v>2852363.9038547487</v>
      </c>
      <c r="BR49" s="60">
        <v>2906805.94435</v>
      </c>
      <c r="BS49" s="60">
        <v>2967754.0842401148</v>
      </c>
      <c r="BT49" s="60">
        <v>3017827.4529399998</v>
      </c>
      <c r="BU49" s="60">
        <v>3074391.9842500007</v>
      </c>
      <c r="BV49" s="60">
        <v>3127966.8352200002</v>
      </c>
      <c r="BW49" s="60">
        <v>3174851.6604580055</v>
      </c>
      <c r="BX49" s="60">
        <v>3228581.3073200001</v>
      </c>
      <c r="BY49" s="60">
        <v>3273220.4517464326</v>
      </c>
      <c r="BZ49" s="60">
        <v>3328751.0388933835</v>
      </c>
      <c r="CA49" s="60">
        <v>3401044.4799500001</v>
      </c>
      <c r="CB49" s="60">
        <v>3462201.8209233796</v>
      </c>
      <c r="CC49" s="60">
        <v>3519892.6253037183</v>
      </c>
      <c r="CD49" s="60">
        <v>3569720.9004453262</v>
      </c>
      <c r="CE49" s="60">
        <v>3605515.5563190454</v>
      </c>
      <c r="CF49" s="60">
        <v>3658281.1832781341</v>
      </c>
      <c r="CG49" s="60">
        <v>3710792.2324043885</v>
      </c>
      <c r="CH49" s="60">
        <v>3769650.0731151416</v>
      </c>
      <c r="CI49" s="60">
        <v>3813524.7651706818</v>
      </c>
      <c r="CJ49" s="60">
        <v>3841197.5312000001</v>
      </c>
      <c r="CK49" s="60">
        <v>3888177.9076924915</v>
      </c>
      <c r="CL49" s="60">
        <v>3931777.3840447944</v>
      </c>
      <c r="CM49" s="60">
        <v>3992798.0828100005</v>
      </c>
      <c r="CN49" s="60">
        <v>4031712.9509428502</v>
      </c>
      <c r="CO49" s="60">
        <v>4071805.6941599995</v>
      </c>
      <c r="CP49" s="60">
        <v>4109903.4073100006</v>
      </c>
      <c r="CQ49" s="60">
        <v>4136374.1079900004</v>
      </c>
      <c r="CR49" s="60">
        <v>4177537.3697699998</v>
      </c>
      <c r="CS49" s="60">
        <v>4200807.3158</v>
      </c>
      <c r="CT49" s="60">
        <v>4233233.8996900003</v>
      </c>
      <c r="CU49" s="60">
        <v>4271836.1799100004</v>
      </c>
      <c r="CV49" s="60">
        <v>4268215.4448899999</v>
      </c>
      <c r="CW49" s="60">
        <v>4302278.6381000001</v>
      </c>
      <c r="CX49" s="60">
        <v>4341483.2261399999</v>
      </c>
      <c r="CY49" s="60">
        <v>4396631.9109800002</v>
      </c>
      <c r="CZ49" s="60">
        <v>4458596.03565</v>
      </c>
      <c r="DA49" s="60">
        <v>4492893.5573699903</v>
      </c>
      <c r="DB49" s="60">
        <v>4533904.0247599902</v>
      </c>
      <c r="DC49" s="60">
        <v>4607750.6742799897</v>
      </c>
      <c r="DD49" s="60">
        <v>4688172.0752599901</v>
      </c>
      <c r="DE49" s="60">
        <v>4750680.66123999</v>
      </c>
      <c r="DF49" s="60">
        <v>4846455.2226299904</v>
      </c>
      <c r="DG49" s="60">
        <v>4921276.6794699896</v>
      </c>
    </row>
    <row r="50" spans="1:111" s="4" customFormat="1" ht="17.25" customHeight="1" thickBot="1">
      <c r="A50" s="825"/>
      <c r="B50" s="821" t="s">
        <v>25</v>
      </c>
      <c r="C50" s="822"/>
      <c r="D50" s="103">
        <f t="shared" ref="D50:S50" si="479">+D46/D49</f>
        <v>1.9906562658256809E-2</v>
      </c>
      <c r="E50" s="103">
        <f t="shared" si="479"/>
        <v>2.0373882141772277E-2</v>
      </c>
      <c r="F50" s="61">
        <f t="shared" si="479"/>
        <v>2.0441494608359912E-2</v>
      </c>
      <c r="G50" s="61">
        <f t="shared" si="479"/>
        <v>1.9620613311311302E-2</v>
      </c>
      <c r="H50" s="61">
        <f t="shared" si="479"/>
        <v>1.8534517127932078E-2</v>
      </c>
      <c r="I50" s="61">
        <f t="shared" si="479"/>
        <v>1.9336147612777969E-2</v>
      </c>
      <c r="J50" s="61">
        <f t="shared" si="479"/>
        <v>2.0299007984074854E-2</v>
      </c>
      <c r="K50" s="61">
        <f t="shared" si="479"/>
        <v>2.0576646373620909E-2</v>
      </c>
      <c r="L50" s="61">
        <f t="shared" si="479"/>
        <v>1.9424075939289739E-2</v>
      </c>
      <c r="M50" s="61">
        <f t="shared" si="479"/>
        <v>2.036441693064819E-2</v>
      </c>
      <c r="N50" s="61">
        <f t="shared" si="479"/>
        <v>2.1100141920126599E-2</v>
      </c>
      <c r="O50" s="61">
        <f t="shared" si="479"/>
        <v>2.1764834806258491E-2</v>
      </c>
      <c r="P50" s="61">
        <f t="shared" si="479"/>
        <v>2.1555585239581926E-2</v>
      </c>
      <c r="Q50" s="61">
        <f t="shared" si="479"/>
        <v>2.1967780204704503E-2</v>
      </c>
      <c r="R50" s="61">
        <f t="shared" si="479"/>
        <v>2.1298493832707908E-2</v>
      </c>
      <c r="S50" s="61">
        <f t="shared" si="479"/>
        <v>2.128665841591016E-2</v>
      </c>
      <c r="T50" s="61">
        <f t="shared" ref="T50:Y50" si="480">+T46/T49</f>
        <v>2.1332703297628278E-2</v>
      </c>
      <c r="U50" s="61">
        <f t="shared" si="480"/>
        <v>2.2567560745222818E-2</v>
      </c>
      <c r="V50" s="61">
        <f t="shared" si="480"/>
        <v>2.3071934630687366E-2</v>
      </c>
      <c r="W50" s="61">
        <f t="shared" si="480"/>
        <v>2.2763931430889374E-2</v>
      </c>
      <c r="X50" s="61">
        <f t="shared" si="480"/>
        <v>2.2207780783762041E-2</v>
      </c>
      <c r="Y50" s="61">
        <f t="shared" si="480"/>
        <v>2.4074401111224341E-2</v>
      </c>
      <c r="Z50" s="61">
        <f t="shared" ref="Z50:AE50" si="481">+Z46/Z49</f>
        <v>2.4013530101353049E-2</v>
      </c>
      <c r="AA50" s="61">
        <f t="shared" si="481"/>
        <v>2.4329030097786319E-2</v>
      </c>
      <c r="AB50" s="61">
        <f t="shared" si="481"/>
        <v>2.3045326571662514E-2</v>
      </c>
      <c r="AC50" s="61">
        <f t="shared" si="481"/>
        <v>2.3137056691189577E-2</v>
      </c>
      <c r="AD50" s="61">
        <f t="shared" si="481"/>
        <v>2.2453056767444038E-2</v>
      </c>
      <c r="AE50" s="61">
        <f t="shared" si="481"/>
        <v>2.1892641205915296E-2</v>
      </c>
      <c r="AF50" s="61">
        <f t="shared" ref="AF50:AM50" si="482">+AF46/AF49</f>
        <v>2.1132102438003481E-2</v>
      </c>
      <c r="AG50" s="61">
        <f t="shared" si="482"/>
        <v>2.0745671540245082E-2</v>
      </c>
      <c r="AH50" s="61">
        <f t="shared" si="482"/>
        <v>1.9119260172694007E-2</v>
      </c>
      <c r="AI50" s="61">
        <f t="shared" si="482"/>
        <v>1.9320685237338982E-2</v>
      </c>
      <c r="AJ50" s="61">
        <f>+AJ46/AJ49</f>
        <v>1.897064406424509E-2</v>
      </c>
      <c r="AK50" s="61">
        <f t="shared" si="482"/>
        <v>1.9960098642842698E-2</v>
      </c>
      <c r="AL50" s="61">
        <f t="shared" si="482"/>
        <v>1.9193178704750406E-2</v>
      </c>
      <c r="AM50" s="61">
        <f t="shared" si="482"/>
        <v>2.0682658644657327E-2</v>
      </c>
      <c r="AN50" s="61">
        <f t="shared" ref="AN50:AS50" si="483">+AN46/AN49</f>
        <v>2.0502681555414591E-2</v>
      </c>
      <c r="AO50" s="61">
        <f t="shared" si="483"/>
        <v>1.9976862900064382E-2</v>
      </c>
      <c r="AP50" s="61">
        <f t="shared" si="483"/>
        <v>1.8535129770612987E-2</v>
      </c>
      <c r="AQ50" s="61">
        <f t="shared" si="483"/>
        <v>1.7664501153685896E-2</v>
      </c>
      <c r="AR50" s="61">
        <f t="shared" si="483"/>
        <v>1.6835247925205139E-2</v>
      </c>
      <c r="AS50" s="61">
        <f t="shared" si="483"/>
        <v>1.6244841106583172E-2</v>
      </c>
      <c r="AT50" s="61">
        <f t="shared" ref="AT50:AZ50" si="484">+AT46/AT49</f>
        <v>1.6564992794283969E-2</v>
      </c>
      <c r="AU50" s="61">
        <f t="shared" si="484"/>
        <v>1.6706516389705491E-2</v>
      </c>
      <c r="AV50" s="61">
        <f t="shared" si="484"/>
        <v>1.6990701437066467E-2</v>
      </c>
      <c r="AW50" s="61">
        <f t="shared" si="484"/>
        <v>1.7905185728130487E-2</v>
      </c>
      <c r="AX50" s="61">
        <f t="shared" si="484"/>
        <v>1.8954268528362534E-2</v>
      </c>
      <c r="AY50" s="61">
        <f t="shared" si="484"/>
        <v>2.011681276320508E-2</v>
      </c>
      <c r="AZ50" s="61">
        <f t="shared" si="484"/>
        <v>2.0646203818718414E-2</v>
      </c>
      <c r="BA50" s="61">
        <f t="shared" ref="BA50:BG50" si="485">+BA46/BA49</f>
        <v>2.16658876801245E-2</v>
      </c>
      <c r="BB50" s="61">
        <f t="shared" si="485"/>
        <v>2.1107566326308183E-2</v>
      </c>
      <c r="BC50" s="61">
        <f t="shared" si="485"/>
        <v>2.0799094903694377E-2</v>
      </c>
      <c r="BD50" s="61">
        <f t="shared" si="485"/>
        <v>2.0638418499639127E-2</v>
      </c>
      <c r="BE50" s="61">
        <f t="shared" si="485"/>
        <v>2.1515432371278998E-2</v>
      </c>
      <c r="BF50" s="61">
        <f t="shared" si="485"/>
        <v>2.3015163832576048E-2</v>
      </c>
      <c r="BG50" s="61">
        <f t="shared" si="485"/>
        <v>2.487059364223462E-2</v>
      </c>
      <c r="BH50" s="61">
        <f t="shared" ref="BH50:BM50" si="486">+BH46/BH49</f>
        <v>2.7426287945800005E-2</v>
      </c>
      <c r="BI50" s="61">
        <f t="shared" si="486"/>
        <v>2.898620493050999E-2</v>
      </c>
      <c r="BJ50" s="61">
        <f t="shared" si="486"/>
        <v>2.9658686926841291E-2</v>
      </c>
      <c r="BK50" s="61">
        <f t="shared" si="486"/>
        <v>3.0419928053352339E-2</v>
      </c>
      <c r="BL50" s="61">
        <f t="shared" si="486"/>
        <v>2.9833235923001283E-2</v>
      </c>
      <c r="BM50" s="61">
        <f t="shared" si="486"/>
        <v>2.8488803597929536E-2</v>
      </c>
      <c r="BN50" s="61">
        <f t="shared" ref="BN50:BS50" si="487">+BN46/BN49</f>
        <v>2.5335280060736272E-2</v>
      </c>
      <c r="BO50" s="61">
        <f t="shared" si="487"/>
        <v>2.308096905971703E-2</v>
      </c>
      <c r="BP50" s="61">
        <f t="shared" si="487"/>
        <v>2.3429963340612012E-2</v>
      </c>
      <c r="BQ50" s="61">
        <f t="shared" si="487"/>
        <v>2.3429555187430659E-2</v>
      </c>
      <c r="BR50" s="61">
        <f t="shared" si="487"/>
        <v>2.3470832104430704E-2</v>
      </c>
      <c r="BS50" s="61">
        <f t="shared" si="487"/>
        <v>2.368228256284105E-2</v>
      </c>
      <c r="BT50" s="61">
        <f t="shared" ref="BT50:BY50" si="488">+BT46/BT49</f>
        <v>2.3235623836507707E-2</v>
      </c>
      <c r="BU50" s="61">
        <f t="shared" si="488"/>
        <v>2.4264503642400154E-2</v>
      </c>
      <c r="BV50" s="61">
        <f t="shared" si="488"/>
        <v>2.3388493166314056E-2</v>
      </c>
      <c r="BW50" s="61">
        <f t="shared" si="488"/>
        <v>2.3564418861449218E-2</v>
      </c>
      <c r="BX50" s="61">
        <f t="shared" si="488"/>
        <v>2.4301647296944926E-2</v>
      </c>
      <c r="BY50" s="61">
        <f t="shared" si="488"/>
        <v>2.3650094850377921E-2</v>
      </c>
      <c r="BZ50" s="61">
        <f t="shared" ref="BZ50:CE50" si="489">+BZ46/BZ49</f>
        <v>2.1357348311525998E-2</v>
      </c>
      <c r="CA50" s="61">
        <f t="shared" si="489"/>
        <v>2.0381285963369421E-2</v>
      </c>
      <c r="CB50" s="61">
        <f t="shared" si="489"/>
        <v>2.1008853955429098E-2</v>
      </c>
      <c r="CC50" s="61">
        <f t="shared" si="489"/>
        <v>2.0654177501714818E-2</v>
      </c>
      <c r="CD50" s="61">
        <f t="shared" si="489"/>
        <v>2.1290605178830285E-2</v>
      </c>
      <c r="CE50" s="61">
        <f t="shared" si="489"/>
        <v>2.220966882243957E-2</v>
      </c>
      <c r="CF50" s="61">
        <f t="shared" ref="CF50:CG50" si="490">+CF46/CF49</f>
        <v>2.1894357570466282E-2</v>
      </c>
      <c r="CG50" s="61">
        <f t="shared" si="490"/>
        <v>2.2474294756180152E-2</v>
      </c>
      <c r="CH50" s="61">
        <f t="shared" ref="CH50:CI50" si="491">+CH46/CH49</f>
        <v>2.0737756694588608E-2</v>
      </c>
      <c r="CI50" s="61">
        <f t="shared" si="491"/>
        <v>2.0956904593858853E-2</v>
      </c>
      <c r="CJ50" s="61">
        <f t="shared" ref="CJ50:CK50" si="492">+CJ46/CJ49</f>
        <v>2.0917615013903965E-2</v>
      </c>
      <c r="CK50" s="61">
        <f t="shared" si="492"/>
        <v>1.9852597947558934E-2</v>
      </c>
      <c r="CL50" s="61">
        <f t="shared" ref="CL50:CM50" si="493">+CL46/CL49</f>
        <v>1.9724556134512936E-2</v>
      </c>
      <c r="CM50" s="61">
        <f t="shared" si="493"/>
        <v>1.9636963418600949E-2</v>
      </c>
      <c r="CN50" s="61">
        <f t="shared" ref="CN50:CO50" si="494">+CN46/CN49</f>
        <v>1.9898304097080835E-2</v>
      </c>
      <c r="CO50" s="61">
        <f t="shared" si="494"/>
        <v>2.1526351074589306E-2</v>
      </c>
      <c r="CP50" s="61">
        <f t="shared" ref="CP50:CQ50" si="495">+CP46/CP49</f>
        <v>2.092110030543947E-2</v>
      </c>
      <c r="CQ50" s="61">
        <f t="shared" si="495"/>
        <v>2.2346625918446404E-2</v>
      </c>
      <c r="CR50" s="61">
        <f t="shared" ref="CR50:CS50" si="496">+CR46/CR49</f>
        <v>2.1929958988025491E-2</v>
      </c>
      <c r="CS50" s="61">
        <f t="shared" si="496"/>
        <v>2.2198721750283611E-2</v>
      </c>
      <c r="CT50" s="61">
        <f t="shared" ref="CT50:CU50" si="497">+CT46/CT49</f>
        <v>2.1467311335349279E-2</v>
      </c>
      <c r="CU50" s="61">
        <f t="shared" si="497"/>
        <v>2.1797224623899721E-2</v>
      </c>
      <c r="CV50" s="61">
        <f t="shared" ref="CV50:CW50" si="498">+CV46/CV49</f>
        <v>2.2004324648710518E-2</v>
      </c>
      <c r="CW50" s="61">
        <f t="shared" si="498"/>
        <v>2.1837539683736355E-2</v>
      </c>
      <c r="CX50" s="61">
        <f t="shared" ref="CX50:CY50" si="499">+CX46/CX49</f>
        <v>2.0538007067063272E-2</v>
      </c>
      <c r="CY50" s="61">
        <f t="shared" si="499"/>
        <v>1.8914717652918904E-2</v>
      </c>
      <c r="CZ50" s="61">
        <f t="shared" ref="CZ50:DA50" si="500">+CZ46/CZ49</f>
        <v>1.9105646795287944E-2</v>
      </c>
      <c r="DA50" s="61">
        <f t="shared" si="500"/>
        <v>1.9700487830344338E-2</v>
      </c>
      <c r="DB50" s="61">
        <f t="shared" ref="DB50:DC50" si="501">+DB46/DB49</f>
        <v>2.0035994036024785E-2</v>
      </c>
      <c r="DC50" s="61">
        <f t="shared" si="501"/>
        <v>1.9443177477045076E-2</v>
      </c>
      <c r="DD50" s="61">
        <f t="shared" ref="DD50:DE50" si="502">+DD46/DD49</f>
        <v>1.8493651122050977E-2</v>
      </c>
      <c r="DE50" s="61">
        <f t="shared" si="502"/>
        <v>1.8769896088264005E-2</v>
      </c>
      <c r="DF50" s="61">
        <f>+DF46/DF49</f>
        <v>1.7954433643313426E-2</v>
      </c>
      <c r="DG50" s="61">
        <f>+DG46/DG49</f>
        <v>1.9147704684660899E-2</v>
      </c>
    </row>
    <row r="51" spans="1:111" s="4" customFormat="1" ht="17.25" customHeight="1" thickTop="1">
      <c r="A51" s="806" t="s">
        <v>13</v>
      </c>
      <c r="B51" s="777" t="s">
        <v>19</v>
      </c>
      <c r="C51" s="778"/>
      <c r="D51" s="98">
        <f>+AKPK!AD100/1000</f>
        <v>620.53989000000001</v>
      </c>
      <c r="E51" s="98">
        <f>+AKPK!AE100/1000</f>
        <v>861.13531999999998</v>
      </c>
      <c r="F51" s="55">
        <f>+[2]AKPK!AF100/1000</f>
        <v>900.64188999999999</v>
      </c>
      <c r="G51" s="55">
        <f>+[2]AKPK!AG100/1000</f>
        <v>605.08713999999998</v>
      </c>
      <c r="H51" s="55">
        <f>+[2]AKPK!AH100/1000</f>
        <v>600.52764999999999</v>
      </c>
      <c r="I51" s="55">
        <f>+[2]AKPK!AI100/1000</f>
        <v>1508.9845600000001</v>
      </c>
      <c r="J51" s="55">
        <f>+[2]AKPK!AJ100/1000</f>
        <v>755.57505000000003</v>
      </c>
      <c r="K51" s="55">
        <f>+[2]AKPK!AK100/1000</f>
        <v>637.87833000000001</v>
      </c>
      <c r="L51" s="55">
        <f>+[2]AKPK!AL100/1000</f>
        <v>1059.70108</v>
      </c>
      <c r="M51" s="55">
        <f>+[2]AKPK!AM100/1000</f>
        <v>581.93934999999999</v>
      </c>
      <c r="N51" s="55">
        <f>+[2]AKPK!AN100/1000</f>
        <v>629.26500999999996</v>
      </c>
      <c r="O51" s="55">
        <f>+[2]AKPK!AO100/1000</f>
        <v>678.17547000000002</v>
      </c>
      <c r="P51" s="55">
        <f>+[2]AKPK!AP100/1000</f>
        <v>611.91508999999996</v>
      </c>
      <c r="Q51" s="55">
        <f>+[2]AKPK!AQ100/1000</f>
        <v>625.76700000000005</v>
      </c>
      <c r="R51" s="55">
        <f>+AKPK!AR100/1000</f>
        <v>1012.59792</v>
      </c>
      <c r="S51" s="55">
        <f>+AKPK!AS100/1000</f>
        <v>638.60559000000001</v>
      </c>
      <c r="T51" s="55">
        <f>+AKPK!AT100/1000</f>
        <v>673.56600000000003</v>
      </c>
      <c r="U51" s="55">
        <f>+AKPK!AU100/1000</f>
        <v>806.49116000000004</v>
      </c>
      <c r="V51" s="55">
        <f>+AKPK!AV100/1000</f>
        <v>725.49828000000002</v>
      </c>
      <c r="W51" s="55">
        <f>+AKPK!AW100/1000</f>
        <v>786.67514000000006</v>
      </c>
      <c r="X51" s="55">
        <f>+AKPK!AX100/1000</f>
        <v>733.80398000000002</v>
      </c>
      <c r="Y51" s="55">
        <f>+AKPK!AY100/1000</f>
        <v>753.76632000000006</v>
      </c>
      <c r="Z51" s="55">
        <f>+AKPK!AZ100/1000</f>
        <v>809.72348999999997</v>
      </c>
      <c r="AA51" s="55">
        <f>+AKPK!BA100/1000</f>
        <v>950.33894000000009</v>
      </c>
      <c r="AB51" s="55">
        <f>+AKPK!BB100/1000</f>
        <v>763.81961999999976</v>
      </c>
      <c r="AC51" s="55">
        <f>+AKPK!BC100/1000</f>
        <v>903.31790999999987</v>
      </c>
      <c r="AD51" s="55">
        <f>+AKPK!BD100/1000</f>
        <v>753.05714999999998</v>
      </c>
      <c r="AE51" s="55">
        <f>+AKPK!BE100/1000</f>
        <v>951.90156000000002</v>
      </c>
      <c r="AF51" s="55">
        <f>+AKPK!BF100/1000</f>
        <v>816.14197000000013</v>
      </c>
      <c r="AG51" s="55">
        <f>+AKPK!BG100/1000</f>
        <v>899.11723000000006</v>
      </c>
      <c r="AH51" s="55">
        <f>+AKPK!BH100/1000</f>
        <v>803.02553999999986</v>
      </c>
      <c r="AI51" s="55">
        <f>+AKPK!BI100/1000</f>
        <v>1190.7517700000001</v>
      </c>
      <c r="AJ51" s="55">
        <f>+AKPK!BJ100/1000</f>
        <v>1005.8390499999999</v>
      </c>
      <c r="AK51" s="55">
        <f>+AKPK!BK100/1000</f>
        <v>802.73881000000006</v>
      </c>
      <c r="AL51" s="55">
        <f>+AKPK!BL100/1000</f>
        <v>1216.2931000000001</v>
      </c>
      <c r="AM51" s="55">
        <f>+AKPK!BM100/1000</f>
        <v>844.02485999999999</v>
      </c>
      <c r="AN51" s="55">
        <f>+AKPK!BN100/1000</f>
        <v>966.21665999999993</v>
      </c>
      <c r="AO51" s="55">
        <f>+AKPK!BO100/1000</f>
        <v>980.47512999999992</v>
      </c>
      <c r="AP51" s="55">
        <f>+AKPK!BP100/1000</f>
        <v>1528.4426899999999</v>
      </c>
      <c r="AQ51" s="55">
        <f>+AKPK!BQ100/1000</f>
        <v>2395.7793700000002</v>
      </c>
      <c r="AR51" s="55">
        <f>+AKPK!BR100/1000</f>
        <v>1718.6885299999997</v>
      </c>
      <c r="AS51" s="55">
        <f>+AKPK!BS100/1000</f>
        <v>1735.0662100000002</v>
      </c>
      <c r="AT51" s="55">
        <f>+AKPK!BT100/1000</f>
        <v>1146.0041200000001</v>
      </c>
      <c r="AU51" s="55">
        <f>+AKPK!BU100/1000</f>
        <v>1984.3550500000001</v>
      </c>
      <c r="AV51" s="55">
        <f>+AKPK!BV100/1000</f>
        <v>2478.2282099999998</v>
      </c>
      <c r="AW51" s="55">
        <f>+AKPK!BW100/1000</f>
        <v>2469.2574500000001</v>
      </c>
      <c r="AX51" s="55">
        <f>+AKPK!BX100/1000</f>
        <v>2772.59033</v>
      </c>
      <c r="AY51" s="55">
        <f>+AKPK!BY100/1000</f>
        <v>3211.3852400000001</v>
      </c>
      <c r="AZ51" s="55">
        <f>+AKPK!BZ100/1000</f>
        <v>2474.7981299999974</v>
      </c>
      <c r="BA51" s="55">
        <f>+AKPK!CA100/1000</f>
        <v>4294.5925499999994</v>
      </c>
      <c r="BB51" s="55">
        <f>+AKPK!CB100/1000</f>
        <v>4219.4652400000004</v>
      </c>
      <c r="BC51" s="55">
        <f>+AKPK!CC100/1000</f>
        <v>5362.5266700000002</v>
      </c>
      <c r="BD51" s="55">
        <f>+AKPK!CD100/1000</f>
        <v>8173.2123200000005</v>
      </c>
      <c r="BE51" s="55">
        <f>+AKPK!CE100/1000</f>
        <v>3219.1371800000002</v>
      </c>
      <c r="BF51" s="55">
        <f>+AKPK!CF100/1000</f>
        <v>3763.0520099999994</v>
      </c>
      <c r="BG51" s="55">
        <f>+AKPK!CG100/1000</f>
        <v>4816.2776699999995</v>
      </c>
      <c r="BH51" s="55">
        <f>+AKPK!CH100/1000</f>
        <v>5570.8992400000006</v>
      </c>
      <c r="BI51" s="55">
        <f>+AKPK!CI100/1000</f>
        <v>1663.64852</v>
      </c>
      <c r="BJ51" s="55">
        <f>+AKPK!CJ100/1000</f>
        <v>4084.4099100000003</v>
      </c>
      <c r="BK51" s="55">
        <f>+AKPK!CK100/1000</f>
        <v>4321.9036999999998</v>
      </c>
      <c r="BL51" s="55">
        <f>+AKPK!CL100/1000</f>
        <v>5548.3133900000021</v>
      </c>
      <c r="BM51" s="55">
        <f>+AKPK!CM100/1000</f>
        <v>4714.9888199999996</v>
      </c>
      <c r="BN51" s="55">
        <f>+AKPK!CN100/1000</f>
        <v>4222.646029999999</v>
      </c>
      <c r="BO51" s="55">
        <f>+AKPK!CO100/1000</f>
        <v>7129.8695999999973</v>
      </c>
      <c r="BP51" s="55">
        <f>+AKPK!CP100/1000</f>
        <v>5520.4805600000009</v>
      </c>
      <c r="BQ51" s="55">
        <f>+AKPK!CQ100/1000</f>
        <v>5956.1890600000006</v>
      </c>
      <c r="BR51" s="55">
        <f>+AKPK!CR100/1000</f>
        <v>6849.589469999999</v>
      </c>
      <c r="BS51" s="55">
        <f>+AKPK!CS100/1000</f>
        <v>6795.2507099999948</v>
      </c>
      <c r="BT51" s="55">
        <f>+AKPK!CT100/1000</f>
        <v>6903.812969999999</v>
      </c>
      <c r="BU51" s="55">
        <f>+AKPK!CU100/1000</f>
        <v>4614.2322500000028</v>
      </c>
      <c r="BV51" s="55">
        <f>+AKPK!CV100/1000</f>
        <v>5984.0022500000032</v>
      </c>
      <c r="BW51" s="55">
        <f>+AKPK!CW100/1000</f>
        <v>6680.2626000000037</v>
      </c>
      <c r="BX51" s="55">
        <f>+AKPK!CX100/1000</f>
        <v>5590.0651399999942</v>
      </c>
      <c r="BY51" s="55">
        <f>+AKPK!CY100/1000</f>
        <v>13183.005230000001</v>
      </c>
      <c r="BZ51" s="55">
        <f>+AKPK!CZ100/1000</f>
        <v>3570.1302299999898</v>
      </c>
      <c r="CA51" s="55">
        <f>+AKPK!DA100/1000</f>
        <v>7562.0233599999747</v>
      </c>
      <c r="CB51" s="55">
        <f>+AKPK!DB100/1000</f>
        <v>7814.8357499999775</v>
      </c>
      <c r="CC51" s="55">
        <f>+AKPK!DC100/1000</f>
        <v>7709.8461399999733</v>
      </c>
      <c r="CD51" s="55">
        <f>+AKPK!DD100/1000</f>
        <v>9160.6704899999677</v>
      </c>
      <c r="CE51" s="55">
        <f>+AKPK!DE100/1000</f>
        <v>9581.5427799999597</v>
      </c>
      <c r="CF51" s="55">
        <f>+AKPK!DF100/1000</f>
        <v>9349.5291999999627</v>
      </c>
      <c r="CG51" s="55">
        <f>+AKPK!DG100/1000</f>
        <v>8754.1154699999788</v>
      </c>
      <c r="CH51" s="55">
        <f>+AKPK!DH100/1000</f>
        <v>9203.8549799999764</v>
      </c>
      <c r="CI51" s="55">
        <f>+AKPK!DI100/1000</f>
        <v>9420.9320599999683</v>
      </c>
      <c r="CJ51" s="55">
        <f>+AKPK!DJ100/1000</f>
        <v>8568.032539999982</v>
      </c>
      <c r="CK51" s="55">
        <f>+AKPK!DK100/1000</f>
        <v>9423.8524199999774</v>
      </c>
      <c r="CL51" s="55">
        <f>+AKPK!DL100/1000</f>
        <v>8932.9098699999759</v>
      </c>
      <c r="CM51" s="55">
        <f>+AKPK!DM100/1000</f>
        <v>8459.1231599999919</v>
      </c>
      <c r="CN51" s="55">
        <f>+AKPK!DN100/1000</f>
        <v>9270.5602099999796</v>
      </c>
      <c r="CO51" s="55">
        <f>+AKPK!DO100/1000</f>
        <v>9751.0590099999736</v>
      </c>
      <c r="CP51" s="55">
        <f>+AKPK!DP100/1000</f>
        <v>10384.862079999974</v>
      </c>
      <c r="CQ51" s="55">
        <f>+AKPK!DQ100/1000</f>
        <v>10571.467089999958</v>
      </c>
      <c r="CR51" s="55">
        <f>+AKPK!DR100/1000</f>
        <v>10782.342869999993</v>
      </c>
      <c r="CS51" s="55">
        <f>+AKPK!DS100/1000</f>
        <v>10746.029979999981</v>
      </c>
      <c r="CT51" s="55">
        <f>+AKPK!DT100/1000</f>
        <v>12200.271229999975</v>
      </c>
      <c r="CU51" s="55">
        <f>+AKPK!DU100/1000</f>
        <v>11699.063339999995</v>
      </c>
      <c r="CV51" s="55">
        <f>+AKPK!DV100/1000</f>
        <v>11852.682269999899</v>
      </c>
      <c r="CW51" s="55">
        <f>+AKPK!DW100/1000</f>
        <v>11955.259459999967</v>
      </c>
      <c r="CX51" s="55">
        <f>+AKPK!DX100/1000</f>
        <v>12299.904489999992</v>
      </c>
      <c r="CY51" s="55">
        <f>+AKPK!DY100/1000</f>
        <v>11859.327090000013</v>
      </c>
      <c r="CZ51" s="55">
        <f>+AKPK!DZ100/1000</f>
        <v>11189.331410000003</v>
      </c>
      <c r="DA51" s="55">
        <f>+AKPK!EA100/1000</f>
        <v>11249.248289999998</v>
      </c>
      <c r="DB51" s="55">
        <f>+AKPK!EB100/1000</f>
        <v>10827.640049999987</v>
      </c>
      <c r="DC51" s="55">
        <f>+AKPK!EC100/1000</f>
        <v>11028.081359999996</v>
      </c>
      <c r="DD51" s="55">
        <f>+AKPK!ED100/1000</f>
        <v>11549.950869999995</v>
      </c>
      <c r="DE51" s="55">
        <f>+AKPK!EE100/1000</f>
        <v>12986.821770000004</v>
      </c>
      <c r="DF51" s="55">
        <f>+AKPK!EF100/1000</f>
        <v>12788.632269999993</v>
      </c>
      <c r="DG51" s="55">
        <f>+AKPK!EG100/1000</f>
        <v>11548.949059999999</v>
      </c>
    </row>
    <row r="52" spans="1:111" s="4" customFormat="1" ht="17.25" customHeight="1">
      <c r="A52" s="807"/>
      <c r="B52" s="823" t="s">
        <v>20</v>
      </c>
      <c r="C52" s="824"/>
      <c r="D52" s="98">
        <f>+AKPK!AD102/1000</f>
        <v>1112.2335399999999</v>
      </c>
      <c r="E52" s="98">
        <f>+AKPK!AE102/1000</f>
        <v>1049.1605199999999</v>
      </c>
      <c r="F52" s="55">
        <f>+[2]AKPK!AF102/1000</f>
        <v>440.84541999999993</v>
      </c>
      <c r="G52" s="55">
        <f>+[2]AKPK!AG102/1000</f>
        <v>617.90985000000057</v>
      </c>
      <c r="H52" s="55">
        <f>+[2]AKPK!AH102/1000</f>
        <v>1936.1018100000001</v>
      </c>
      <c r="I52" s="55">
        <f>+[2]AKPK!AI102/1000</f>
        <v>478.47214999999989</v>
      </c>
      <c r="J52" s="55">
        <f>+[2]AKPK!AJ102/1000</f>
        <v>333.06570999999997</v>
      </c>
      <c r="K52" s="55">
        <f>+[2]AKPK!AK102/1000</f>
        <v>1111.7492500000005</v>
      </c>
      <c r="L52" s="55">
        <f>+[2]AKPK!AL102/1000</f>
        <v>527.04038999999966</v>
      </c>
      <c r="M52" s="55">
        <f>+[2]AKPK!AM102/1000</f>
        <v>520.21959000000004</v>
      </c>
      <c r="N52" s="55">
        <f>+[2]AKPK!AN102/1000</f>
        <v>609.34977999999978</v>
      </c>
      <c r="O52" s="55">
        <f>+[2]AKPK!AO102/1000</f>
        <v>510.65561999999989</v>
      </c>
      <c r="P52" s="55">
        <f>+[2]AKPK!AP102/1000</f>
        <v>955.64233999999988</v>
      </c>
      <c r="Q52" s="55">
        <f>+[2]AKPK!AQ102/1000</f>
        <v>1076.7813200000005</v>
      </c>
      <c r="R52" s="55">
        <f>+AKPK!AR102/1000</f>
        <v>764.42415999999923</v>
      </c>
      <c r="S52" s="55">
        <f>+AKPK!AS102/1000</f>
        <v>734.11210000000005</v>
      </c>
      <c r="T52" s="55">
        <f>+AKPK!AT102/1000</f>
        <v>781.32731000000001</v>
      </c>
      <c r="U52" s="55">
        <f>+AKPK!AU102/1000</f>
        <v>682.6189300000002</v>
      </c>
      <c r="V52" s="55">
        <f>+AKPK!AV102/1000</f>
        <v>793.84214000000009</v>
      </c>
      <c r="W52" s="55">
        <f>+AKPK!AW102/1000</f>
        <v>714.04568999999947</v>
      </c>
      <c r="X52" s="55">
        <f>+AKPK!AX102/1000</f>
        <v>908.0374300000002</v>
      </c>
      <c r="Y52" s="55">
        <f>+AKPK!AY102/1000</f>
        <v>1125.2792999999999</v>
      </c>
      <c r="Z52" s="55">
        <f>+AKPK!AZ102/1000</f>
        <v>679.38470000000063</v>
      </c>
      <c r="AA52" s="55">
        <f>+AKPK!BA102/1000</f>
        <v>1117.6992899999996</v>
      </c>
      <c r="AB52" s="55">
        <f>+AKPK!BB102/1000</f>
        <v>845.83194999999967</v>
      </c>
      <c r="AC52" s="55">
        <f>+AKPK!BC102/1000</f>
        <v>847.47091000000012</v>
      </c>
      <c r="AD52" s="55">
        <f>+AKPK!BD102/1000</f>
        <v>844.38360999999895</v>
      </c>
      <c r="AE52" s="55">
        <f>+AKPK!BE102/1000</f>
        <v>1085.4226400000007</v>
      </c>
      <c r="AF52" s="55">
        <f>+AKPK!BF102/1000</f>
        <v>980.2131900000004</v>
      </c>
      <c r="AG52" s="55">
        <f>+AKPK!BG102/1000</f>
        <v>1022.2227499999996</v>
      </c>
      <c r="AH52" s="55">
        <f>+AKPK!BH102/1000</f>
        <v>1076.58464</v>
      </c>
      <c r="AI52" s="55">
        <f>+AKPK!BI102/1000</f>
        <v>1408.0810600000004</v>
      </c>
      <c r="AJ52" s="55">
        <f>+AKPK!BJ102/1000</f>
        <v>1331.7962199999997</v>
      </c>
      <c r="AK52" s="55">
        <f>+AKPK!BK102/1000</f>
        <v>1803.2343399999997</v>
      </c>
      <c r="AL52" s="55">
        <f>+AKPK!BL102/1000</f>
        <v>1721.2794800000004</v>
      </c>
      <c r="AM52" s="55">
        <f>+AKPK!BM102/1000</f>
        <v>2483.43649</v>
      </c>
      <c r="AN52" s="55">
        <f>+AKPK!BN102/1000</f>
        <v>1712.0666700000008</v>
      </c>
      <c r="AO52" s="55">
        <f>+AKPK!BO102/1000</f>
        <v>1930.4683999999966</v>
      </c>
      <c r="AP52" s="55">
        <f>+AKPK!BP102/1000</f>
        <v>1757.4168900000006</v>
      </c>
      <c r="AQ52" s="55">
        <f>+AKPK!BQ102/1000</f>
        <v>2006.9152400000003</v>
      </c>
      <c r="AR52" s="55">
        <f>+AKPK!BR102/1000</f>
        <v>2385.0577899999989</v>
      </c>
      <c r="AS52" s="55">
        <f>+AKPK!BS102/1000</f>
        <v>2496.2230100000015</v>
      </c>
      <c r="AT52" s="55">
        <f>+AKPK!BT102/1000</f>
        <v>2318.2772300000006</v>
      </c>
      <c r="AU52" s="55">
        <f>+AKPK!BU102/1000</f>
        <v>2829.3358599999992</v>
      </c>
      <c r="AV52" s="55">
        <f>+AKPK!BV102/1000</f>
        <v>3046.0225300000011</v>
      </c>
      <c r="AW52" s="55">
        <f>+AKPK!BW102/1000</f>
        <v>3901.2040000000002</v>
      </c>
      <c r="AX52" s="55">
        <f>+AKPK!BX102/1000</f>
        <v>4605.3385099999996</v>
      </c>
      <c r="AY52" s="55">
        <f>+AKPK!BY102/1000</f>
        <v>5584.6693699999996</v>
      </c>
      <c r="AZ52" s="55">
        <f>+AKPK!BZ102/1000</f>
        <v>4343.316859999999</v>
      </c>
      <c r="BA52" s="55">
        <f>+AKPK!CA102/1000</f>
        <v>4978.9658000000009</v>
      </c>
      <c r="BB52" s="55">
        <f>+AKPK!CB102/1000</f>
        <v>4085.5612400000023</v>
      </c>
      <c r="BC52" s="55">
        <f>+AKPK!CC102/1000</f>
        <v>5232.5035799999978</v>
      </c>
      <c r="BD52" s="55">
        <f>+AKPK!CD102/1000</f>
        <v>5806.1471100000035</v>
      </c>
      <c r="BE52" s="55">
        <f>+AKPK!CE102/1000</f>
        <v>5546.2785099999946</v>
      </c>
      <c r="BF52" s="55">
        <f>+AKPK!CF102/1000</f>
        <v>6455.0105199999998</v>
      </c>
      <c r="BG52" s="55">
        <f>+AKPK!CG102/1000</f>
        <v>5565.6172899999992</v>
      </c>
      <c r="BH52" s="55">
        <f>+AKPK!CH102/1000</f>
        <v>6361.569260000002</v>
      </c>
      <c r="BI52" s="55">
        <f>+AKPK!CI102/1000</f>
        <v>4342.1094800000001</v>
      </c>
      <c r="BJ52" s="55">
        <f>+AKPK!CJ102/1000</f>
        <v>5124.1050099999975</v>
      </c>
      <c r="BK52" s="55">
        <f>+AKPK!CK102/1000</f>
        <v>5609.3108100000136</v>
      </c>
      <c r="BL52" s="55">
        <f>+AKPK!CL102/1000</f>
        <v>5086.6327599999977</v>
      </c>
      <c r="BM52" s="55">
        <f>+AKPK!CM102/1000</f>
        <v>5252.9469999999928</v>
      </c>
      <c r="BN52" s="55">
        <f>+AKPK!CN102/1000</f>
        <v>4848.7282400000058</v>
      </c>
      <c r="BO52" s="55">
        <f>+AKPK!CO102/1000</f>
        <v>5981.285629999973</v>
      </c>
      <c r="BP52" s="55">
        <f>+AKPK!CP102/1000</f>
        <v>7252.9786700000168</v>
      </c>
      <c r="BQ52" s="55">
        <f>+AKPK!CQ102/1000</f>
        <v>7294.740840000004</v>
      </c>
      <c r="BR52" s="55">
        <f>+AKPK!CR102/1000</f>
        <v>6047.2736699999978</v>
      </c>
      <c r="BS52" s="55">
        <f>+AKPK!CS102/1000</f>
        <v>6185.5085199999885</v>
      </c>
      <c r="BT52" s="55">
        <f>+AKPK!CT102/1000</f>
        <v>7128.232509999998</v>
      </c>
      <c r="BU52" s="55">
        <f>+AKPK!CU102/1000</f>
        <v>8468.5492499999964</v>
      </c>
      <c r="BV52" s="55">
        <f>+AKPK!CV102/1000</f>
        <v>8490.7108200000002</v>
      </c>
      <c r="BW52" s="55">
        <f>+AKPK!CW102/1000</f>
        <v>9478.402269999995</v>
      </c>
      <c r="BX52" s="55">
        <f>+AKPK!CX102/1000</f>
        <v>9964.0051300000032</v>
      </c>
      <c r="BY52" s="55">
        <f>+AKPK!CY102/1000</f>
        <v>14891.538309999987</v>
      </c>
      <c r="BZ52" s="55">
        <f>+AKPK!CZ102/1000</f>
        <v>3519.3572499999927</v>
      </c>
      <c r="CA52" s="55">
        <f>+AKPK!DA102/1000</f>
        <v>8806.3332199999913</v>
      </c>
      <c r="CB52" s="55">
        <f>+AKPK!DB102/1000</f>
        <v>8817.2839599999643</v>
      </c>
      <c r="CC52" s="55">
        <f>+AKPK!DC102/1000</f>
        <v>9580.0817099999858</v>
      </c>
      <c r="CD52" s="55">
        <f>+AKPK!DD102/1000</f>
        <v>8957.0608299999531</v>
      </c>
      <c r="CE52" s="55">
        <f>+AKPK!DE102/1000</f>
        <v>10584.436699999973</v>
      </c>
      <c r="CF52" s="55">
        <f>+AKPK!DF102/1000</f>
        <v>8038.4196899999606</v>
      </c>
      <c r="CG52" s="55">
        <f>+AKPK!DG102/1000</f>
        <v>10301.855799999974</v>
      </c>
      <c r="CH52" s="55">
        <f>+AKPK!DH102/1000</f>
        <v>6805.7484599999634</v>
      </c>
      <c r="CI52" s="55">
        <f>+AKPK!DI102/1000</f>
        <v>10890.06388999997</v>
      </c>
      <c r="CJ52" s="55">
        <f>+AKPK!DJ102/1000</f>
        <v>9661.9920899999888</v>
      </c>
      <c r="CK52" s="55">
        <f>+AKPK!DK102/1000</f>
        <v>9544.8550099999611</v>
      </c>
      <c r="CL52" s="55">
        <f>+AKPK!DL102/1000</f>
        <v>12267.582819999985</v>
      </c>
      <c r="CM52" s="55">
        <f>+AKPK!DM102/1000</f>
        <v>9968.591420000017</v>
      </c>
      <c r="CN52" s="55">
        <f>+AKPK!DN102/1000</f>
        <v>10576.202479999974</v>
      </c>
      <c r="CO52" s="55">
        <f>+AKPK!DO102/1000</f>
        <v>12207.784999999978</v>
      </c>
      <c r="CP52" s="55">
        <f>+AKPK!DP102/1000</f>
        <v>11350.407219999985</v>
      </c>
      <c r="CQ52" s="55">
        <f>+AKPK!DQ102/1000</f>
        <v>13145.594509999946</v>
      </c>
      <c r="CR52" s="55">
        <f>+AKPK!DR102/1000</f>
        <v>10902.836729999945</v>
      </c>
      <c r="CS52" s="55">
        <f>+AKPK!DS102/1000</f>
        <v>11896.228650000066</v>
      </c>
      <c r="CT52" s="55">
        <f>+AKPK!DT102/1000</f>
        <v>12337.129559999912</v>
      </c>
      <c r="CU52" s="55">
        <f>+AKPK!DU102/1000</f>
        <v>13218.249349999964</v>
      </c>
      <c r="CV52" s="55">
        <f>+AKPK!DV102/1000</f>
        <v>12154.118009999931</v>
      </c>
      <c r="CW52" s="55">
        <f>+AKPK!DW102/1000</f>
        <v>12438.110649999977</v>
      </c>
      <c r="CX52" s="55">
        <f>+AKPK!DX102/1000</f>
        <v>8500.0547599999609</v>
      </c>
      <c r="CY52" s="55">
        <f>+AKPK!DY102/1000</f>
        <v>10983.103940000019</v>
      </c>
      <c r="CZ52" s="55">
        <f>+AKPK!DZ102/1000</f>
        <v>11271.891920000024</v>
      </c>
      <c r="DA52" s="55">
        <f>+AKPK!EA102/1000</f>
        <v>14417.085619999974</v>
      </c>
      <c r="DB52" s="55">
        <f>+AKPK!EB102/1000</f>
        <v>11555.93835000006</v>
      </c>
      <c r="DC52" s="55">
        <f>+AKPK!EC102/1000</f>
        <v>8428.7146399998674</v>
      </c>
      <c r="DD52" s="55">
        <f>+AKPK!ED102/1000</f>
        <v>9010.1929299999993</v>
      </c>
      <c r="DE52" s="55">
        <f>+AKPK!EE102/1000</f>
        <v>13067.239620000064</v>
      </c>
      <c r="DF52" s="55">
        <f>+AKPK!EF102/1000</f>
        <v>10034.770460000016</v>
      </c>
      <c r="DG52" s="55">
        <f>+AKPK!EG102/1000</f>
        <v>13705.729489999787</v>
      </c>
    </row>
    <row r="53" spans="1:111" s="4" customFormat="1" ht="17.25" customHeight="1">
      <c r="A53" s="807"/>
      <c r="B53" s="785" t="s">
        <v>21</v>
      </c>
      <c r="C53" s="786"/>
      <c r="D53" s="99">
        <v>2426.8795100000007</v>
      </c>
      <c r="E53" s="99">
        <f t="shared" ref="E53:M53" si="503">+D53+E52-E51</f>
        <v>2614.9047100000007</v>
      </c>
      <c r="F53" s="31">
        <f t="shared" si="503"/>
        <v>2155.1082400000009</v>
      </c>
      <c r="G53" s="31">
        <f t="shared" si="503"/>
        <v>2167.9309500000013</v>
      </c>
      <c r="H53" s="31">
        <f t="shared" si="503"/>
        <v>3503.5051100000019</v>
      </c>
      <c r="I53" s="31">
        <f t="shared" si="503"/>
        <v>2472.9927000000016</v>
      </c>
      <c r="J53" s="31">
        <f t="shared" si="503"/>
        <v>2050.4833600000015</v>
      </c>
      <c r="K53" s="31">
        <f t="shared" si="503"/>
        <v>2524.3542800000018</v>
      </c>
      <c r="L53" s="31">
        <f t="shared" si="503"/>
        <v>1991.6935900000014</v>
      </c>
      <c r="M53" s="31">
        <f t="shared" si="503"/>
        <v>1929.9738300000013</v>
      </c>
      <c r="N53" s="31">
        <f t="shared" ref="N53:AF53" si="504">+M53+N52-N51</f>
        <v>1910.0586000000012</v>
      </c>
      <c r="O53" s="31">
        <f t="shared" si="504"/>
        <v>1742.5387500000011</v>
      </c>
      <c r="P53" s="31">
        <f t="shared" si="504"/>
        <v>2086.266000000001</v>
      </c>
      <c r="Q53" s="31">
        <f t="shared" si="504"/>
        <v>2537.2803200000017</v>
      </c>
      <c r="R53" s="31">
        <f t="shared" si="504"/>
        <v>2289.1065600000006</v>
      </c>
      <c r="S53" s="31">
        <f t="shared" si="504"/>
        <v>2384.6130700000003</v>
      </c>
      <c r="T53" s="31">
        <f t="shared" si="504"/>
        <v>2492.3743800000002</v>
      </c>
      <c r="U53" s="31">
        <f t="shared" si="504"/>
        <v>2368.5021500000003</v>
      </c>
      <c r="V53" s="31">
        <f t="shared" si="504"/>
        <v>2436.8460100000002</v>
      </c>
      <c r="W53" s="31">
        <f t="shared" si="504"/>
        <v>2364.2165599999998</v>
      </c>
      <c r="X53" s="31">
        <f t="shared" si="504"/>
        <v>2538.45001</v>
      </c>
      <c r="Y53" s="31">
        <f t="shared" si="504"/>
        <v>2909.9629899999995</v>
      </c>
      <c r="Z53" s="31">
        <f t="shared" si="504"/>
        <v>2779.6242000000002</v>
      </c>
      <c r="AA53" s="31">
        <f t="shared" si="504"/>
        <v>2946.9845499999997</v>
      </c>
      <c r="AB53" s="31">
        <f t="shared" si="504"/>
        <v>3028.9968799999997</v>
      </c>
      <c r="AC53" s="31">
        <f t="shared" si="504"/>
        <v>2973.1498799999999</v>
      </c>
      <c r="AD53" s="31">
        <f t="shared" si="504"/>
        <v>3064.4763399999988</v>
      </c>
      <c r="AE53" s="31">
        <f t="shared" si="504"/>
        <v>3197.9974199999997</v>
      </c>
      <c r="AF53" s="31">
        <f t="shared" si="504"/>
        <v>3362.06864</v>
      </c>
      <c r="AG53" s="31">
        <f t="shared" ref="AG53:AP53" si="505">+AF53+AG52-AG51</f>
        <v>3485.1741599999996</v>
      </c>
      <c r="AH53" s="31">
        <f t="shared" si="505"/>
        <v>3758.73326</v>
      </c>
      <c r="AI53" s="31">
        <f t="shared" si="505"/>
        <v>3976.0625500000006</v>
      </c>
      <c r="AJ53" s="31">
        <f t="shared" si="505"/>
        <v>4302.0197200000011</v>
      </c>
      <c r="AK53" s="31">
        <f t="shared" si="505"/>
        <v>5302.5152500000013</v>
      </c>
      <c r="AL53" s="31">
        <f t="shared" si="505"/>
        <v>5807.5016300000016</v>
      </c>
      <c r="AM53" s="31">
        <f t="shared" si="505"/>
        <v>7446.913260000003</v>
      </c>
      <c r="AN53" s="31">
        <f t="shared" si="505"/>
        <v>8192.7632700000031</v>
      </c>
      <c r="AO53" s="31">
        <f t="shared" si="505"/>
        <v>9142.7565399999985</v>
      </c>
      <c r="AP53" s="31">
        <f t="shared" si="505"/>
        <v>9371.7307399999991</v>
      </c>
      <c r="AQ53" s="31">
        <f t="shared" ref="AQ53:AZ53" si="506">+AP53+AQ52-AQ51</f>
        <v>8982.8666099999991</v>
      </c>
      <c r="AR53" s="31">
        <f t="shared" si="506"/>
        <v>9649.2358699999986</v>
      </c>
      <c r="AS53" s="31">
        <f t="shared" si="506"/>
        <v>10410.392669999999</v>
      </c>
      <c r="AT53" s="31">
        <f t="shared" si="506"/>
        <v>11582.665780000001</v>
      </c>
      <c r="AU53" s="31">
        <f t="shared" si="506"/>
        <v>12427.64659</v>
      </c>
      <c r="AV53" s="31">
        <f t="shared" si="506"/>
        <v>12995.440910000003</v>
      </c>
      <c r="AW53" s="31">
        <f t="shared" si="506"/>
        <v>14427.387460000002</v>
      </c>
      <c r="AX53" s="31">
        <f t="shared" si="506"/>
        <v>16260.13564</v>
      </c>
      <c r="AY53" s="31">
        <f t="shared" si="506"/>
        <v>18633.41977</v>
      </c>
      <c r="AZ53" s="31">
        <f t="shared" si="506"/>
        <v>20501.938500000004</v>
      </c>
      <c r="BA53" s="31">
        <f t="shared" ref="BA53:DG53" si="507">+AZ53+BA52-BA51</f>
        <v>21186.311750000008</v>
      </c>
      <c r="BB53" s="31">
        <f t="shared" si="507"/>
        <v>21052.407750000009</v>
      </c>
      <c r="BC53" s="31">
        <f t="shared" si="507"/>
        <v>20922.384660000007</v>
      </c>
      <c r="BD53" s="31">
        <f t="shared" si="507"/>
        <v>18555.31945000001</v>
      </c>
      <c r="BE53" s="31">
        <f t="shared" si="507"/>
        <v>20882.460780000005</v>
      </c>
      <c r="BF53" s="31">
        <f t="shared" si="507"/>
        <v>23574.419290000005</v>
      </c>
      <c r="BG53" s="31">
        <f t="shared" si="507"/>
        <v>24323.758910000004</v>
      </c>
      <c r="BH53" s="31">
        <f t="shared" si="507"/>
        <v>25114.428930000009</v>
      </c>
      <c r="BI53" s="31">
        <f t="shared" si="507"/>
        <v>27792.889890000009</v>
      </c>
      <c r="BJ53" s="31">
        <f t="shared" si="507"/>
        <v>28832.584990000003</v>
      </c>
      <c r="BK53" s="31">
        <f t="shared" si="507"/>
        <v>30119.992100000014</v>
      </c>
      <c r="BL53" s="31">
        <f t="shared" si="507"/>
        <v>29658.311470000008</v>
      </c>
      <c r="BM53" s="31">
        <f t="shared" si="507"/>
        <v>30196.269650000002</v>
      </c>
      <c r="BN53" s="31">
        <f t="shared" si="507"/>
        <v>30822.351860000006</v>
      </c>
      <c r="BO53" s="31">
        <f t="shared" si="507"/>
        <v>29673.767889999981</v>
      </c>
      <c r="BP53" s="31">
        <f t="shared" si="507"/>
        <v>31406.266</v>
      </c>
      <c r="BQ53" s="31">
        <f t="shared" si="507"/>
        <v>32744.817780000001</v>
      </c>
      <c r="BR53" s="31">
        <f t="shared" si="507"/>
        <v>31942.501980000001</v>
      </c>
      <c r="BS53" s="31">
        <f t="shared" si="507"/>
        <v>31332.759789999996</v>
      </c>
      <c r="BT53" s="31">
        <f t="shared" si="507"/>
        <v>31557.179329999999</v>
      </c>
      <c r="BU53" s="31">
        <f t="shared" si="507"/>
        <v>35411.496329999994</v>
      </c>
      <c r="BV53" s="31">
        <f t="shared" si="507"/>
        <v>37918.20489999999</v>
      </c>
      <c r="BW53" s="31">
        <f t="shared" si="507"/>
        <v>40716.344569999987</v>
      </c>
      <c r="BX53" s="31">
        <f t="shared" si="507"/>
        <v>45090.28456</v>
      </c>
      <c r="BY53" s="31">
        <f t="shared" si="507"/>
        <v>46798.817639999987</v>
      </c>
      <c r="BZ53" s="31">
        <f t="shared" si="507"/>
        <v>46748.044659999992</v>
      </c>
      <c r="CA53" s="31">
        <f t="shared" si="507"/>
        <v>47992.354520000008</v>
      </c>
      <c r="CB53" s="31">
        <f t="shared" si="507"/>
        <v>48994.802729999996</v>
      </c>
      <c r="CC53" s="31">
        <f t="shared" si="507"/>
        <v>50865.038300000007</v>
      </c>
      <c r="CD53" s="31">
        <f t="shared" si="507"/>
        <v>50661.428639999991</v>
      </c>
      <c r="CE53" s="31">
        <f t="shared" si="507"/>
        <v>51664.322560000001</v>
      </c>
      <c r="CF53" s="31">
        <f t="shared" si="507"/>
        <v>50353.213049999998</v>
      </c>
      <c r="CG53" s="31">
        <f t="shared" si="507"/>
        <v>51900.953379999992</v>
      </c>
      <c r="CH53" s="31">
        <f t="shared" si="507"/>
        <v>49502.846859999983</v>
      </c>
      <c r="CI53" s="31">
        <f t="shared" si="507"/>
        <v>50971.978689999982</v>
      </c>
      <c r="CJ53" s="31">
        <f t="shared" si="507"/>
        <v>52065.938239999989</v>
      </c>
      <c r="CK53" s="31">
        <f t="shared" si="507"/>
        <v>52186.940829999978</v>
      </c>
      <c r="CL53" s="31">
        <f t="shared" si="507"/>
        <v>55521.613779999985</v>
      </c>
      <c r="CM53" s="31">
        <f t="shared" si="507"/>
        <v>57031.082040000008</v>
      </c>
      <c r="CN53" s="31">
        <f t="shared" si="507"/>
        <v>58336.724310000005</v>
      </c>
      <c r="CO53" s="31">
        <f t="shared" si="507"/>
        <v>60793.450300000004</v>
      </c>
      <c r="CP53" s="31">
        <f t="shared" si="507"/>
        <v>61758.995440000013</v>
      </c>
      <c r="CQ53" s="31">
        <f t="shared" si="507"/>
        <v>64333.122860000003</v>
      </c>
      <c r="CR53" s="31">
        <f t="shared" si="507"/>
        <v>64453.616719999962</v>
      </c>
      <c r="CS53" s="31">
        <f t="shared" si="507"/>
        <v>65603.815390000047</v>
      </c>
      <c r="CT53" s="31">
        <f t="shared" si="507"/>
        <v>65740.673719999992</v>
      </c>
      <c r="CU53" s="31">
        <f t="shared" si="507"/>
        <v>67259.859729999967</v>
      </c>
      <c r="CV53" s="31">
        <f t="shared" si="507"/>
        <v>67561.295469999997</v>
      </c>
      <c r="CW53" s="31">
        <f t="shared" si="507"/>
        <v>68044.146659999999</v>
      </c>
      <c r="CX53" s="31">
        <f t="shared" si="507"/>
        <v>64244.29692999996</v>
      </c>
      <c r="CY53" s="31">
        <f t="shared" si="507"/>
        <v>63368.07377999997</v>
      </c>
      <c r="CZ53" s="31">
        <f t="shared" si="507"/>
        <v>63450.634290000002</v>
      </c>
      <c r="DA53" s="31">
        <f t="shared" si="507"/>
        <v>66618.471619999968</v>
      </c>
      <c r="DB53" s="31">
        <f t="shared" si="507"/>
        <v>67346.769920000035</v>
      </c>
      <c r="DC53" s="31">
        <f t="shared" si="507"/>
        <v>64747.403199999899</v>
      </c>
      <c r="DD53" s="31">
        <f t="shared" si="507"/>
        <v>62207.64525999991</v>
      </c>
      <c r="DE53" s="31">
        <f t="shared" si="507"/>
        <v>62288.063109999966</v>
      </c>
      <c r="DF53" s="31">
        <f t="shared" si="507"/>
        <v>59534.201299999993</v>
      </c>
      <c r="DG53" s="31">
        <f t="shared" si="507"/>
        <v>61690.981729999781</v>
      </c>
    </row>
    <row r="54" spans="1:111" s="4" customFormat="1" ht="17.25" customHeight="1">
      <c r="A54" s="807"/>
      <c r="B54" s="819" t="s">
        <v>22</v>
      </c>
      <c r="C54" s="820"/>
      <c r="D54" s="100">
        <v>69697.641350000005</v>
      </c>
      <c r="E54" s="100">
        <v>68490.916070000007</v>
      </c>
      <c r="F54" s="56">
        <v>67240.326839999994</v>
      </c>
      <c r="G54" s="56">
        <v>65927.199829999998</v>
      </c>
      <c r="H54" s="56">
        <v>64735.788589999996</v>
      </c>
      <c r="I54" s="56">
        <v>62749.43957000001</v>
      </c>
      <c r="J54" s="56">
        <v>62718.643730000003</v>
      </c>
      <c r="K54" s="56">
        <v>64395.703869999998</v>
      </c>
      <c r="L54" s="56">
        <v>67903.735840000008</v>
      </c>
      <c r="M54" s="56">
        <v>72624.526700000002</v>
      </c>
      <c r="N54" s="56">
        <v>75271.688200000004</v>
      </c>
      <c r="O54" s="56">
        <v>81517.416919999989</v>
      </c>
      <c r="P54" s="56">
        <v>87788.02356999999</v>
      </c>
      <c r="Q54" s="56">
        <v>93989.227129999999</v>
      </c>
      <c r="R54" s="56">
        <v>98203.99182000001</v>
      </c>
      <c r="S54" s="56">
        <v>102725.06278999998</v>
      </c>
      <c r="T54" s="56">
        <v>108971.37293000001</v>
      </c>
      <c r="U54" s="56">
        <v>114943.85520999999</v>
      </c>
      <c r="V54" s="56">
        <v>119495.95915999998</v>
      </c>
      <c r="W54" s="56">
        <v>125783.06005999999</v>
      </c>
      <c r="X54" s="56">
        <v>136163.99987</v>
      </c>
      <c r="Y54" s="56">
        <v>144877.50386999999</v>
      </c>
      <c r="Z54" s="56">
        <v>152635.35406000001</v>
      </c>
      <c r="AA54" s="56">
        <v>162569.75087000002</v>
      </c>
      <c r="AB54" s="56">
        <v>175446.36429</v>
      </c>
      <c r="AC54" s="56">
        <v>183315.00275000001</v>
      </c>
      <c r="AD54" s="56">
        <v>195689.10599000001</v>
      </c>
      <c r="AE54" s="56">
        <v>215403.91232</v>
      </c>
      <c r="AF54" s="56">
        <v>239571.72716000001</v>
      </c>
      <c r="AG54" s="56">
        <v>258742.27426000003</v>
      </c>
      <c r="AH54" s="56">
        <v>288280.17710999999</v>
      </c>
      <c r="AI54" s="56">
        <v>311407.66242999997</v>
      </c>
      <c r="AJ54" s="56">
        <v>344380.66130000004</v>
      </c>
      <c r="AK54" s="56">
        <v>370822.67728000006</v>
      </c>
      <c r="AL54" s="56">
        <v>406957.48809</v>
      </c>
      <c r="AM54" s="56">
        <v>444259.79227000003</v>
      </c>
      <c r="AN54" s="56">
        <v>470041.62363000005</v>
      </c>
      <c r="AO54" s="56">
        <v>498064.42644000001</v>
      </c>
      <c r="AP54" s="56">
        <v>523973.78448999999</v>
      </c>
      <c r="AQ54" s="56">
        <v>542764.99698000005</v>
      </c>
      <c r="AR54" s="56">
        <v>583521.06706999999</v>
      </c>
      <c r="AS54" s="56">
        <v>622274.86220999993</v>
      </c>
      <c r="AT54" s="56">
        <v>661912.21293000004</v>
      </c>
      <c r="AU54" s="56">
        <v>702977.13647000003</v>
      </c>
      <c r="AV54" s="56">
        <v>714685.06</v>
      </c>
      <c r="AW54" s="56">
        <v>730919.28605999995</v>
      </c>
      <c r="AX54" s="56">
        <v>742777.3737</v>
      </c>
      <c r="AY54" s="56">
        <v>764222.97996999999</v>
      </c>
      <c r="AZ54" s="56">
        <v>780290.26404000027</v>
      </c>
      <c r="BA54" s="56">
        <v>780330.2006499999</v>
      </c>
      <c r="BB54" s="56">
        <v>774871.87684000004</v>
      </c>
      <c r="BC54" s="56">
        <v>770914.8240299999</v>
      </c>
      <c r="BD54" s="56">
        <v>775480.62319000007</v>
      </c>
      <c r="BE54" s="56">
        <v>783734.64866999991</v>
      </c>
      <c r="BF54" s="56">
        <v>788513.76084000012</v>
      </c>
      <c r="BG54" s="56">
        <v>799126.21279000014</v>
      </c>
      <c r="BH54" s="56">
        <v>808157.15845999995</v>
      </c>
      <c r="BI54" s="56">
        <v>817469.56177999987</v>
      </c>
      <c r="BJ54" s="56">
        <v>819078.04772999999</v>
      </c>
      <c r="BK54" s="56">
        <v>828344.26962000004</v>
      </c>
      <c r="BL54" s="56">
        <v>838571.74815999996</v>
      </c>
      <c r="BM54" s="56">
        <v>842789.52101999987</v>
      </c>
      <c r="BN54" s="56">
        <v>844740.76688999997</v>
      </c>
      <c r="BO54" s="56">
        <v>837223.81547000003</v>
      </c>
      <c r="BP54" s="56">
        <v>840215.72703000007</v>
      </c>
      <c r="BQ54" s="56">
        <v>852505.38413000002</v>
      </c>
      <c r="BR54" s="56">
        <v>887224.58302999998</v>
      </c>
      <c r="BS54" s="56">
        <v>919167.41701000009</v>
      </c>
      <c r="BT54" s="56">
        <v>941281.38812000002</v>
      </c>
      <c r="BU54" s="56">
        <v>980991.68440999999</v>
      </c>
      <c r="BV54" s="56">
        <v>1015419.3485199998</v>
      </c>
      <c r="BW54" s="56">
        <v>1053473.2647299999</v>
      </c>
      <c r="BX54" s="56">
        <v>1093108.1462600001</v>
      </c>
      <c r="BY54" s="56">
        <v>1120767.9565899998</v>
      </c>
      <c r="BZ54" s="56">
        <v>1150606.5983500001</v>
      </c>
      <c r="CA54" s="56">
        <v>1182613.1758300001</v>
      </c>
      <c r="CB54" s="56">
        <v>1211567.3684500002</v>
      </c>
      <c r="CC54" s="56">
        <v>1243852.81913</v>
      </c>
      <c r="CD54" s="56">
        <v>1281305.55253</v>
      </c>
      <c r="CE54" s="56">
        <v>1306747.5178899998</v>
      </c>
      <c r="CF54" s="56">
        <v>1338941</v>
      </c>
      <c r="CG54" s="56">
        <v>1381643.6808799999</v>
      </c>
      <c r="CH54" s="56">
        <v>1413535.8959199998</v>
      </c>
      <c r="CI54" s="56">
        <v>1467506.7230300005</v>
      </c>
      <c r="CJ54" s="56">
        <v>1511580.0712199998</v>
      </c>
      <c r="CK54" s="56">
        <v>1541958.2280200003</v>
      </c>
      <c r="CL54" s="56">
        <v>1575741.6483999998</v>
      </c>
      <c r="CM54" s="56">
        <v>1608735.09635</v>
      </c>
      <c r="CN54" s="56">
        <v>1642522.46884</v>
      </c>
      <c r="CO54" s="56">
        <v>1669574.8074600003</v>
      </c>
      <c r="CP54" s="56">
        <v>1717740.05846</v>
      </c>
      <c r="CQ54" s="56">
        <v>1738235.8407300003</v>
      </c>
      <c r="CR54" s="56">
        <v>1773333.0158200001</v>
      </c>
      <c r="CS54" s="56">
        <v>1793754.5880100001</v>
      </c>
      <c r="CT54" s="56">
        <v>1816178.8920900002</v>
      </c>
      <c r="CU54" s="56">
        <v>1835527.6989199999</v>
      </c>
      <c r="CV54" s="56">
        <v>1841834.0073500001</v>
      </c>
      <c r="CW54" s="56">
        <v>1840486.0813000002</v>
      </c>
      <c r="CX54" s="56">
        <v>1856623.1044900001</v>
      </c>
      <c r="CY54" s="56">
        <v>1858960.22254</v>
      </c>
      <c r="CZ54" s="56">
        <v>1872100.43698</v>
      </c>
      <c r="DA54" s="56">
        <v>1891789.5008700001</v>
      </c>
      <c r="DB54" s="56">
        <v>1906563.8001000003</v>
      </c>
      <c r="DC54" s="56">
        <v>1913973.9804500001</v>
      </c>
      <c r="DD54" s="56">
        <v>1958822.0764199998</v>
      </c>
      <c r="DE54" s="56">
        <v>2018725.5938100002</v>
      </c>
      <c r="DF54" s="56">
        <v>2080624.1095900002</v>
      </c>
      <c r="DG54" s="56">
        <v>2174352.0662199999</v>
      </c>
    </row>
    <row r="55" spans="1:111" s="4" customFormat="1" ht="17.25" customHeight="1">
      <c r="A55" s="807"/>
      <c r="B55" s="785" t="s">
        <v>32</v>
      </c>
      <c r="C55" s="786"/>
      <c r="D55" s="101">
        <f t="shared" ref="D55:S55" si="508">+D56-D54</f>
        <v>1002.7886799999978</v>
      </c>
      <c r="E55" s="101">
        <f t="shared" si="508"/>
        <v>1192.937579999998</v>
      </c>
      <c r="F55" s="57">
        <f t="shared" si="508"/>
        <v>676.18746000000101</v>
      </c>
      <c r="G55" s="57">
        <f t="shared" si="508"/>
        <v>1322.3475900000049</v>
      </c>
      <c r="H55" s="57">
        <f t="shared" si="508"/>
        <v>327.21542000000045</v>
      </c>
      <c r="I55" s="57">
        <f t="shared" si="508"/>
        <v>848.33400999999139</v>
      </c>
      <c r="J55" s="57">
        <f t="shared" si="508"/>
        <v>1231.0905999999959</v>
      </c>
      <c r="K55" s="57">
        <f t="shared" si="508"/>
        <v>2227.8021900000022</v>
      </c>
      <c r="L55" s="57">
        <f t="shared" si="508"/>
        <v>2502.3021899999876</v>
      </c>
      <c r="M55" s="57">
        <f t="shared" si="508"/>
        <v>408.08219000000099</v>
      </c>
      <c r="N55" s="57">
        <f t="shared" si="508"/>
        <v>3178.7021899999963</v>
      </c>
      <c r="O55" s="57">
        <f t="shared" si="508"/>
        <v>2918.6021900000051</v>
      </c>
      <c r="P55" s="57">
        <f t="shared" si="508"/>
        <v>3415.6191900000122</v>
      </c>
      <c r="Q55" s="57">
        <f t="shared" si="508"/>
        <v>3572.7021899999963</v>
      </c>
      <c r="R55" s="57">
        <f t="shared" si="508"/>
        <v>2478.5021899999847</v>
      </c>
      <c r="S55" s="57">
        <f t="shared" si="508"/>
        <v>2806.2021900000109</v>
      </c>
      <c r="T55" s="57">
        <f t="shared" ref="T55:Y55" si="509">+T56-T54</f>
        <v>3774.3651899999822</v>
      </c>
      <c r="U55" s="57">
        <f t="shared" si="509"/>
        <v>2722.7021900000109</v>
      </c>
      <c r="V55" s="57">
        <f t="shared" si="509"/>
        <v>3685.6021900000051</v>
      </c>
      <c r="W55" s="57">
        <f t="shared" si="509"/>
        <v>4444.1021900000051</v>
      </c>
      <c r="X55" s="57">
        <f t="shared" si="509"/>
        <v>7017.4021899999934</v>
      </c>
      <c r="Y55" s="57">
        <f t="shared" si="509"/>
        <v>4660.5431900000258</v>
      </c>
      <c r="Z55" s="57">
        <f t="shared" ref="Z55:AE55" si="510">+Z56-Z54</f>
        <v>5080.5021899999992</v>
      </c>
      <c r="AA55" s="57">
        <f t="shared" si="510"/>
        <v>7499.102189999976</v>
      </c>
      <c r="AB55" s="57">
        <f t="shared" si="510"/>
        <v>5724.2021899999818</v>
      </c>
      <c r="AC55" s="57">
        <f t="shared" si="510"/>
        <v>6158.9030399999756</v>
      </c>
      <c r="AD55" s="57">
        <f t="shared" si="510"/>
        <v>8939.3999999999942</v>
      </c>
      <c r="AE55" s="57">
        <f t="shared" si="510"/>
        <v>11137.599999999977</v>
      </c>
      <c r="AF55" s="57">
        <f t="shared" ref="AF55:AM55" si="511">+AF56-AF54</f>
        <v>10092.599999999977</v>
      </c>
      <c r="AG55" s="57">
        <f t="shared" si="511"/>
        <v>17672.79999999993</v>
      </c>
      <c r="AH55" s="57">
        <f t="shared" si="511"/>
        <v>12816.157999999996</v>
      </c>
      <c r="AI55" s="57">
        <f t="shared" si="511"/>
        <v>13043.400000000023</v>
      </c>
      <c r="AJ55" s="57">
        <f t="shared" si="511"/>
        <v>11141.399999999965</v>
      </c>
      <c r="AK55" s="57">
        <f t="shared" si="511"/>
        <v>164654.29584999999</v>
      </c>
      <c r="AL55" s="57">
        <f t="shared" si="511"/>
        <v>16883.099999999977</v>
      </c>
      <c r="AM55" s="57">
        <f t="shared" si="511"/>
        <v>13180.099999999977</v>
      </c>
      <c r="AN55" s="57">
        <f t="shared" ref="AN55:AS55" si="512">+AN56-AN54</f>
        <v>18092.099999999977</v>
      </c>
      <c r="AO55" s="57">
        <f t="shared" si="512"/>
        <v>15316.20000000007</v>
      </c>
      <c r="AP55" s="57">
        <f t="shared" si="512"/>
        <v>15352.20000000007</v>
      </c>
      <c r="AQ55" s="57">
        <f t="shared" si="512"/>
        <v>22670.59999999986</v>
      </c>
      <c r="AR55" s="57">
        <f t="shared" si="512"/>
        <v>12649.573000000091</v>
      </c>
      <c r="AS55" s="57">
        <f t="shared" si="512"/>
        <v>20721.300000000047</v>
      </c>
      <c r="AT55" s="57">
        <f t="shared" ref="AT55:AZ55" si="513">+AT56-AT54</f>
        <v>24082.999999999884</v>
      </c>
      <c r="AU55" s="57">
        <f t="shared" si="513"/>
        <v>13289.800000000047</v>
      </c>
      <c r="AV55" s="57">
        <f t="shared" si="513"/>
        <v>11971.177369999932</v>
      </c>
      <c r="AW55" s="57">
        <f t="shared" si="513"/>
        <v>14811.680359999998</v>
      </c>
      <c r="AX55" s="57">
        <f t="shared" si="513"/>
        <v>12420.868050000048</v>
      </c>
      <c r="AY55" s="57">
        <f t="shared" si="513"/>
        <v>17105.626279999968</v>
      </c>
      <c r="AZ55" s="57">
        <f t="shared" si="513"/>
        <v>13378.909689999768</v>
      </c>
      <c r="BA55" s="57">
        <f t="shared" ref="BA55:BG55" si="514">+BA56-BA54</f>
        <v>7028.5387199999532</v>
      </c>
      <c r="BB55" s="57">
        <f t="shared" si="514"/>
        <v>10627.19683000003</v>
      </c>
      <c r="BC55" s="57">
        <f t="shared" si="514"/>
        <v>16770.556851937086</v>
      </c>
      <c r="BD55" s="57">
        <f t="shared" si="514"/>
        <v>17814.248949075933</v>
      </c>
      <c r="BE55" s="57">
        <f t="shared" si="514"/>
        <v>14644.940440947888</v>
      </c>
      <c r="BF55" s="57">
        <f t="shared" si="514"/>
        <v>21112.760900907568</v>
      </c>
      <c r="BG55" s="57">
        <f t="shared" si="514"/>
        <v>23054.086905815871</v>
      </c>
      <c r="BH55" s="57">
        <f t="shared" ref="BH55:BM55" si="515">+BH56-BH54</f>
        <v>23309.490759999957</v>
      </c>
      <c r="BI55" s="57">
        <f t="shared" si="515"/>
        <v>19387.988188083982</v>
      </c>
      <c r="BJ55" s="57">
        <f t="shared" si="515"/>
        <v>17765.889084730181</v>
      </c>
      <c r="BK55" s="57">
        <f t="shared" si="515"/>
        <v>23753.254102687933</v>
      </c>
      <c r="BL55" s="57">
        <f t="shared" si="515"/>
        <v>21418.317429999937</v>
      </c>
      <c r="BM55" s="57">
        <f t="shared" si="515"/>
        <v>73577.121319956263</v>
      </c>
      <c r="BN55" s="57">
        <f t="shared" ref="BN55:BS55" si="516">+BN56-BN54</f>
        <v>29468.254951500101</v>
      </c>
      <c r="BO55" s="57">
        <f t="shared" si="516"/>
        <v>28876.359050687286</v>
      </c>
      <c r="BP55" s="57">
        <f t="shared" si="516"/>
        <v>35813.965799999889</v>
      </c>
      <c r="BQ55" s="57">
        <f t="shared" si="516"/>
        <v>45992.273738508811</v>
      </c>
      <c r="BR55" s="57">
        <f t="shared" si="516"/>
        <v>45385.092320000054</v>
      </c>
      <c r="BS55" s="57">
        <f t="shared" si="516"/>
        <v>38906.687963154283</v>
      </c>
      <c r="BT55" s="57">
        <f t="shared" ref="BT55:BY55" si="517">+BT56-BT54</f>
        <v>52951.847799999989</v>
      </c>
      <c r="BU55" s="57">
        <f t="shared" si="517"/>
        <v>48605.130799999926</v>
      </c>
      <c r="BV55" s="57">
        <f t="shared" si="517"/>
        <v>54890.834160000086</v>
      </c>
      <c r="BW55" s="57">
        <f t="shared" si="517"/>
        <v>55623.669552395353</v>
      </c>
      <c r="BX55" s="57">
        <f t="shared" si="517"/>
        <v>50130.510289999889</v>
      </c>
      <c r="BY55" s="57">
        <f t="shared" si="517"/>
        <v>48760.65929324436</v>
      </c>
      <c r="BZ55" s="57">
        <f t="shared" ref="BZ55:CE55" si="518">+BZ56-BZ54</f>
        <v>54864.351446087472</v>
      </c>
      <c r="CA55" s="57">
        <f t="shared" si="518"/>
        <v>55903.488879999844</v>
      </c>
      <c r="CB55" s="57">
        <f t="shared" si="518"/>
        <v>60183.332984492648</v>
      </c>
      <c r="CC55" s="57">
        <f t="shared" si="518"/>
        <v>63697.450321869459</v>
      </c>
      <c r="CD55" s="57">
        <f t="shared" si="518"/>
        <v>62639.841465459438</v>
      </c>
      <c r="CE55" s="57">
        <f t="shared" si="518"/>
        <v>57325.961614821106</v>
      </c>
      <c r="CF55" s="57">
        <f t="shared" ref="CF55:CG55" si="519">+CF56-CF54</f>
        <v>66603.050008221297</v>
      </c>
      <c r="CG55" s="57">
        <f t="shared" si="519"/>
        <v>63966.252280470915</v>
      </c>
      <c r="CH55" s="57">
        <f t="shared" ref="CH55:CI55" si="520">+CH56-CH54</f>
        <v>75887.235188281396</v>
      </c>
      <c r="CI55" s="57">
        <f t="shared" si="520"/>
        <v>70266.330203230027</v>
      </c>
      <c r="CJ55" s="57">
        <f t="shared" ref="CJ55:CK55" si="521">+CJ56-CJ54</f>
        <v>63013.594539999962</v>
      </c>
      <c r="CK55" s="57">
        <f t="shared" si="521"/>
        <v>65206.976303722011</v>
      </c>
      <c r="CL55" s="57">
        <f t="shared" ref="CL55:CM55" si="522">+CL56-CL54</f>
        <v>66766.914749088231</v>
      </c>
      <c r="CM55" s="57">
        <f t="shared" si="522"/>
        <v>70029.721880000085</v>
      </c>
      <c r="CN55" s="57">
        <f t="shared" ref="CN55:CO55" si="523">+CN56-CN54</f>
        <v>67984.444141186075</v>
      </c>
      <c r="CO55" s="57">
        <f t="shared" si="523"/>
        <v>76001.966379999882</v>
      </c>
      <c r="CP55" s="57">
        <f t="shared" ref="CP55:CQ55" si="524">+CP56-CP54</f>
        <v>62223.248949999921</v>
      </c>
      <c r="CQ55" s="57">
        <f t="shared" si="524"/>
        <v>74160.907050000038</v>
      </c>
      <c r="CR55" s="57">
        <f t="shared" ref="CR55:CS55" si="525">+CR56-CR54</f>
        <v>70208.051329999696</v>
      </c>
      <c r="CS55" s="57">
        <f t="shared" si="525"/>
        <v>69745.058609999949</v>
      </c>
      <c r="CT55" s="57">
        <f t="shared" ref="CT55:CU55" si="526">+CT56-CT54</f>
        <v>63818.215169999748</v>
      </c>
      <c r="CU55" s="57">
        <f t="shared" si="526"/>
        <v>65993.201860000147</v>
      </c>
      <c r="CV55" s="57">
        <f t="shared" ref="CV55:CW55" si="527">+CV56-CV54</f>
        <v>63088.534649999812</v>
      </c>
      <c r="CW55" s="57">
        <f t="shared" si="527"/>
        <v>83005.962209999794</v>
      </c>
      <c r="CX55" s="57">
        <f t="shared" ref="CX55:CY55" si="528">+CX56-CX54</f>
        <v>77102.335179999936</v>
      </c>
      <c r="CY55" s="57">
        <f t="shared" si="528"/>
        <v>84527.552510000067</v>
      </c>
      <c r="CZ55" s="57">
        <f t="shared" ref="CZ55:DA55" si="529">+CZ56-CZ54</f>
        <v>94785.892320000101</v>
      </c>
      <c r="DA55" s="57">
        <f t="shared" si="529"/>
        <v>86566.00076999981</v>
      </c>
      <c r="DB55" s="57">
        <f t="shared" ref="DB55:DC55" si="530">+DB56-DB54</f>
        <v>92913.369929999579</v>
      </c>
      <c r="DC55" s="57">
        <f t="shared" si="530"/>
        <v>134511.70644999994</v>
      </c>
      <c r="DD55" s="57">
        <f t="shared" ref="DD55:DE55" si="531">+DD56-DD54</f>
        <v>156240.33375000022</v>
      </c>
      <c r="DE55" s="57">
        <f t="shared" si="531"/>
        <v>161556.08742</v>
      </c>
      <c r="DF55" s="57">
        <f t="shared" ref="DF55:DG55" si="532">+DF56-DF54</f>
        <v>186948.40974999988</v>
      </c>
      <c r="DG55" s="57">
        <f t="shared" si="532"/>
        <v>154921.02993000019</v>
      </c>
    </row>
    <row r="56" spans="1:111" s="4" customFormat="1" ht="17.25" customHeight="1">
      <c r="A56" s="807"/>
      <c r="B56" s="804" t="s">
        <v>24</v>
      </c>
      <c r="C56" s="805"/>
      <c r="D56" s="102">
        <v>70700.430030000003</v>
      </c>
      <c r="E56" s="102">
        <v>69683.853650000005</v>
      </c>
      <c r="F56" s="60">
        <v>67916.514299999995</v>
      </c>
      <c r="G56" s="60">
        <v>67249.547420000003</v>
      </c>
      <c r="H56" s="60">
        <v>65063.004009999997</v>
      </c>
      <c r="I56" s="60">
        <v>63597.773580000001</v>
      </c>
      <c r="J56" s="60">
        <v>63949.734329999999</v>
      </c>
      <c r="K56" s="60">
        <v>66623.50606</v>
      </c>
      <c r="L56" s="60">
        <v>70406.038029999996</v>
      </c>
      <c r="M56" s="60">
        <v>73032.608890000003</v>
      </c>
      <c r="N56" s="60">
        <v>78450.39039</v>
      </c>
      <c r="O56" s="60">
        <v>84436.019109999994</v>
      </c>
      <c r="P56" s="60">
        <v>91203.642760000002</v>
      </c>
      <c r="Q56" s="60">
        <v>97561.929319999996</v>
      </c>
      <c r="R56" s="60">
        <v>100682.49400999999</v>
      </c>
      <c r="S56" s="60">
        <v>105531.26497999999</v>
      </c>
      <c r="T56" s="60">
        <v>112745.73811999999</v>
      </c>
      <c r="U56" s="60">
        <v>117666.55740000001</v>
      </c>
      <c r="V56" s="60">
        <v>123181.56134999999</v>
      </c>
      <c r="W56" s="60">
        <v>130227.16224999999</v>
      </c>
      <c r="X56" s="60">
        <v>143181.40205999999</v>
      </c>
      <c r="Y56" s="60">
        <v>149538.04706000001</v>
      </c>
      <c r="Z56" s="60">
        <v>157715.85625000001</v>
      </c>
      <c r="AA56" s="60">
        <v>170068.85305999999</v>
      </c>
      <c r="AB56" s="60">
        <v>181170.56647999998</v>
      </c>
      <c r="AC56" s="60">
        <v>189473.90578999999</v>
      </c>
      <c r="AD56" s="60">
        <v>204628.50599000001</v>
      </c>
      <c r="AE56" s="60">
        <v>226541.51231999998</v>
      </c>
      <c r="AF56" s="60">
        <v>249664.32715999999</v>
      </c>
      <c r="AG56" s="60">
        <v>276415.07425999996</v>
      </c>
      <c r="AH56" s="60">
        <v>301096.33510999999</v>
      </c>
      <c r="AI56" s="60">
        <v>324451.06242999999</v>
      </c>
      <c r="AJ56" s="60">
        <v>355522.0613</v>
      </c>
      <c r="AK56" s="60">
        <v>535476.97313000006</v>
      </c>
      <c r="AL56" s="60">
        <v>423840.58808999998</v>
      </c>
      <c r="AM56" s="60">
        <v>457439.89227000001</v>
      </c>
      <c r="AN56" s="60">
        <v>488133.72363000002</v>
      </c>
      <c r="AO56" s="60">
        <v>513380.62644000008</v>
      </c>
      <c r="AP56" s="60">
        <v>539325.98449000006</v>
      </c>
      <c r="AQ56" s="60">
        <v>565435.59697999991</v>
      </c>
      <c r="AR56" s="60">
        <v>596170.64007000008</v>
      </c>
      <c r="AS56" s="60">
        <v>642996.16220999998</v>
      </c>
      <c r="AT56" s="60">
        <v>685995.21292999992</v>
      </c>
      <c r="AU56" s="60">
        <v>716266.93647000007</v>
      </c>
      <c r="AV56" s="60">
        <v>726656.23736999999</v>
      </c>
      <c r="AW56" s="60">
        <v>745730.96641999995</v>
      </c>
      <c r="AX56" s="60">
        <v>755198.24175000004</v>
      </c>
      <c r="AY56" s="60">
        <v>781328.60624999995</v>
      </c>
      <c r="AZ56" s="60">
        <v>793669.17373000004</v>
      </c>
      <c r="BA56" s="60">
        <v>787358.73936999985</v>
      </c>
      <c r="BB56" s="60">
        <v>785499.07367000007</v>
      </c>
      <c r="BC56" s="60">
        <v>787685.38088193699</v>
      </c>
      <c r="BD56" s="60">
        <v>793294.872139076</v>
      </c>
      <c r="BE56" s="60">
        <v>798379.5891109478</v>
      </c>
      <c r="BF56" s="60">
        <v>809626.52174090769</v>
      </c>
      <c r="BG56" s="60">
        <v>822180.29969581601</v>
      </c>
      <c r="BH56" s="60">
        <v>831466.6492199999</v>
      </c>
      <c r="BI56" s="60">
        <v>836857.54996808385</v>
      </c>
      <c r="BJ56" s="60">
        <v>836843.93681473017</v>
      </c>
      <c r="BK56" s="60">
        <v>852097.52372268797</v>
      </c>
      <c r="BL56" s="60">
        <v>859990.0655899999</v>
      </c>
      <c r="BM56" s="60">
        <v>916366.64233995613</v>
      </c>
      <c r="BN56" s="60">
        <v>874209.02184150007</v>
      </c>
      <c r="BO56" s="60">
        <v>866100.17452068732</v>
      </c>
      <c r="BP56" s="60">
        <v>876029.69282999996</v>
      </c>
      <c r="BQ56" s="60">
        <v>898497.65786850883</v>
      </c>
      <c r="BR56" s="60">
        <v>932609.67535000003</v>
      </c>
      <c r="BS56" s="60">
        <v>958074.10497315438</v>
      </c>
      <c r="BT56" s="60">
        <v>994233.23592000001</v>
      </c>
      <c r="BU56" s="60">
        <v>1029596.8152099999</v>
      </c>
      <c r="BV56" s="60">
        <v>1070310.1826799999</v>
      </c>
      <c r="BW56" s="60">
        <v>1109096.9342823953</v>
      </c>
      <c r="BX56" s="60">
        <v>1143238.65655</v>
      </c>
      <c r="BY56" s="60">
        <v>1169528.6158832442</v>
      </c>
      <c r="BZ56" s="60">
        <v>1205470.9497960876</v>
      </c>
      <c r="CA56" s="60">
        <v>1238516.6647099999</v>
      </c>
      <c r="CB56" s="60">
        <v>1271750.7014344928</v>
      </c>
      <c r="CC56" s="60">
        <v>1307550.2694518694</v>
      </c>
      <c r="CD56" s="60">
        <v>1343945.3939954594</v>
      </c>
      <c r="CE56" s="60">
        <v>1364073.4795048209</v>
      </c>
      <c r="CF56" s="60">
        <v>1405544.0500082213</v>
      </c>
      <c r="CG56" s="60">
        <v>1445609.9331604708</v>
      </c>
      <c r="CH56" s="60">
        <v>1489423.1311082812</v>
      </c>
      <c r="CI56" s="60">
        <v>1537773.0532332305</v>
      </c>
      <c r="CJ56" s="60">
        <v>1574593.6657599998</v>
      </c>
      <c r="CK56" s="60">
        <v>1607165.2043237223</v>
      </c>
      <c r="CL56" s="60">
        <v>1642508.5631490881</v>
      </c>
      <c r="CM56" s="60">
        <v>1678764.8182300001</v>
      </c>
      <c r="CN56" s="60">
        <v>1710506.9129811861</v>
      </c>
      <c r="CO56" s="60">
        <v>1745576.7738400002</v>
      </c>
      <c r="CP56" s="60">
        <v>1779963.3074099999</v>
      </c>
      <c r="CQ56" s="60">
        <v>1812396.7477800003</v>
      </c>
      <c r="CR56" s="60">
        <v>1843541.0671499998</v>
      </c>
      <c r="CS56" s="60">
        <v>1863499.64662</v>
      </c>
      <c r="CT56" s="60">
        <v>1879997.10726</v>
      </c>
      <c r="CU56" s="60">
        <v>1901520.90078</v>
      </c>
      <c r="CV56" s="60">
        <v>1904922.5419999999</v>
      </c>
      <c r="CW56" s="60">
        <v>1923492.04351</v>
      </c>
      <c r="CX56" s="60">
        <v>1933725.43967</v>
      </c>
      <c r="CY56" s="60">
        <v>1943487.7750500001</v>
      </c>
      <c r="CZ56" s="60">
        <v>1966886.3293000001</v>
      </c>
      <c r="DA56" s="60">
        <v>1978355.5016399999</v>
      </c>
      <c r="DB56" s="60">
        <v>1999477.1700299999</v>
      </c>
      <c r="DC56" s="60">
        <v>2048485.6869000001</v>
      </c>
      <c r="DD56" s="60">
        <v>2115062.41017</v>
      </c>
      <c r="DE56" s="60">
        <v>2180281.6812300002</v>
      </c>
      <c r="DF56" s="60">
        <v>2267572.5193400001</v>
      </c>
      <c r="DG56" s="60">
        <v>2329273.0961500001</v>
      </c>
    </row>
    <row r="57" spans="1:111" s="39" customFormat="1" ht="17.25" customHeight="1">
      <c r="A57" s="808"/>
      <c r="B57" s="817" t="s">
        <v>25</v>
      </c>
      <c r="C57" s="818"/>
      <c r="D57" s="104">
        <f t="shared" ref="D57:S57" si="533">+D53/D56</f>
        <v>3.4326234069159321E-2</v>
      </c>
      <c r="E57" s="97">
        <f t="shared" si="533"/>
        <v>3.7525259770130416E-2</v>
      </c>
      <c r="F57" s="58">
        <f t="shared" si="533"/>
        <v>3.1731726255568464E-2</v>
      </c>
      <c r="G57" s="58">
        <f t="shared" si="533"/>
        <v>3.2237108399561648E-2</v>
      </c>
      <c r="H57" s="58">
        <f t="shared" si="533"/>
        <v>5.3847884267094755E-2</v>
      </c>
      <c r="I57" s="58">
        <f t="shared" si="533"/>
        <v>3.8884894246953627E-2</v>
      </c>
      <c r="J57" s="58">
        <f t="shared" si="533"/>
        <v>3.2063985589351883E-2</v>
      </c>
      <c r="K57" s="58">
        <f t="shared" si="533"/>
        <v>3.788984443008165E-2</v>
      </c>
      <c r="L57" s="58">
        <f t="shared" si="533"/>
        <v>2.8288675882476747E-2</v>
      </c>
      <c r="M57" s="58">
        <f t="shared" si="533"/>
        <v>2.6426193166765855E-2</v>
      </c>
      <c r="N57" s="58">
        <f t="shared" si="533"/>
        <v>2.4347343467693881E-2</v>
      </c>
      <c r="O57" s="58">
        <f t="shared" si="533"/>
        <v>2.0637386370973846E-2</v>
      </c>
      <c r="P57" s="58">
        <f t="shared" si="533"/>
        <v>2.2874810006108585E-2</v>
      </c>
      <c r="Q57" s="58">
        <f t="shared" si="533"/>
        <v>2.6006869049071422E-2</v>
      </c>
      <c r="R57" s="58">
        <f t="shared" si="533"/>
        <v>2.2735894482040164E-2</v>
      </c>
      <c r="S57" s="58">
        <f t="shared" si="533"/>
        <v>2.2596271071439595E-2</v>
      </c>
      <c r="T57" s="58">
        <f t="shared" ref="T57:Y57" si="534">+T53/T56</f>
        <v>2.2106151607675512E-2</v>
      </c>
      <c r="U57" s="58">
        <f t="shared" si="534"/>
        <v>2.0128932148056541E-2</v>
      </c>
      <c r="V57" s="58">
        <f t="shared" si="534"/>
        <v>1.978255498057949E-2</v>
      </c>
      <c r="W57" s="58">
        <f t="shared" si="534"/>
        <v>1.815455792134486E-2</v>
      </c>
      <c r="X57" s="58">
        <f t="shared" si="534"/>
        <v>1.7728908737297221E-2</v>
      </c>
      <c r="Y57" s="58">
        <f t="shared" si="534"/>
        <v>1.945968298510959E-2</v>
      </c>
      <c r="Z57" s="58">
        <f t="shared" ref="Z57:AE57" si="535">+Z53/Z56</f>
        <v>1.762425330014971E-2</v>
      </c>
      <c r="AA57" s="58">
        <f t="shared" si="535"/>
        <v>1.7328185008458362E-2</v>
      </c>
      <c r="AB57" s="58">
        <f t="shared" si="535"/>
        <v>1.6719034106096813E-2</v>
      </c>
      <c r="AC57" s="58">
        <f t="shared" si="535"/>
        <v>1.56916060161616E-2</v>
      </c>
      <c r="AD57" s="58">
        <f t="shared" si="535"/>
        <v>1.4975803714022897E-2</v>
      </c>
      <c r="AE57" s="58">
        <f t="shared" si="535"/>
        <v>1.4116606653012389E-2</v>
      </c>
      <c r="AF57" s="58">
        <f t="shared" ref="AF57:AM57" si="536">+AF53/AF56</f>
        <v>1.3466355719475227E-2</v>
      </c>
      <c r="AG57" s="58">
        <f t="shared" si="536"/>
        <v>1.2608480812163649E-2</v>
      </c>
      <c r="AH57" s="58">
        <f t="shared" si="536"/>
        <v>1.248349056997594E-2</v>
      </c>
      <c r="AI57" s="58">
        <f t="shared" si="536"/>
        <v>1.2254737340728641E-2</v>
      </c>
      <c r="AJ57" s="58">
        <f t="shared" si="536"/>
        <v>1.2100570367614487E-2</v>
      </c>
      <c r="AK57" s="58">
        <f t="shared" si="536"/>
        <v>9.9024150730617627E-3</v>
      </c>
      <c r="AL57" s="58">
        <f t="shared" si="536"/>
        <v>1.3702089401515303E-2</v>
      </c>
      <c r="AM57" s="58">
        <f t="shared" si="536"/>
        <v>1.6279544888499854E-2</v>
      </c>
      <c r="AN57" s="58">
        <f t="shared" ref="AN57:AS57" si="537">+AN53/AN56</f>
        <v>1.6783850148837549E-2</v>
      </c>
      <c r="AO57" s="58">
        <f t="shared" si="537"/>
        <v>1.7808923962323562E-2</v>
      </c>
      <c r="AP57" s="58">
        <f t="shared" si="537"/>
        <v>1.7376746178588334E-2</v>
      </c>
      <c r="AQ57" s="58">
        <f t="shared" si="537"/>
        <v>1.5886630870036528E-2</v>
      </c>
      <c r="AR57" s="58">
        <f t="shared" si="537"/>
        <v>1.618535905905568E-2</v>
      </c>
      <c r="AS57" s="58">
        <f t="shared" si="537"/>
        <v>1.619044293237944E-2</v>
      </c>
      <c r="AT57" s="58">
        <f t="shared" ref="AT57:AZ57" si="538">+AT53/AT56</f>
        <v>1.6884470272800454E-2</v>
      </c>
      <c r="AU57" s="58">
        <f t="shared" si="538"/>
        <v>1.7350579731137034E-2</v>
      </c>
      <c r="AV57" s="58">
        <f t="shared" si="538"/>
        <v>1.7883890953767405E-2</v>
      </c>
      <c r="AW57" s="58">
        <f t="shared" si="538"/>
        <v>1.934663854615153E-2</v>
      </c>
      <c r="AX57" s="58">
        <f t="shared" si="538"/>
        <v>2.1530950075202556E-2</v>
      </c>
      <c r="AY57" s="58">
        <f t="shared" si="538"/>
        <v>2.3848377777221569E-2</v>
      </c>
      <c r="AZ57" s="58">
        <f t="shared" si="538"/>
        <v>2.5831844272906839E-2</v>
      </c>
      <c r="BA57" s="58">
        <f t="shared" ref="BA57:BG57" si="539">+BA53/BA56</f>
        <v>2.690807974894913E-2</v>
      </c>
      <c r="BB57" s="58">
        <f t="shared" si="539"/>
        <v>2.6801314547245974E-2</v>
      </c>
      <c r="BC57" s="58">
        <f t="shared" si="539"/>
        <v>2.6561854730087951E-2</v>
      </c>
      <c r="BD57" s="58">
        <f t="shared" si="539"/>
        <v>2.3390192098389103E-2</v>
      </c>
      <c r="BE57" s="58">
        <f t="shared" si="539"/>
        <v>2.6156055421274114E-2</v>
      </c>
      <c r="BF57" s="58">
        <f t="shared" si="539"/>
        <v>2.9117647034720244E-2</v>
      </c>
      <c r="BG57" s="58">
        <f t="shared" si="539"/>
        <v>2.9584458444211231E-2</v>
      </c>
      <c r="BH57" s="58">
        <f t="shared" ref="BH57:BM57" si="540">+BH53/BH56</f>
        <v>3.0204974491231721E-2</v>
      </c>
      <c r="BI57" s="58">
        <f t="shared" si="540"/>
        <v>3.3211016487883722E-2</v>
      </c>
      <c r="BJ57" s="58">
        <f t="shared" si="540"/>
        <v>3.4453956970453954E-2</v>
      </c>
      <c r="BK57" s="58">
        <f t="shared" si="540"/>
        <v>3.5348057307349315E-2</v>
      </c>
      <c r="BL57" s="58">
        <f t="shared" si="540"/>
        <v>3.4486807065210449E-2</v>
      </c>
      <c r="BM57" s="58">
        <f t="shared" si="540"/>
        <v>3.2952170293861167E-2</v>
      </c>
      <c r="BN57" s="58">
        <f t="shared" ref="BN57:BS57" si="541">+BN53/BN56</f>
        <v>3.5257416807565618E-2</v>
      </c>
      <c r="BO57" s="58">
        <f t="shared" si="541"/>
        <v>3.4261357707752321E-2</v>
      </c>
      <c r="BP57" s="58">
        <f t="shared" si="541"/>
        <v>3.5850686634310944E-2</v>
      </c>
      <c r="BQ57" s="58">
        <f t="shared" si="541"/>
        <v>3.6443965650038525E-2</v>
      </c>
      <c r="BR57" s="58">
        <f t="shared" si="541"/>
        <v>3.4250665443731607E-2</v>
      </c>
      <c r="BS57" s="58">
        <f t="shared" si="541"/>
        <v>3.2703900071360301E-2</v>
      </c>
      <c r="BT57" s="58">
        <f t="shared" ref="BT57:BY57" si="542">+BT53/BT56</f>
        <v>3.1740217677192213E-2</v>
      </c>
      <c r="BU57" s="58">
        <f t="shared" si="542"/>
        <v>3.4393556591156851E-2</v>
      </c>
      <c r="BV57" s="58">
        <f t="shared" si="542"/>
        <v>3.5427304638973742E-2</v>
      </c>
      <c r="BW57" s="58">
        <f t="shared" si="542"/>
        <v>3.6711258783114535E-2</v>
      </c>
      <c r="BX57" s="58">
        <f t="shared" si="542"/>
        <v>3.9440832674492374E-2</v>
      </c>
      <c r="BY57" s="58">
        <f t="shared" si="542"/>
        <v>4.0015111220392731E-2</v>
      </c>
      <c r="BZ57" s="58">
        <f t="shared" ref="BZ57:CE57" si="543">+BZ53/BZ56</f>
        <v>3.8779901471626251E-2</v>
      </c>
      <c r="CA57" s="58">
        <f t="shared" si="543"/>
        <v>3.874986577692717E-2</v>
      </c>
      <c r="CB57" s="58">
        <f t="shared" si="543"/>
        <v>3.8525477261176638E-2</v>
      </c>
      <c r="CC57" s="58">
        <f t="shared" si="543"/>
        <v>3.8901019324727643E-2</v>
      </c>
      <c r="CD57" s="58">
        <f t="shared" si="543"/>
        <v>3.7696046927462555E-2</v>
      </c>
      <c r="CE57" s="58">
        <f t="shared" si="543"/>
        <v>3.7875028974799017E-2</v>
      </c>
      <c r="CF57" s="58">
        <f t="shared" ref="CF57:CG57" si="544">+CF53/CF56</f>
        <v>3.5824713604461898E-2</v>
      </c>
      <c r="CG57" s="58">
        <f t="shared" si="544"/>
        <v>3.5902460400594589E-2</v>
      </c>
      <c r="CH57" s="58">
        <f t="shared" ref="CH57:CI57" si="545">+CH53/CH56</f>
        <v>3.3236254913783209E-2</v>
      </c>
      <c r="CI57" s="58">
        <f t="shared" si="545"/>
        <v>3.3146619771252536E-2</v>
      </c>
      <c r="CJ57" s="58">
        <f t="shared" ref="CJ57:CK57" si="546">+CJ53/CJ56</f>
        <v>3.3066269331694299E-2</v>
      </c>
      <c r="CK57" s="58">
        <f t="shared" si="546"/>
        <v>3.2471422781928432E-2</v>
      </c>
      <c r="CL57" s="58">
        <f t="shared" ref="CL57:CM57" si="547">+CL53/CL56</f>
        <v>3.3802937181375517E-2</v>
      </c>
      <c r="CM57" s="58">
        <f t="shared" si="547"/>
        <v>3.3972049819420529E-2</v>
      </c>
      <c r="CN57" s="58">
        <f t="shared" ref="CN57:CO57" si="548">+CN53/CN56</f>
        <v>3.4104933378098341E-2</v>
      </c>
      <c r="CO57" s="58">
        <f t="shared" si="548"/>
        <v>3.4827142071937503E-2</v>
      </c>
      <c r="CP57" s="58">
        <f t="shared" ref="CP57:CQ57" si="549">+CP53/CP56</f>
        <v>3.4696780086924756E-2</v>
      </c>
      <c r="CQ57" s="58">
        <f t="shared" si="549"/>
        <v>3.549615885087052E-2</v>
      </c>
      <c r="CR57" s="58">
        <f t="shared" ref="CR57:CS57" si="550">+CR53/CR56</f>
        <v>3.4961855674656199E-2</v>
      </c>
      <c r="CS57" s="58">
        <f t="shared" si="550"/>
        <v>3.5204629906419191E-2</v>
      </c>
      <c r="CT57" s="58">
        <f t="shared" ref="CT57:CU57" si="551">+CT53/CT56</f>
        <v>3.496849727381425E-2</v>
      </c>
      <c r="CU57" s="58">
        <f t="shared" si="551"/>
        <v>3.5371612114497457E-2</v>
      </c>
      <c r="CV57" s="58">
        <f t="shared" ref="CV57:CW57" si="552">+CV53/CV56</f>
        <v>3.5466689054488597E-2</v>
      </c>
      <c r="CW57" s="58">
        <f t="shared" si="552"/>
        <v>3.5375320053745905E-2</v>
      </c>
      <c r="CX57" s="58">
        <f t="shared" ref="CX57:CY57" si="553">+CX53/CX56</f>
        <v>3.3223070665587134E-2</v>
      </c>
      <c r="CY57" s="58">
        <f t="shared" si="553"/>
        <v>3.2605336958381283E-2</v>
      </c>
      <c r="CZ57" s="58">
        <f t="shared" ref="CZ57:DA57" si="554">+CZ53/CZ56</f>
        <v>3.225943123646683E-2</v>
      </c>
      <c r="DA57" s="58">
        <f t="shared" si="554"/>
        <v>3.3673660555332531E-2</v>
      </c>
      <c r="DB57" s="58">
        <f t="shared" ref="DB57:DC57" si="555">+DB53/DB56</f>
        <v>3.3682189989190814E-2</v>
      </c>
      <c r="DC57" s="58">
        <f t="shared" si="555"/>
        <v>3.1607447205541858E-2</v>
      </c>
      <c r="DD57" s="58">
        <f t="shared" ref="DD57:DE57" si="556">+DD53/DD56</f>
        <v>2.9411730339909882E-2</v>
      </c>
      <c r="DE57" s="58">
        <f t="shared" si="556"/>
        <v>2.8568814592277964E-2</v>
      </c>
      <c r="DF57" s="58">
        <f t="shared" ref="DF57:DG57" si="557">+DF53/DF56</f>
        <v>2.6254596398675719E-2</v>
      </c>
      <c r="DG57" s="58">
        <f t="shared" si="557"/>
        <v>2.6485078899493295E-2</v>
      </c>
    </row>
    <row r="58" spans="1:111" s="8" customFormat="1" ht="17.25" customHeight="1">
      <c r="B58" s="7"/>
      <c r="C58" s="7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1:111" s="8" customFormat="1">
      <c r="B59" s="7"/>
      <c r="C59" s="7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</row>
    <row r="60" spans="1:111" s="8" customFormat="1">
      <c r="B60" s="7"/>
      <c r="C60" s="7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</row>
    <row r="61" spans="1:111" s="8" customFormat="1" ht="18.75" hidden="1" thickBot="1">
      <c r="B61" s="11" t="s">
        <v>28</v>
      </c>
      <c r="C61" s="11"/>
      <c r="D61" s="12" t="s">
        <v>18</v>
      </c>
      <c r="E61" s="117" t="s">
        <v>18</v>
      </c>
      <c r="F61" s="124" t="s">
        <v>18</v>
      </c>
      <c r="G61" s="124" t="s">
        <v>18</v>
      </c>
      <c r="H61" s="124" t="s">
        <v>18</v>
      </c>
      <c r="I61" s="124" t="s">
        <v>18</v>
      </c>
      <c r="J61" s="124" t="s">
        <v>18</v>
      </c>
      <c r="K61" s="124" t="s">
        <v>18</v>
      </c>
      <c r="L61" s="124" t="s">
        <v>18</v>
      </c>
      <c r="M61" s="124" t="s">
        <v>18</v>
      </c>
      <c r="N61" s="124" t="s">
        <v>18</v>
      </c>
      <c r="O61" s="124" t="s">
        <v>18</v>
      </c>
      <c r="P61" s="124" t="s">
        <v>18</v>
      </c>
      <c r="Q61" s="124" t="s">
        <v>18</v>
      </c>
      <c r="R61" s="124" t="s">
        <v>18</v>
      </c>
      <c r="S61" s="124" t="s">
        <v>18</v>
      </c>
      <c r="T61" s="124" t="s">
        <v>18</v>
      </c>
      <c r="U61" s="124" t="s">
        <v>18</v>
      </c>
      <c r="V61" s="124" t="s">
        <v>18</v>
      </c>
      <c r="W61" s="124" t="s">
        <v>18</v>
      </c>
      <c r="X61" s="124" t="s">
        <v>18</v>
      </c>
      <c r="Y61" s="124" t="s">
        <v>18</v>
      </c>
      <c r="Z61" s="124" t="s">
        <v>18</v>
      </c>
      <c r="AA61" s="124" t="s">
        <v>18</v>
      </c>
      <c r="AB61" s="124" t="s">
        <v>18</v>
      </c>
      <c r="AC61" s="124" t="s">
        <v>18</v>
      </c>
      <c r="AD61" s="124" t="s">
        <v>18</v>
      </c>
      <c r="AE61" s="124" t="s">
        <v>18</v>
      </c>
      <c r="AF61" s="124" t="s">
        <v>18</v>
      </c>
      <c r="AG61" s="124" t="s">
        <v>18</v>
      </c>
      <c r="AH61" s="124" t="s">
        <v>18</v>
      </c>
      <c r="AI61" s="124" t="s">
        <v>18</v>
      </c>
      <c r="AJ61" s="124" t="s">
        <v>18</v>
      </c>
      <c r="AK61" s="124" t="s">
        <v>18</v>
      </c>
      <c r="AL61" s="124" t="s">
        <v>18</v>
      </c>
      <c r="AM61" s="124" t="s">
        <v>18</v>
      </c>
      <c r="AN61" s="124" t="s">
        <v>18</v>
      </c>
      <c r="AO61" s="124" t="s">
        <v>18</v>
      </c>
      <c r="AP61" s="124"/>
      <c r="AQ61" s="124"/>
      <c r="AR61" s="124"/>
      <c r="AS61" s="124"/>
    </row>
    <row r="62" spans="1:111" s="8" customFormat="1" hidden="1">
      <c r="B62" s="13" t="s">
        <v>2</v>
      </c>
      <c r="C62" s="32"/>
      <c r="D62" s="14">
        <v>8836</v>
      </c>
      <c r="E62" s="118">
        <v>8836</v>
      </c>
      <c r="F62" s="118">
        <v>8836</v>
      </c>
      <c r="G62" s="118">
        <v>8836</v>
      </c>
      <c r="H62" s="118">
        <v>8836</v>
      </c>
      <c r="I62" s="118">
        <v>8836</v>
      </c>
      <c r="J62" s="118">
        <v>8836</v>
      </c>
      <c r="K62" s="118">
        <v>8836</v>
      </c>
      <c r="L62" s="118">
        <v>8836</v>
      </c>
      <c r="M62" s="118">
        <v>8836</v>
      </c>
      <c r="N62" s="118">
        <v>8836</v>
      </c>
      <c r="O62" s="118">
        <v>8836</v>
      </c>
      <c r="P62" s="118">
        <v>8836</v>
      </c>
      <c r="Q62" s="118">
        <v>8836</v>
      </c>
      <c r="R62" s="118">
        <v>8836</v>
      </c>
      <c r="S62" s="118">
        <v>8836</v>
      </c>
      <c r="T62" s="118">
        <v>8836</v>
      </c>
      <c r="U62" s="118">
        <v>8836</v>
      </c>
      <c r="V62" s="118">
        <v>8836</v>
      </c>
      <c r="W62" s="118">
        <v>8836</v>
      </c>
      <c r="X62" s="118">
        <v>8836</v>
      </c>
      <c r="Y62" s="118">
        <v>8836</v>
      </c>
      <c r="Z62" s="118">
        <v>8836</v>
      </c>
      <c r="AA62" s="118">
        <v>8836</v>
      </c>
      <c r="AB62" s="118">
        <v>8836</v>
      </c>
      <c r="AC62" s="118">
        <v>8836</v>
      </c>
      <c r="AD62" s="118">
        <v>8836</v>
      </c>
      <c r="AE62" s="118">
        <v>8836</v>
      </c>
      <c r="AF62" s="118">
        <v>8836</v>
      </c>
      <c r="AG62" s="118">
        <v>8836</v>
      </c>
      <c r="AH62" s="118">
        <v>8836</v>
      </c>
      <c r="AI62" s="118">
        <v>8836</v>
      </c>
      <c r="AJ62" s="118">
        <v>8836</v>
      </c>
      <c r="AK62" s="118">
        <v>8836</v>
      </c>
      <c r="AL62" s="118">
        <v>8836</v>
      </c>
      <c r="AM62" s="118">
        <v>8836</v>
      </c>
      <c r="AN62" s="118">
        <v>8836</v>
      </c>
      <c r="AO62" s="118">
        <v>8836</v>
      </c>
      <c r="AP62" s="118"/>
      <c r="AQ62" s="118"/>
      <c r="AR62" s="118"/>
      <c r="AS62" s="118"/>
    </row>
    <row r="63" spans="1:111" s="8" customFormat="1" hidden="1">
      <c r="B63" s="15" t="s">
        <v>11</v>
      </c>
      <c r="C63" s="33"/>
      <c r="D63" s="16">
        <v>7700</v>
      </c>
      <c r="E63" s="119">
        <v>7700</v>
      </c>
      <c r="F63" s="119">
        <v>7700</v>
      </c>
      <c r="G63" s="119">
        <v>7700</v>
      </c>
      <c r="H63" s="119">
        <v>7700</v>
      </c>
      <c r="I63" s="119">
        <v>7700</v>
      </c>
      <c r="J63" s="119">
        <v>7700</v>
      </c>
      <c r="K63" s="119">
        <v>7700</v>
      </c>
      <c r="L63" s="119">
        <v>7700</v>
      </c>
      <c r="M63" s="119">
        <v>7700</v>
      </c>
      <c r="N63" s="119">
        <v>7700</v>
      </c>
      <c r="O63" s="119">
        <v>7700</v>
      </c>
      <c r="P63" s="119">
        <v>7700</v>
      </c>
      <c r="Q63" s="119">
        <v>7700</v>
      </c>
      <c r="R63" s="119">
        <v>7700</v>
      </c>
      <c r="S63" s="119">
        <v>7700</v>
      </c>
      <c r="T63" s="119">
        <v>7700</v>
      </c>
      <c r="U63" s="119">
        <v>7700</v>
      </c>
      <c r="V63" s="119">
        <v>7700</v>
      </c>
      <c r="W63" s="119">
        <v>7700</v>
      </c>
      <c r="X63" s="119">
        <v>7700</v>
      </c>
      <c r="Y63" s="119">
        <v>7700</v>
      </c>
      <c r="Z63" s="119">
        <v>7700</v>
      </c>
      <c r="AA63" s="119">
        <v>7700</v>
      </c>
      <c r="AB63" s="119">
        <v>7700</v>
      </c>
      <c r="AC63" s="119">
        <v>7700</v>
      </c>
      <c r="AD63" s="119">
        <v>7700</v>
      </c>
      <c r="AE63" s="119">
        <v>7700</v>
      </c>
      <c r="AF63" s="119">
        <v>7700</v>
      </c>
      <c r="AG63" s="119">
        <v>7700</v>
      </c>
      <c r="AH63" s="119">
        <v>7700</v>
      </c>
      <c r="AI63" s="119">
        <v>7700</v>
      </c>
      <c r="AJ63" s="119">
        <v>7700</v>
      </c>
      <c r="AK63" s="119">
        <v>7700</v>
      </c>
      <c r="AL63" s="119">
        <v>7700</v>
      </c>
      <c r="AM63" s="119">
        <v>7700</v>
      </c>
      <c r="AN63" s="119">
        <v>7700</v>
      </c>
      <c r="AO63" s="119">
        <v>7700</v>
      </c>
      <c r="AP63" s="119"/>
      <c r="AQ63" s="119"/>
      <c r="AR63" s="119"/>
      <c r="AS63" s="119"/>
    </row>
    <row r="64" spans="1:111" s="8" customFormat="1" hidden="1">
      <c r="B64" s="15" t="s">
        <v>12</v>
      </c>
      <c r="C64" s="33"/>
      <c r="D64" s="16">
        <v>8400</v>
      </c>
      <c r="E64" s="119">
        <v>8400</v>
      </c>
      <c r="F64" s="119">
        <v>8400</v>
      </c>
      <c r="G64" s="119">
        <v>8400</v>
      </c>
      <c r="H64" s="119">
        <v>8400</v>
      </c>
      <c r="I64" s="119">
        <v>8400</v>
      </c>
      <c r="J64" s="119">
        <v>8400</v>
      </c>
      <c r="K64" s="119">
        <v>8400</v>
      </c>
      <c r="L64" s="119">
        <v>8400</v>
      </c>
      <c r="M64" s="119">
        <v>8400</v>
      </c>
      <c r="N64" s="119">
        <v>8400</v>
      </c>
      <c r="O64" s="119">
        <v>8400</v>
      </c>
      <c r="P64" s="119">
        <v>8400</v>
      </c>
      <c r="Q64" s="119">
        <v>8400</v>
      </c>
      <c r="R64" s="119">
        <v>8400</v>
      </c>
      <c r="S64" s="119">
        <v>8400</v>
      </c>
      <c r="T64" s="119">
        <v>8400</v>
      </c>
      <c r="U64" s="119">
        <v>8400</v>
      </c>
      <c r="V64" s="119">
        <v>8400</v>
      </c>
      <c r="W64" s="119">
        <v>8400</v>
      </c>
      <c r="X64" s="119">
        <v>8400</v>
      </c>
      <c r="Y64" s="119">
        <v>8400</v>
      </c>
      <c r="Z64" s="119">
        <v>8400</v>
      </c>
      <c r="AA64" s="119">
        <v>8400</v>
      </c>
      <c r="AB64" s="119">
        <v>8400</v>
      </c>
      <c r="AC64" s="119">
        <v>8400</v>
      </c>
      <c r="AD64" s="119">
        <v>8400</v>
      </c>
      <c r="AE64" s="119">
        <v>8400</v>
      </c>
      <c r="AF64" s="119">
        <v>8400</v>
      </c>
      <c r="AG64" s="119">
        <v>8400</v>
      </c>
      <c r="AH64" s="119">
        <v>8400</v>
      </c>
      <c r="AI64" s="119">
        <v>8400</v>
      </c>
      <c r="AJ64" s="119">
        <v>8400</v>
      </c>
      <c r="AK64" s="119">
        <v>8400</v>
      </c>
      <c r="AL64" s="119">
        <v>8400</v>
      </c>
      <c r="AM64" s="119">
        <v>8400</v>
      </c>
      <c r="AN64" s="119">
        <v>8400</v>
      </c>
      <c r="AO64" s="119">
        <v>8400</v>
      </c>
      <c r="AP64" s="119"/>
      <c r="AQ64" s="119"/>
      <c r="AR64" s="119"/>
      <c r="AS64" s="119"/>
    </row>
    <row r="65" spans="2:95" s="8" customFormat="1" ht="18.75" hidden="1" thickBot="1">
      <c r="B65" s="17" t="s">
        <v>13</v>
      </c>
      <c r="C65" s="34"/>
      <c r="D65" s="18">
        <v>2200</v>
      </c>
      <c r="E65" s="120">
        <v>2200</v>
      </c>
      <c r="F65" s="119">
        <v>2200</v>
      </c>
      <c r="G65" s="119">
        <v>2200</v>
      </c>
      <c r="H65" s="119">
        <v>2200</v>
      </c>
      <c r="I65" s="119">
        <v>2200</v>
      </c>
      <c r="J65" s="119">
        <v>2200</v>
      </c>
      <c r="K65" s="119">
        <v>2200</v>
      </c>
      <c r="L65" s="119">
        <v>2200</v>
      </c>
      <c r="M65" s="119">
        <v>2200</v>
      </c>
      <c r="N65" s="119">
        <v>2200</v>
      </c>
      <c r="O65" s="119">
        <v>2200</v>
      </c>
      <c r="P65" s="119">
        <v>2200</v>
      </c>
      <c r="Q65" s="119">
        <v>2200</v>
      </c>
      <c r="R65" s="119">
        <v>2200</v>
      </c>
      <c r="S65" s="119">
        <v>2200</v>
      </c>
      <c r="T65" s="119">
        <v>2200</v>
      </c>
      <c r="U65" s="119">
        <v>2200</v>
      </c>
      <c r="V65" s="119">
        <v>2200</v>
      </c>
      <c r="W65" s="119">
        <v>2200</v>
      </c>
      <c r="X65" s="119">
        <v>2200</v>
      </c>
      <c r="Y65" s="119">
        <v>2200</v>
      </c>
      <c r="Z65" s="119">
        <v>2200</v>
      </c>
      <c r="AA65" s="119">
        <v>2200</v>
      </c>
      <c r="AB65" s="119">
        <v>2200</v>
      </c>
      <c r="AC65" s="119">
        <v>2200</v>
      </c>
      <c r="AD65" s="119">
        <v>2200</v>
      </c>
      <c r="AE65" s="119">
        <v>2200</v>
      </c>
      <c r="AF65" s="119">
        <v>2200</v>
      </c>
      <c r="AG65" s="119">
        <v>2200</v>
      </c>
      <c r="AH65" s="119">
        <v>2200</v>
      </c>
      <c r="AI65" s="119">
        <v>2200</v>
      </c>
      <c r="AJ65" s="119">
        <v>2200</v>
      </c>
      <c r="AK65" s="119">
        <v>2200</v>
      </c>
      <c r="AL65" s="119">
        <v>2200</v>
      </c>
      <c r="AM65" s="119">
        <v>2200</v>
      </c>
      <c r="AN65" s="119">
        <v>2200</v>
      </c>
      <c r="AO65" s="119">
        <v>2200</v>
      </c>
      <c r="AP65" s="119"/>
      <c r="AQ65" s="119"/>
      <c r="AR65" s="119"/>
      <c r="AS65" s="119"/>
    </row>
    <row r="66" spans="2:95" s="8" customFormat="1" hidden="1">
      <c r="B66" s="7"/>
      <c r="C66" s="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2:9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2:95"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2:9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CM69" s="314"/>
      <c r="CN69" s="314"/>
      <c r="CO69" s="314"/>
    </row>
    <row r="70" spans="2:95"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2:9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2:95"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CP72" s="314"/>
      <c r="CQ72" s="314"/>
    </row>
    <row r="73" spans="2:95"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2:95">
      <c r="B74" s="21"/>
      <c r="C74" s="21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</row>
    <row r="75" spans="2:95"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</row>
    <row r="76" spans="2:95"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</row>
    <row r="77" spans="2:95">
      <c r="B77" s="24"/>
      <c r="C77" s="24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</row>
    <row r="78" spans="2:95"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2:95"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</row>
    <row r="80" spans="2:95"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2:45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</row>
    <row r="82" spans="2:45"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2:45"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</row>
    <row r="84" spans="2:45"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2:45"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</row>
    <row r="86" spans="2:45"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2:45"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</row>
    <row r="88" spans="2:45"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2:45"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</row>
    <row r="90" spans="2:45"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2:45"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</row>
    <row r="92" spans="2:45"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2:45">
      <c r="B93" s="21"/>
      <c r="C93" s="21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</row>
    <row r="94" spans="2:45"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</row>
    <row r="95" spans="2:45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</row>
    <row r="96" spans="2:45">
      <c r="B96" s="24"/>
      <c r="C96" s="24"/>
    </row>
    <row r="97" spans="2:45">
      <c r="B97" s="27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2:45">
      <c r="B98" s="24"/>
      <c r="C98" s="24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</row>
    <row r="99" spans="2:45"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2:45"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</row>
    <row r="101" spans="2:45"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2:45"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</row>
    <row r="103" spans="2:45"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2:45"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</row>
    <row r="105" spans="2:45"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2:45"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</row>
    <row r="107" spans="2:45"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2:45"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</row>
    <row r="109" spans="2:45"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2:45"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</row>
    <row r="111" spans="2:45"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2:45"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</row>
    <row r="113" spans="2:45"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2:45">
      <c r="B114" s="21"/>
      <c r="C114" s="21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</row>
    <row r="115" spans="2:45"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</row>
    <row r="116" spans="2:45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</row>
    <row r="117" spans="2:45">
      <c r="B117" s="24"/>
      <c r="C117" s="24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</row>
    <row r="118" spans="2:45"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2:45"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</row>
    <row r="120" spans="2:45"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2:45"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</row>
    <row r="122" spans="2:45"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2:45"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</row>
    <row r="124" spans="2:45"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2:45"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</row>
    <row r="126" spans="2:45"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2:45"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</row>
    <row r="128" spans="2:45"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2:45"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</row>
    <row r="130" spans="2:45"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2:45"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</row>
    <row r="132" spans="2:45"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2:45">
      <c r="B133" s="21"/>
      <c r="C133" s="21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</row>
    <row r="134" spans="2:45"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</row>
    <row r="135" spans="2:45"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</row>
    <row r="136" spans="2:45">
      <c r="B136" s="24"/>
      <c r="C136" s="24"/>
    </row>
    <row r="137" spans="2:45">
      <c r="B137" s="27"/>
      <c r="C137" s="27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</row>
    <row r="138" spans="2:45">
      <c r="B138" s="24"/>
      <c r="C138" s="24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</row>
    <row r="139" spans="2:45"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2:45"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</row>
    <row r="141" spans="2:45"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2:45"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</row>
    <row r="143" spans="2:45"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2:45"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</row>
    <row r="145" spans="2:45"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2:45"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</row>
    <row r="147" spans="2:45"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2:45"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</row>
    <row r="149" spans="2:45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2:45"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</row>
    <row r="151" spans="2:45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2:45"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</row>
    <row r="153" spans="2:45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2:45">
      <c r="B154" s="21"/>
      <c r="C154" s="21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</row>
    <row r="155" spans="2:45"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2:45"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</row>
    <row r="157" spans="2:45">
      <c r="B157" s="24"/>
      <c r="C157" s="24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</row>
    <row r="158" spans="2:45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2:45"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</row>
    <row r="160" spans="2:45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2:45"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</row>
    <row r="162" spans="2:45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2:45"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</row>
    <row r="164" spans="2:45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2:45"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</row>
    <row r="166" spans="2:45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2:45"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</row>
    <row r="168" spans="2:45"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2:45"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</row>
    <row r="170" spans="2:45"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2:45"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</row>
    <row r="172" spans="2:45"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2:45">
      <c r="B173" s="21"/>
      <c r="C173" s="21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</row>
    <row r="174" spans="2:45"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2:45"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2:45">
      <c r="B176" s="24"/>
      <c r="C176" s="24"/>
    </row>
    <row r="177" spans="2:45">
      <c r="B177" s="27"/>
      <c r="C177" s="27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</row>
    <row r="178" spans="2:45">
      <c r="B178" s="24"/>
      <c r="C178" s="24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</row>
    <row r="179" spans="2:45"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2:45"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</row>
    <row r="181" spans="2:45"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2:45"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</row>
    <row r="183" spans="2:45"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2:45"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</row>
    <row r="185" spans="2:45"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2:45"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</row>
    <row r="187" spans="2:45"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2:45"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</row>
    <row r="189" spans="2:45"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2:45"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</row>
    <row r="191" spans="2:45"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2:45"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</row>
    <row r="193" spans="2:45"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2:45">
      <c r="B194" s="21"/>
      <c r="C194" s="21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</row>
    <row r="195" spans="2:45"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</row>
    <row r="196" spans="2:45"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</row>
    <row r="197" spans="2:45">
      <c r="B197" s="24"/>
      <c r="C197" s="24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</row>
    <row r="198" spans="2:45"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2:45"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</row>
    <row r="200" spans="2:45"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2:45"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</row>
    <row r="202" spans="2:45"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2:45"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</row>
    <row r="204" spans="2:45"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2:45"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</row>
    <row r="206" spans="2:45"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2:45"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</row>
    <row r="208" spans="2:45"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2:45"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</row>
    <row r="210" spans="2:45"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2:45"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</row>
    <row r="212" spans="2:45"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2:45">
      <c r="B213" s="21"/>
      <c r="C213" s="21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</row>
    <row r="214" spans="2:45"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</row>
    <row r="215" spans="2:45"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</row>
    <row r="216" spans="2:45">
      <c r="B216" s="24"/>
      <c r="C216" s="24"/>
    </row>
    <row r="217" spans="2:45">
      <c r="B217" s="27"/>
      <c r="C217" s="27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</row>
    <row r="218" spans="2:45">
      <c r="B218" s="24"/>
      <c r="C218" s="24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</row>
    <row r="219" spans="2:45"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2:45"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</row>
    <row r="221" spans="2:45"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2:45"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</row>
    <row r="223" spans="2:45"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2:45"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</row>
    <row r="225" spans="2:45"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2:45"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</row>
    <row r="227" spans="2:45"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2:45"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</row>
    <row r="229" spans="2:45"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  <row r="230" spans="2:45"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</row>
    <row r="231" spans="2:45"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</row>
    <row r="232" spans="2:45"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</row>
    <row r="233" spans="2:45"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</row>
    <row r="234" spans="2:45">
      <c r="B234" s="21"/>
      <c r="C234" s="21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</row>
    <row r="235" spans="2:45"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</row>
    <row r="236" spans="2:45"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</row>
    <row r="237" spans="2:45">
      <c r="B237" s="24"/>
      <c r="C237" s="24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</row>
    <row r="238" spans="2:45"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</row>
    <row r="239" spans="2:45"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</row>
    <row r="240" spans="2:45"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</row>
    <row r="241" spans="2:45"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</row>
    <row r="242" spans="2:45"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</row>
    <row r="243" spans="2:45"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</row>
    <row r="244" spans="2:45"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</row>
    <row r="245" spans="2:45"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</row>
    <row r="246" spans="2:45"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</row>
    <row r="247" spans="2:45"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</row>
    <row r="248" spans="2:45"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</row>
    <row r="249" spans="2:45"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</row>
    <row r="250" spans="2:45"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</row>
    <row r="251" spans="2:45"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</row>
    <row r="252" spans="2:45"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</row>
    <row r="253" spans="2:45">
      <c r="B253" s="21"/>
      <c r="C253" s="21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</row>
    <row r="254" spans="2:45"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</row>
    <row r="255" spans="2:45"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</row>
    <row r="256" spans="2:45">
      <c r="B256" s="24"/>
      <c r="C256" s="24"/>
    </row>
    <row r="257" spans="2:45">
      <c r="B257" s="27"/>
      <c r="C257" s="2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</row>
    <row r="258" spans="2:45">
      <c r="B258" s="24"/>
      <c r="C258" s="24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</row>
    <row r="259" spans="2:45"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</row>
    <row r="260" spans="2:45"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</row>
    <row r="261" spans="2:45"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</row>
    <row r="262" spans="2:45"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</row>
    <row r="263" spans="2:45"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</row>
    <row r="264" spans="2:45"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</row>
    <row r="265" spans="2:45"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</row>
    <row r="266" spans="2:45"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</row>
    <row r="267" spans="2:45"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</row>
    <row r="268" spans="2:45"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</row>
    <row r="269" spans="2:45"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</row>
    <row r="270" spans="2:45"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</row>
    <row r="271" spans="2:45"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</row>
    <row r="272" spans="2:45"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</row>
    <row r="273" spans="2:45"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</row>
    <row r="274" spans="2:45">
      <c r="B274" s="21"/>
      <c r="C274" s="21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</row>
    <row r="275" spans="2:45"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</row>
    <row r="276" spans="2:45"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</row>
    <row r="277" spans="2:45">
      <c r="B277" s="24"/>
      <c r="C277" s="24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</row>
    <row r="278" spans="2:45"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</row>
    <row r="279" spans="2:45"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</row>
    <row r="280" spans="2:45"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</row>
    <row r="281" spans="2:45"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</row>
    <row r="282" spans="2:45"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</row>
    <row r="283" spans="2:45"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</row>
    <row r="284" spans="2:45"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</row>
    <row r="285" spans="2:45"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</row>
    <row r="286" spans="2:45"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</row>
    <row r="287" spans="2:45"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</row>
    <row r="288" spans="2:45"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</row>
    <row r="289" spans="2:45"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</row>
    <row r="290" spans="2:45"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</row>
    <row r="291" spans="2:45"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</row>
    <row r="292" spans="2:45"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</row>
    <row r="293" spans="2:45">
      <c r="B293" s="21"/>
      <c r="C293" s="21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</row>
    <row r="294" spans="2:45"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</row>
    <row r="295" spans="2:45"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</row>
    <row r="296" spans="2:45">
      <c r="B296" s="24"/>
      <c r="C296" s="24"/>
    </row>
    <row r="297" spans="2:45">
      <c r="B297" s="27"/>
      <c r="C297" s="27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</row>
    <row r="298" spans="2:45">
      <c r="B298" s="24"/>
      <c r="C298" s="24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</row>
    <row r="299" spans="2:45"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</row>
    <row r="300" spans="2:45"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</row>
    <row r="301" spans="2:45"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</row>
    <row r="302" spans="2:45"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</row>
    <row r="303" spans="2:45"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</row>
    <row r="304" spans="2:45"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</row>
    <row r="305" spans="2:45"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</row>
    <row r="306" spans="2:45"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</row>
    <row r="307" spans="2:45"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</row>
    <row r="308" spans="2:45"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</row>
    <row r="309" spans="2:45"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</row>
    <row r="310" spans="2:45"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</row>
    <row r="311" spans="2:45"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</row>
    <row r="312" spans="2:45"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</row>
    <row r="313" spans="2:45"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</row>
    <row r="314" spans="2:45">
      <c r="B314" s="21"/>
      <c r="C314" s="21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</row>
    <row r="315" spans="2:45"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</row>
    <row r="316" spans="2:45"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</row>
    <row r="317" spans="2:45">
      <c r="B317" s="24"/>
      <c r="C317" s="24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</row>
    <row r="318" spans="2:45"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</row>
    <row r="319" spans="2:45"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</row>
    <row r="320" spans="2:45"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</row>
    <row r="321" spans="2:45"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</row>
    <row r="322" spans="2:45"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</row>
    <row r="323" spans="2:45"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</row>
    <row r="324" spans="2:45"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</row>
    <row r="325" spans="2:45"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</row>
    <row r="326" spans="2:45"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</row>
    <row r="327" spans="2:45"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</row>
    <row r="328" spans="2:45"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</row>
    <row r="329" spans="2:45"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</row>
    <row r="330" spans="2:45"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</row>
    <row r="331" spans="2:45"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</row>
    <row r="332" spans="2:45"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</row>
    <row r="333" spans="2:45">
      <c r="B333" s="21"/>
      <c r="C333" s="21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</row>
    <row r="334" spans="2:45"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</row>
    <row r="335" spans="2:45"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</row>
    <row r="336" spans="2:45">
      <c r="B336" s="24"/>
      <c r="C336" s="24"/>
    </row>
    <row r="337" spans="2:45">
      <c r="B337" s="27"/>
      <c r="C337" s="27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</row>
    <row r="338" spans="2:45">
      <c r="B338" s="24"/>
      <c r="C338" s="24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</row>
    <row r="339" spans="2:45"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</row>
    <row r="340" spans="2:45"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</row>
    <row r="341" spans="2:45"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</row>
    <row r="342" spans="2:45"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</row>
    <row r="343" spans="2:45"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</row>
    <row r="344" spans="2:45"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</row>
    <row r="345" spans="2:45"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</row>
    <row r="346" spans="2:45"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</row>
    <row r="347" spans="2:45"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</row>
    <row r="348" spans="2:45"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</row>
    <row r="349" spans="2:45"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</row>
    <row r="350" spans="2:45"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</row>
    <row r="351" spans="2:45"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</row>
    <row r="352" spans="2:45"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</row>
    <row r="353" spans="2:45"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</row>
    <row r="354" spans="2:45">
      <c r="B354" s="21"/>
      <c r="C354" s="21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</row>
    <row r="355" spans="2:45"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</row>
    <row r="356" spans="2:45"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</row>
    <row r="357" spans="2:45">
      <c r="B357" s="24"/>
      <c r="C357" s="24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</row>
    <row r="358" spans="2:45"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</row>
    <row r="359" spans="2:45"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</row>
    <row r="360" spans="2:45"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</row>
    <row r="361" spans="2:45"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</row>
    <row r="362" spans="2:45"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</row>
    <row r="363" spans="2:45"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</row>
    <row r="364" spans="2:45"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</row>
    <row r="365" spans="2:45"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</row>
    <row r="366" spans="2:45"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</row>
    <row r="367" spans="2:45"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</row>
    <row r="368" spans="2:45"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</row>
    <row r="369" spans="2:45"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</row>
    <row r="370" spans="2:45"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</row>
    <row r="371" spans="2:45"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</row>
    <row r="372" spans="2:45"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</row>
    <row r="373" spans="2:45">
      <c r="B373" s="21"/>
      <c r="C373" s="21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</row>
    <row r="374" spans="2:45"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</row>
    <row r="375" spans="2:45"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</row>
    <row r="376" spans="2:45">
      <c r="B376" s="24"/>
      <c r="C376" s="24"/>
    </row>
    <row r="377" spans="2:45">
      <c r="B377" s="27"/>
      <c r="C377" s="27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</row>
    <row r="378" spans="2:45">
      <c r="B378" s="24"/>
      <c r="C378" s="24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</row>
    <row r="379" spans="2:45"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</row>
    <row r="380" spans="2:45"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</row>
    <row r="381" spans="2:45"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</row>
    <row r="382" spans="2:45"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</row>
    <row r="383" spans="2:45"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</row>
    <row r="384" spans="2:45"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</row>
    <row r="385" spans="2:45"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</row>
    <row r="386" spans="2:45"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</row>
    <row r="387" spans="2:45"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</row>
    <row r="388" spans="2:45"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</row>
    <row r="389" spans="2:45"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</row>
    <row r="390" spans="2:45"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</row>
    <row r="391" spans="2:45"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</row>
    <row r="392" spans="2:45"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</row>
    <row r="393" spans="2:45"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</row>
    <row r="394" spans="2:45">
      <c r="B394" s="21"/>
      <c r="C394" s="21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</row>
    <row r="395" spans="2:45"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</row>
    <row r="396" spans="2:45"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</row>
    <row r="397" spans="2:45">
      <c r="B397" s="24"/>
      <c r="C397" s="24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</row>
    <row r="398" spans="2:45"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</row>
    <row r="399" spans="2:45"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</row>
    <row r="400" spans="2:45"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</row>
    <row r="401" spans="2:45"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</row>
    <row r="402" spans="2:45"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</row>
    <row r="403" spans="2:45"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</row>
    <row r="404" spans="2:45"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</row>
    <row r="405" spans="2:45"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</row>
    <row r="406" spans="2:45"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</row>
    <row r="407" spans="2:45"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</row>
    <row r="408" spans="2:45"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</row>
    <row r="409" spans="2:45"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</row>
    <row r="410" spans="2:45"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</row>
    <row r="411" spans="2:45"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</row>
    <row r="412" spans="2:45"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</row>
    <row r="413" spans="2:45">
      <c r="B413" s="21"/>
      <c r="C413" s="21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</row>
    <row r="414" spans="2:45"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</row>
    <row r="415" spans="2:45"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</row>
    <row r="416" spans="2:45">
      <c r="B416" s="24"/>
      <c r="C416" s="24"/>
    </row>
    <row r="417" spans="2:45">
      <c r="B417" s="27"/>
      <c r="C417" s="27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</row>
    <row r="418" spans="2:45">
      <c r="B418" s="24"/>
      <c r="C418" s="24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</row>
    <row r="419" spans="2:45"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</row>
    <row r="420" spans="2:45"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</row>
    <row r="421" spans="2:45"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</row>
    <row r="422" spans="2:45"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</row>
    <row r="423" spans="2:45"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</row>
    <row r="424" spans="2:45"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</row>
    <row r="425" spans="2:45"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</row>
    <row r="426" spans="2:45"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</row>
    <row r="427" spans="2:45"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</row>
    <row r="428" spans="2:45"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</row>
    <row r="429" spans="2:45"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</row>
    <row r="430" spans="2:45"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</row>
    <row r="431" spans="2:45"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</row>
    <row r="432" spans="2:45"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</row>
    <row r="433" spans="2:45"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</row>
    <row r="434" spans="2:45">
      <c r="B434" s="21"/>
      <c r="C434" s="21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</row>
    <row r="435" spans="2:45"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</row>
    <row r="436" spans="2:45"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</row>
    <row r="437" spans="2:45">
      <c r="B437" s="24"/>
      <c r="C437" s="24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</row>
    <row r="438" spans="2:45"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</row>
    <row r="439" spans="2:45"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</row>
    <row r="440" spans="2:45"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</row>
    <row r="441" spans="2:45"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</row>
    <row r="442" spans="2:45"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</row>
    <row r="443" spans="2:45"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</row>
    <row r="444" spans="2:45"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</row>
    <row r="445" spans="2:45"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</row>
    <row r="446" spans="2:45"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</row>
    <row r="447" spans="2:45"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</row>
    <row r="448" spans="2:45"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</row>
    <row r="449" spans="2:45"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</row>
    <row r="450" spans="2:45"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</row>
    <row r="451" spans="2:45"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</row>
    <row r="452" spans="2:45"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</row>
    <row r="453" spans="2:45">
      <c r="B453" s="21"/>
      <c r="C453" s="21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</row>
    <row r="454" spans="2:45"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</row>
    <row r="455" spans="2:45"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</row>
    <row r="456" spans="2:45">
      <c r="B456" s="24"/>
      <c r="C456" s="24"/>
    </row>
    <row r="457" spans="2:45">
      <c r="B457" s="27"/>
      <c r="C457" s="27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</row>
    <row r="458" spans="2:45">
      <c r="B458" s="24"/>
      <c r="C458" s="24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</row>
    <row r="459" spans="2:45"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</row>
    <row r="460" spans="2:45"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</row>
    <row r="461" spans="2:45"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</row>
    <row r="462" spans="2:45"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</row>
    <row r="463" spans="2:45"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</row>
    <row r="464" spans="2:45"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</row>
    <row r="465" spans="2:45"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</row>
    <row r="466" spans="2:45"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</row>
    <row r="467" spans="2:45"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</row>
    <row r="468" spans="2:45"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</row>
    <row r="469" spans="2:45"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</row>
    <row r="470" spans="2:45"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</row>
    <row r="471" spans="2:45"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</row>
    <row r="472" spans="2:45"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</row>
    <row r="473" spans="2:45"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</row>
    <row r="474" spans="2:45">
      <c r="B474" s="21"/>
      <c r="C474" s="21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</row>
    <row r="475" spans="2:45"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</row>
    <row r="476" spans="2:45"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</row>
    <row r="477" spans="2:45">
      <c r="B477" s="24"/>
      <c r="C477" s="24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</row>
    <row r="478" spans="2:45"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</row>
    <row r="479" spans="2:45"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</row>
    <row r="480" spans="2:45"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</row>
    <row r="481" spans="2:45"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</row>
    <row r="482" spans="2:45"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</row>
    <row r="483" spans="2:45"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</row>
    <row r="484" spans="2:45"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</row>
    <row r="485" spans="2:45"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</row>
    <row r="486" spans="2:45"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</row>
    <row r="487" spans="2:45"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</row>
    <row r="488" spans="2:45"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</row>
    <row r="489" spans="2:45"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</row>
    <row r="490" spans="2:45"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</row>
    <row r="491" spans="2:45"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</row>
    <row r="492" spans="2:45"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</row>
    <row r="493" spans="2:45">
      <c r="B493" s="21"/>
      <c r="C493" s="21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</row>
    <row r="494" spans="2:45"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</row>
    <row r="495" spans="2:45"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</row>
  </sheetData>
  <mergeCells count="60">
    <mergeCell ref="AQ3:BB3"/>
    <mergeCell ref="AE3:AP3"/>
    <mergeCell ref="B33:C33"/>
    <mergeCell ref="B35:C35"/>
    <mergeCell ref="S3:AD3"/>
    <mergeCell ref="G3:R3"/>
    <mergeCell ref="A3:C3"/>
    <mergeCell ref="D3:F3"/>
    <mergeCell ref="B20:C21"/>
    <mergeCell ref="B9:C9"/>
    <mergeCell ref="B34:C34"/>
    <mergeCell ref="B10:C10"/>
    <mergeCell ref="B22:C22"/>
    <mergeCell ref="B23:C23"/>
    <mergeCell ref="B26:C26"/>
    <mergeCell ref="B6:C6"/>
    <mergeCell ref="B48:C48"/>
    <mergeCell ref="B46:C46"/>
    <mergeCell ref="B47:C47"/>
    <mergeCell ref="B28:C28"/>
    <mergeCell ref="B27:C27"/>
    <mergeCell ref="B37:C37"/>
    <mergeCell ref="B36:C36"/>
    <mergeCell ref="B45:C45"/>
    <mergeCell ref="B40:C40"/>
    <mergeCell ref="B32:C32"/>
    <mergeCell ref="B38:C38"/>
    <mergeCell ref="B44:C44"/>
    <mergeCell ref="A29:A36"/>
    <mergeCell ref="A37:A43"/>
    <mergeCell ref="B24:C24"/>
    <mergeCell ref="B57:C57"/>
    <mergeCell ref="B56:C56"/>
    <mergeCell ref="B55:C55"/>
    <mergeCell ref="B54:C54"/>
    <mergeCell ref="B43:C43"/>
    <mergeCell ref="B49:C49"/>
    <mergeCell ref="B53:C53"/>
    <mergeCell ref="B52:C52"/>
    <mergeCell ref="B50:C50"/>
    <mergeCell ref="A44:A50"/>
    <mergeCell ref="B31:C31"/>
    <mergeCell ref="B30:C30"/>
    <mergeCell ref="B29:C29"/>
    <mergeCell ref="B51:C51"/>
    <mergeCell ref="BC3:BK3"/>
    <mergeCell ref="B12:B18"/>
    <mergeCell ref="B19:C19"/>
    <mergeCell ref="B39:C39"/>
    <mergeCell ref="B8:C8"/>
    <mergeCell ref="B41:C41"/>
    <mergeCell ref="A4:C4"/>
    <mergeCell ref="B11:C11"/>
    <mergeCell ref="B7:C7"/>
    <mergeCell ref="A5:A21"/>
    <mergeCell ref="B5:C5"/>
    <mergeCell ref="B25:C25"/>
    <mergeCell ref="B42:C42"/>
    <mergeCell ref="A51:A57"/>
    <mergeCell ref="A22:A28"/>
  </mergeCells>
  <phoneticPr fontId="0" type="noConversion"/>
  <printOptions horizontalCentered="1"/>
  <pageMargins left="0.28999999999999998" right="0.27" top="0.24" bottom="0.21" header="0.19" footer="0.16"/>
  <pageSetup paperSize="9" scale="33" orientation="landscape" r:id="rId1"/>
  <headerFooter alignWithMargins="0"/>
  <rowBreaks count="1" manualBreakCount="1">
    <brk id="68" max="6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L105"/>
  <sheetViews>
    <sheetView view="pageBreakPreview" zoomScale="78" zoomScaleNormal="100" workbookViewId="0">
      <pane xSplit="57" topLeftCell="EA1" activePane="topRight" state="frozen"/>
      <selection pane="topRight" activeCell="EL11" sqref="EL11"/>
    </sheetView>
  </sheetViews>
  <sheetFormatPr defaultRowHeight="12.75" outlineLevelCol="1"/>
  <cols>
    <col min="1" max="1" width="10.5703125" style="296" customWidth="1"/>
    <col min="2" max="2" width="5" style="296" customWidth="1"/>
    <col min="3" max="3" width="21.5703125" style="297" customWidth="1"/>
    <col min="4" max="4" width="17.7109375" style="297" customWidth="1"/>
    <col min="5" max="8" width="15" style="297" hidden="1" customWidth="1"/>
    <col min="9" max="9" width="17.28515625" style="297" hidden="1" customWidth="1"/>
    <col min="10" max="10" width="1.28515625" style="297" hidden="1" customWidth="1"/>
    <col min="11" max="11" width="0.85546875" style="297" hidden="1" customWidth="1"/>
    <col min="12" max="12" width="17.85546875" style="298" hidden="1" customWidth="1"/>
    <col min="13" max="14" width="17.85546875" style="297" hidden="1" customWidth="1"/>
    <col min="15" max="24" width="14.85546875" style="297" hidden="1" customWidth="1"/>
    <col min="25" max="25" width="16.7109375" style="297" hidden="1" customWidth="1"/>
    <col min="26" max="32" width="14.85546875" style="297" hidden="1" customWidth="1"/>
    <col min="33" max="35" width="15.5703125" style="297" hidden="1" customWidth="1"/>
    <col min="36" max="36" width="16" style="297" hidden="1" customWidth="1"/>
    <col min="37" max="57" width="15.7109375" style="297" hidden="1" customWidth="1"/>
    <col min="58" max="81" width="15.7109375" style="297" customWidth="1"/>
    <col min="82" max="89" width="16.28515625" style="297" customWidth="1"/>
    <col min="90" max="102" width="18.28515625" style="297" bestFit="1" customWidth="1"/>
    <col min="103" max="115" width="20.5703125" style="297" bestFit="1" customWidth="1"/>
    <col min="116" max="117" width="23.85546875" style="297" customWidth="1"/>
    <col min="118" max="119" width="20.5703125" style="297" bestFit="1" customWidth="1"/>
    <col min="120" max="120" width="21" style="297" bestFit="1" customWidth="1"/>
    <col min="121" max="121" width="20.5703125" style="297" bestFit="1" customWidth="1"/>
    <col min="122" max="123" width="21" style="297" bestFit="1" customWidth="1"/>
    <col min="124" max="124" width="18.7109375" style="297" customWidth="1"/>
    <col min="125" max="125" width="20.5703125" style="297" bestFit="1" customWidth="1"/>
    <col min="126" max="127" width="18.7109375" style="297" customWidth="1"/>
    <col min="128" max="128" width="21" style="297" bestFit="1" customWidth="1"/>
    <col min="129" max="129" width="18.7109375" style="297" customWidth="1"/>
    <col min="130" max="130" width="20.5703125" style="297" bestFit="1" customWidth="1"/>
    <col min="131" max="131" width="21" style="297" bestFit="1" customWidth="1"/>
    <col min="132" max="132" width="20.28515625" style="297" customWidth="1"/>
    <col min="133" max="133" width="20.5703125" style="297" bestFit="1" customWidth="1"/>
    <col min="134" max="134" width="21" style="297" bestFit="1" customWidth="1"/>
    <col min="135" max="135" width="20.140625" style="297" customWidth="1"/>
    <col min="136" max="136" width="18.7109375" style="297" customWidth="1"/>
    <col min="137" max="137" width="21.5703125" style="297" bestFit="1" customWidth="1"/>
    <col min="138" max="139" width="18.7109375" style="297" hidden="1" customWidth="1" outlineLevel="1"/>
    <col min="140" max="140" width="2.42578125" style="297" hidden="1" customWidth="1" outlineLevel="1"/>
    <col min="141" max="141" width="9.140625" style="297" collapsed="1"/>
    <col min="142" max="142" width="20" style="297" bestFit="1" customWidth="1"/>
    <col min="143" max="16384" width="9.140625" style="297"/>
  </cols>
  <sheetData>
    <row r="1" spans="1:140" s="295" customFormat="1" ht="27" customHeight="1">
      <c r="A1" s="536" t="s">
        <v>127</v>
      </c>
      <c r="B1" s="537"/>
      <c r="L1" s="538"/>
      <c r="T1" s="539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0"/>
      <c r="AO1" s="540"/>
      <c r="AP1" s="540"/>
      <c r="AQ1" s="540"/>
      <c r="AR1" s="540"/>
      <c r="AS1" s="540"/>
      <c r="AT1" s="540"/>
      <c r="AU1" s="540"/>
      <c r="AV1" s="540"/>
      <c r="AW1" s="540"/>
      <c r="AX1" s="540"/>
      <c r="AY1" s="540"/>
      <c r="AZ1" s="540"/>
      <c r="BA1" s="540"/>
      <c r="BB1" s="540"/>
      <c r="BC1" s="540"/>
      <c r="BD1" s="540"/>
      <c r="BE1" s="540"/>
      <c r="BF1" s="540"/>
      <c r="BG1" s="540"/>
      <c r="BH1" s="540"/>
      <c r="BI1" s="540"/>
      <c r="BJ1" s="540"/>
      <c r="BK1" s="540"/>
      <c r="BL1" s="540"/>
      <c r="BM1" s="540"/>
      <c r="BN1" s="540"/>
      <c r="BO1" s="540"/>
      <c r="BP1" s="540"/>
      <c r="BQ1" s="540"/>
      <c r="BR1" s="540"/>
      <c r="BS1" s="540"/>
      <c r="BT1" s="540"/>
      <c r="BU1" s="540"/>
      <c r="BV1" s="540"/>
      <c r="BW1" s="540"/>
      <c r="BX1" s="540"/>
      <c r="BY1" s="540"/>
      <c r="BZ1" s="540"/>
      <c r="CA1" s="540"/>
      <c r="CB1" s="540"/>
      <c r="CC1" s="540"/>
      <c r="CD1" s="540"/>
      <c r="CE1" s="540"/>
      <c r="CF1" s="540"/>
      <c r="CG1" s="540"/>
      <c r="CH1" s="540"/>
      <c r="CI1" s="540"/>
      <c r="CJ1" s="540"/>
      <c r="CK1" s="540"/>
      <c r="CL1" s="540"/>
      <c r="CM1" s="540"/>
      <c r="CN1" s="540"/>
      <c r="CO1" s="540"/>
      <c r="CP1" s="540"/>
      <c r="CQ1" s="540"/>
      <c r="CR1" s="540"/>
      <c r="CS1" s="540"/>
      <c r="CT1" s="540"/>
      <c r="CU1" s="540"/>
      <c r="CV1" s="540"/>
      <c r="CW1" s="540"/>
      <c r="CX1" s="540"/>
      <c r="CY1" s="540"/>
      <c r="CZ1" s="540"/>
      <c r="DA1" s="540"/>
      <c r="DB1" s="540"/>
      <c r="DC1" s="540"/>
      <c r="DD1" s="540"/>
      <c r="DE1" s="540"/>
      <c r="DF1" s="540"/>
      <c r="DG1" s="540"/>
      <c r="DH1" s="540"/>
      <c r="DI1" s="540"/>
      <c r="DJ1" s="540"/>
      <c r="DK1" s="540"/>
      <c r="DL1" s="540"/>
      <c r="DM1" s="540"/>
    </row>
    <row r="2" spans="1:140" ht="15" customHeight="1" thickBot="1">
      <c r="T2" s="540"/>
      <c r="U2" s="540"/>
      <c r="V2" s="540"/>
      <c r="W2" s="540"/>
      <c r="X2" s="540"/>
      <c r="Y2" s="540"/>
      <c r="Z2" s="540"/>
      <c r="AA2" s="540"/>
      <c r="AB2" s="540"/>
      <c r="AC2" s="540"/>
      <c r="AD2" s="540"/>
      <c r="AE2" s="540"/>
      <c r="AF2" s="540"/>
      <c r="AG2" s="540"/>
      <c r="AH2" s="540"/>
      <c r="AI2" s="540"/>
      <c r="AJ2" s="540"/>
      <c r="AK2" s="540"/>
      <c r="AL2" s="540"/>
      <c r="AM2" s="540"/>
      <c r="AN2" s="540"/>
      <c r="AO2" s="540"/>
      <c r="AP2" s="540"/>
      <c r="AQ2" s="540"/>
      <c r="AR2" s="540"/>
      <c r="AS2" s="540"/>
      <c r="AT2" s="540"/>
      <c r="AU2" s="540"/>
      <c r="AV2" s="540"/>
      <c r="AW2" s="540"/>
      <c r="AX2" s="540"/>
      <c r="AY2" s="540"/>
      <c r="AZ2" s="540"/>
      <c r="BA2" s="540"/>
      <c r="BB2" s="540"/>
      <c r="BC2" s="540"/>
      <c r="BD2" s="540"/>
      <c r="BE2" s="540"/>
      <c r="BF2" s="540"/>
      <c r="BG2" s="540"/>
      <c r="BH2" s="540"/>
      <c r="BI2" s="540"/>
      <c r="BJ2" s="540"/>
      <c r="BK2" s="540"/>
      <c r="BL2" s="540"/>
      <c r="BM2" s="540"/>
      <c r="BN2" s="540"/>
      <c r="BO2" s="540"/>
      <c r="BP2" s="540"/>
      <c r="BQ2" s="540"/>
      <c r="BR2" s="540"/>
      <c r="BS2" s="540"/>
      <c r="BT2" s="540"/>
      <c r="BU2" s="540"/>
      <c r="BV2" s="540"/>
      <c r="BW2" s="540"/>
      <c r="BX2" s="540"/>
      <c r="BY2" s="540"/>
      <c r="BZ2" s="540"/>
      <c r="CA2" s="540"/>
      <c r="CB2" s="540"/>
      <c r="CC2" s="540"/>
      <c r="CD2" s="540"/>
      <c r="CE2" s="540"/>
      <c r="CF2" s="540"/>
      <c r="CG2" s="540"/>
      <c r="CH2" s="540"/>
      <c r="CI2" s="540"/>
      <c r="CJ2" s="540"/>
      <c r="CK2" s="540"/>
      <c r="CL2" s="540"/>
      <c r="CM2" s="540"/>
      <c r="CN2" s="541" t="s">
        <v>195</v>
      </c>
      <c r="CO2" s="540"/>
      <c r="CP2" s="540"/>
      <c r="CQ2" s="540"/>
      <c r="CR2" s="540"/>
      <c r="CS2" s="540"/>
      <c r="CT2" s="540"/>
      <c r="CU2" s="540"/>
      <c r="CV2" s="540"/>
      <c r="CW2" s="540"/>
      <c r="CX2" s="540"/>
      <c r="CY2" s="540"/>
      <c r="CZ2" s="540"/>
      <c r="DA2" s="540"/>
      <c r="DB2" s="540"/>
      <c r="DC2" s="540"/>
      <c r="DD2" s="540"/>
      <c r="DE2" s="540"/>
      <c r="DF2" s="540"/>
      <c r="DG2" s="540"/>
      <c r="DH2" s="540"/>
      <c r="DI2" s="540"/>
      <c r="DJ2" s="540"/>
      <c r="DK2" s="540"/>
      <c r="DL2" s="540"/>
      <c r="DM2" s="540"/>
    </row>
    <row r="3" spans="1:140" s="299" customFormat="1" ht="24" customHeight="1" thickBot="1">
      <c r="A3" s="858" t="s">
        <v>5</v>
      </c>
      <c r="B3" s="859"/>
      <c r="C3" s="862" t="s">
        <v>33</v>
      </c>
      <c r="D3" s="864" t="s">
        <v>34</v>
      </c>
      <c r="E3" s="866" t="s">
        <v>35</v>
      </c>
      <c r="F3" s="866"/>
      <c r="G3" s="866"/>
      <c r="H3" s="867"/>
      <c r="I3" s="868" t="s">
        <v>36</v>
      </c>
      <c r="J3" s="869"/>
      <c r="K3" s="869"/>
      <c r="L3" s="869"/>
      <c r="M3" s="869"/>
      <c r="N3" s="869"/>
      <c r="O3" s="869"/>
      <c r="P3" s="869"/>
      <c r="Q3" s="869"/>
      <c r="R3" s="869"/>
      <c r="S3" s="869"/>
      <c r="T3" s="870"/>
      <c r="U3" s="868" t="s">
        <v>37</v>
      </c>
      <c r="V3" s="866"/>
      <c r="W3" s="866"/>
      <c r="X3" s="866"/>
      <c r="Y3" s="866"/>
      <c r="Z3" s="866"/>
      <c r="AA3" s="866"/>
      <c r="AB3" s="866"/>
      <c r="AC3" s="866"/>
      <c r="AD3" s="866"/>
      <c r="AE3" s="866"/>
      <c r="AF3" s="910"/>
      <c r="AG3" s="911" t="s">
        <v>75</v>
      </c>
      <c r="AH3" s="866"/>
      <c r="AI3" s="866"/>
      <c r="AJ3" s="866"/>
      <c r="AK3" s="866"/>
      <c r="AL3" s="866"/>
      <c r="AM3" s="866"/>
      <c r="AN3" s="866"/>
      <c r="AO3" s="866"/>
      <c r="AP3" s="866"/>
      <c r="AQ3" s="866"/>
      <c r="AR3" s="910"/>
      <c r="AS3" s="911" t="s">
        <v>104</v>
      </c>
      <c r="AT3" s="866"/>
      <c r="AU3" s="866"/>
      <c r="AV3" s="866"/>
      <c r="AW3" s="866"/>
      <c r="AX3" s="866"/>
      <c r="AY3" s="866"/>
      <c r="AZ3" s="866"/>
      <c r="BA3" s="866"/>
      <c r="BB3" s="866"/>
      <c r="BC3" s="866"/>
      <c r="BD3" s="866"/>
      <c r="BE3" s="911" t="s">
        <v>122</v>
      </c>
      <c r="BF3" s="866"/>
      <c r="BG3" s="866"/>
      <c r="BH3" s="866"/>
      <c r="BI3" s="866"/>
      <c r="BJ3" s="866"/>
      <c r="BK3" s="866"/>
      <c r="BL3" s="866"/>
      <c r="BM3" s="866"/>
      <c r="BN3" s="866"/>
      <c r="BO3" s="866"/>
      <c r="BP3" s="866"/>
      <c r="BQ3" s="868" t="s">
        <v>153</v>
      </c>
      <c r="BR3" s="866"/>
      <c r="BS3" s="866"/>
      <c r="BT3" s="866"/>
      <c r="BU3" s="866"/>
      <c r="BV3" s="866"/>
      <c r="BW3" s="866"/>
      <c r="BX3" s="866"/>
      <c r="BY3" s="866"/>
      <c r="BZ3" s="866"/>
      <c r="CA3" s="866"/>
      <c r="CB3" s="866"/>
      <c r="CC3" s="900" t="s">
        <v>173</v>
      </c>
      <c r="CD3" s="901"/>
      <c r="CE3" s="901"/>
      <c r="CF3" s="901"/>
      <c r="CG3" s="901"/>
      <c r="CH3" s="901"/>
      <c r="CI3" s="901"/>
      <c r="CJ3" s="901"/>
      <c r="CK3" s="901"/>
      <c r="CL3" s="901"/>
      <c r="CM3" s="901"/>
      <c r="CN3" s="902"/>
      <c r="CO3" s="900" t="s">
        <v>196</v>
      </c>
      <c r="CP3" s="901"/>
      <c r="CQ3" s="901"/>
      <c r="CR3" s="901"/>
      <c r="CS3" s="901"/>
      <c r="CT3" s="901"/>
      <c r="CU3" s="901"/>
      <c r="CV3" s="901"/>
      <c r="CW3" s="901"/>
      <c r="CX3" s="901"/>
      <c r="CY3" s="901"/>
      <c r="CZ3" s="902"/>
      <c r="DA3" s="900" t="s">
        <v>210</v>
      </c>
      <c r="DB3" s="901"/>
      <c r="DC3" s="901"/>
      <c r="DD3" s="901"/>
      <c r="DE3" s="901"/>
      <c r="DF3" s="901"/>
      <c r="DG3" s="901"/>
      <c r="DH3" s="901"/>
      <c r="DI3" s="901"/>
      <c r="DJ3" s="901"/>
      <c r="DK3" s="901"/>
      <c r="DL3" s="902"/>
      <c r="DM3" s="900" t="s">
        <v>249</v>
      </c>
      <c r="DN3" s="901"/>
      <c r="DO3" s="901"/>
      <c r="DP3" s="901"/>
      <c r="DQ3" s="901"/>
      <c r="DR3" s="901"/>
      <c r="DS3" s="901"/>
      <c r="DT3" s="901"/>
      <c r="DU3" s="901"/>
      <c r="DV3" s="901"/>
      <c r="DW3" s="901"/>
      <c r="DX3" s="902"/>
      <c r="DY3" s="900" t="s">
        <v>245</v>
      </c>
      <c r="DZ3" s="901"/>
      <c r="EA3" s="901"/>
      <c r="EB3" s="901"/>
      <c r="EC3" s="901"/>
      <c r="ED3" s="901"/>
      <c r="EE3" s="901"/>
      <c r="EF3" s="901"/>
      <c r="EG3" s="901"/>
      <c r="EH3" s="901"/>
      <c r="EI3" s="901"/>
      <c r="EJ3" s="902"/>
    </row>
    <row r="4" spans="1:140" s="299" customFormat="1" ht="24" customHeight="1" thickBot="1">
      <c r="A4" s="860"/>
      <c r="B4" s="861"/>
      <c r="C4" s="863"/>
      <c r="D4" s="865" t="s">
        <v>34</v>
      </c>
      <c r="E4" s="542" t="s">
        <v>38</v>
      </c>
      <c r="F4" s="543" t="s">
        <v>39</v>
      </c>
      <c r="G4" s="544" t="s">
        <v>40</v>
      </c>
      <c r="H4" s="545" t="s">
        <v>15</v>
      </c>
      <c r="I4" s="546" t="s">
        <v>16</v>
      </c>
      <c r="J4" s="544" t="s">
        <v>17</v>
      </c>
      <c r="K4" s="544" t="s">
        <v>18</v>
      </c>
      <c r="L4" s="543" t="s">
        <v>41</v>
      </c>
      <c r="M4" s="544" t="s">
        <v>42</v>
      </c>
      <c r="N4" s="544" t="s">
        <v>43</v>
      </c>
      <c r="O4" s="544" t="s">
        <v>44</v>
      </c>
      <c r="P4" s="544" t="s">
        <v>45</v>
      </c>
      <c r="Q4" s="544" t="s">
        <v>38</v>
      </c>
      <c r="R4" s="544" t="s">
        <v>39</v>
      </c>
      <c r="S4" s="544" t="s">
        <v>40</v>
      </c>
      <c r="T4" s="545" t="s">
        <v>15</v>
      </c>
      <c r="U4" s="547" t="s">
        <v>16</v>
      </c>
      <c r="V4" s="542" t="s">
        <v>17</v>
      </c>
      <c r="W4" s="542" t="s">
        <v>18</v>
      </c>
      <c r="X4" s="542" t="s">
        <v>41</v>
      </c>
      <c r="Y4" s="542" t="s">
        <v>68</v>
      </c>
      <c r="Z4" s="542" t="s">
        <v>43</v>
      </c>
      <c r="AA4" s="542" t="s">
        <v>44</v>
      </c>
      <c r="AB4" s="542" t="s">
        <v>45</v>
      </c>
      <c r="AC4" s="542" t="s">
        <v>38</v>
      </c>
      <c r="AD4" s="542" t="s">
        <v>39</v>
      </c>
      <c r="AE4" s="542" t="s">
        <v>40</v>
      </c>
      <c r="AF4" s="542" t="s">
        <v>15</v>
      </c>
      <c r="AG4" s="542" t="s">
        <v>16</v>
      </c>
      <c r="AH4" s="542" t="s">
        <v>17</v>
      </c>
      <c r="AI4" s="542" t="s">
        <v>18</v>
      </c>
      <c r="AJ4" s="542" t="s">
        <v>41</v>
      </c>
      <c r="AK4" s="542" t="s">
        <v>68</v>
      </c>
      <c r="AL4" s="542" t="s">
        <v>43</v>
      </c>
      <c r="AM4" s="542" t="s">
        <v>44</v>
      </c>
      <c r="AN4" s="542" t="s">
        <v>45</v>
      </c>
      <c r="AO4" s="542" t="s">
        <v>38</v>
      </c>
      <c r="AP4" s="542" t="s">
        <v>39</v>
      </c>
      <c r="AQ4" s="542" t="s">
        <v>40</v>
      </c>
      <c r="AR4" s="542" t="s">
        <v>15</v>
      </c>
      <c r="AS4" s="542" t="s">
        <v>16</v>
      </c>
      <c r="AT4" s="542" t="s">
        <v>17</v>
      </c>
      <c r="AU4" s="542" t="s">
        <v>18</v>
      </c>
      <c r="AV4" s="542" t="s">
        <v>41</v>
      </c>
      <c r="AW4" s="542" t="s">
        <v>42</v>
      </c>
      <c r="AX4" s="542" t="s">
        <v>43</v>
      </c>
      <c r="AY4" s="542" t="str">
        <f t="shared" ref="AY4:DJ4" si="0">+AM4</f>
        <v>Sep</v>
      </c>
      <c r="AZ4" s="542" t="str">
        <f t="shared" si="0"/>
        <v>Oct</v>
      </c>
      <c r="BA4" s="542" t="str">
        <f t="shared" si="0"/>
        <v>Nov</v>
      </c>
      <c r="BB4" s="542" t="str">
        <f t="shared" si="0"/>
        <v>Dec</v>
      </c>
      <c r="BC4" s="542" t="str">
        <f t="shared" si="0"/>
        <v>Jan</v>
      </c>
      <c r="BD4" s="542" t="str">
        <f t="shared" si="0"/>
        <v>Feb</v>
      </c>
      <c r="BE4" s="762" t="str">
        <f t="shared" si="0"/>
        <v>Mar</v>
      </c>
      <c r="BF4" s="762" t="str">
        <f t="shared" si="0"/>
        <v>Apr</v>
      </c>
      <c r="BG4" s="762" t="str">
        <f t="shared" si="0"/>
        <v>May</v>
      </c>
      <c r="BH4" s="762" t="str">
        <f t="shared" si="0"/>
        <v>Jun</v>
      </c>
      <c r="BI4" s="762" t="str">
        <f t="shared" si="0"/>
        <v>Jul</v>
      </c>
      <c r="BJ4" s="762" t="str">
        <f t="shared" si="0"/>
        <v>Aug</v>
      </c>
      <c r="BK4" s="762" t="str">
        <f t="shared" si="0"/>
        <v>Sep</v>
      </c>
      <c r="BL4" s="762" t="str">
        <f t="shared" si="0"/>
        <v>Oct</v>
      </c>
      <c r="BM4" s="762" t="str">
        <f t="shared" si="0"/>
        <v>Nov</v>
      </c>
      <c r="BN4" s="762" t="str">
        <f t="shared" si="0"/>
        <v>Dec</v>
      </c>
      <c r="BO4" s="762" t="str">
        <f t="shared" si="0"/>
        <v>Jan</v>
      </c>
      <c r="BP4" s="548" t="str">
        <f t="shared" si="0"/>
        <v>Feb</v>
      </c>
      <c r="BQ4" s="549" t="str">
        <f t="shared" si="0"/>
        <v>Mar</v>
      </c>
      <c r="BR4" s="762" t="str">
        <f t="shared" si="0"/>
        <v>Apr</v>
      </c>
      <c r="BS4" s="762" t="str">
        <f t="shared" si="0"/>
        <v>May</v>
      </c>
      <c r="BT4" s="762" t="str">
        <f t="shared" si="0"/>
        <v>Jun</v>
      </c>
      <c r="BU4" s="762" t="str">
        <f t="shared" si="0"/>
        <v>Jul</v>
      </c>
      <c r="BV4" s="762" t="str">
        <f t="shared" si="0"/>
        <v>Aug</v>
      </c>
      <c r="BW4" s="762" t="str">
        <f t="shared" si="0"/>
        <v>Sep</v>
      </c>
      <c r="BX4" s="762" t="str">
        <f t="shared" si="0"/>
        <v>Oct</v>
      </c>
      <c r="BY4" s="762" t="str">
        <f t="shared" si="0"/>
        <v>Nov</v>
      </c>
      <c r="BZ4" s="762" t="str">
        <f t="shared" si="0"/>
        <v>Dec</v>
      </c>
      <c r="CA4" s="762" t="str">
        <f t="shared" si="0"/>
        <v>Jan</v>
      </c>
      <c r="CB4" s="550" t="str">
        <f t="shared" si="0"/>
        <v>Feb</v>
      </c>
      <c r="CC4" s="549" t="str">
        <f t="shared" si="0"/>
        <v>Mar</v>
      </c>
      <c r="CD4" s="763" t="str">
        <f t="shared" si="0"/>
        <v>Apr</v>
      </c>
      <c r="CE4" s="763" t="str">
        <f t="shared" si="0"/>
        <v>May</v>
      </c>
      <c r="CF4" s="763" t="str">
        <f t="shared" si="0"/>
        <v>Jun</v>
      </c>
      <c r="CG4" s="763" t="str">
        <f t="shared" si="0"/>
        <v>Jul</v>
      </c>
      <c r="CH4" s="763" t="str">
        <f t="shared" si="0"/>
        <v>Aug</v>
      </c>
      <c r="CI4" s="763" t="str">
        <f t="shared" si="0"/>
        <v>Sep</v>
      </c>
      <c r="CJ4" s="763" t="str">
        <f t="shared" si="0"/>
        <v>Oct</v>
      </c>
      <c r="CK4" s="763" t="str">
        <f t="shared" si="0"/>
        <v>Nov</v>
      </c>
      <c r="CL4" s="763" t="str">
        <f t="shared" si="0"/>
        <v>Dec</v>
      </c>
      <c r="CM4" s="763" t="str">
        <f t="shared" si="0"/>
        <v>Jan</v>
      </c>
      <c r="CN4" s="551" t="str">
        <f t="shared" si="0"/>
        <v>Feb</v>
      </c>
      <c r="CO4" s="549" t="str">
        <f t="shared" si="0"/>
        <v>Mar</v>
      </c>
      <c r="CP4" s="763" t="str">
        <f t="shared" si="0"/>
        <v>Apr</v>
      </c>
      <c r="CQ4" s="763" t="str">
        <f t="shared" si="0"/>
        <v>May</v>
      </c>
      <c r="CR4" s="763" t="str">
        <f t="shared" si="0"/>
        <v>Jun</v>
      </c>
      <c r="CS4" s="551" t="str">
        <f t="shared" si="0"/>
        <v>Jul</v>
      </c>
      <c r="CT4" s="551" t="str">
        <f t="shared" si="0"/>
        <v>Aug</v>
      </c>
      <c r="CU4" s="551" t="str">
        <f t="shared" si="0"/>
        <v>Sep</v>
      </c>
      <c r="CV4" s="551" t="str">
        <f t="shared" si="0"/>
        <v>Oct</v>
      </c>
      <c r="CW4" s="551" t="str">
        <f t="shared" si="0"/>
        <v>Nov</v>
      </c>
      <c r="CX4" s="551" t="str">
        <f t="shared" si="0"/>
        <v>Dec</v>
      </c>
      <c r="CY4" s="551" t="str">
        <f t="shared" si="0"/>
        <v>Jan</v>
      </c>
      <c r="CZ4" s="551" t="str">
        <f t="shared" si="0"/>
        <v>Feb</v>
      </c>
      <c r="DA4" s="551" t="str">
        <f t="shared" si="0"/>
        <v>Mar</v>
      </c>
      <c r="DB4" s="551" t="str">
        <f t="shared" si="0"/>
        <v>Apr</v>
      </c>
      <c r="DC4" s="551" t="str">
        <f t="shared" si="0"/>
        <v>May</v>
      </c>
      <c r="DD4" s="551" t="str">
        <f t="shared" si="0"/>
        <v>Jun</v>
      </c>
      <c r="DE4" s="551" t="str">
        <f t="shared" si="0"/>
        <v>Jul</v>
      </c>
      <c r="DF4" s="551" t="str">
        <f t="shared" si="0"/>
        <v>Aug</v>
      </c>
      <c r="DG4" s="551" t="str">
        <f t="shared" si="0"/>
        <v>Sep</v>
      </c>
      <c r="DH4" s="551" t="str">
        <f t="shared" si="0"/>
        <v>Oct</v>
      </c>
      <c r="DI4" s="551" t="str">
        <f t="shared" si="0"/>
        <v>Nov</v>
      </c>
      <c r="DJ4" s="551" t="str">
        <f t="shared" si="0"/>
        <v>Dec</v>
      </c>
      <c r="DK4" s="551" t="str">
        <f t="shared" ref="DK4:EJ4" si="1">+CY4</f>
        <v>Jan</v>
      </c>
      <c r="DL4" s="551" t="str">
        <f t="shared" si="1"/>
        <v>Feb</v>
      </c>
      <c r="DM4" s="551" t="str">
        <f t="shared" si="1"/>
        <v>Mar</v>
      </c>
      <c r="DN4" s="551" t="str">
        <f t="shared" si="1"/>
        <v>Apr</v>
      </c>
      <c r="DO4" s="551" t="str">
        <f t="shared" si="1"/>
        <v>May</v>
      </c>
      <c r="DP4" s="551" t="str">
        <f t="shared" si="1"/>
        <v>Jun</v>
      </c>
      <c r="DQ4" s="551" t="str">
        <f t="shared" si="1"/>
        <v>Jul</v>
      </c>
      <c r="DR4" s="551" t="str">
        <f t="shared" si="1"/>
        <v>Aug</v>
      </c>
      <c r="DS4" s="551" t="str">
        <f t="shared" si="1"/>
        <v>Sep</v>
      </c>
      <c r="DT4" s="551" t="str">
        <f t="shared" si="1"/>
        <v>Oct</v>
      </c>
      <c r="DU4" s="551" t="str">
        <f t="shared" si="1"/>
        <v>Nov</v>
      </c>
      <c r="DV4" s="551" t="str">
        <f t="shared" si="1"/>
        <v>Dec</v>
      </c>
      <c r="DW4" s="551" t="str">
        <f t="shared" si="1"/>
        <v>Jan</v>
      </c>
      <c r="DX4" s="551" t="str">
        <f t="shared" si="1"/>
        <v>Feb</v>
      </c>
      <c r="DY4" s="551" t="str">
        <f t="shared" si="1"/>
        <v>Mar</v>
      </c>
      <c r="DZ4" s="551" t="str">
        <f t="shared" si="1"/>
        <v>Apr</v>
      </c>
      <c r="EA4" s="551" t="str">
        <f t="shared" si="1"/>
        <v>May</v>
      </c>
      <c r="EB4" s="551" t="str">
        <f t="shared" si="1"/>
        <v>Jun</v>
      </c>
      <c r="EC4" s="551" t="str">
        <f t="shared" si="1"/>
        <v>Jul</v>
      </c>
      <c r="ED4" s="551" t="str">
        <f t="shared" si="1"/>
        <v>Aug</v>
      </c>
      <c r="EE4" s="551" t="str">
        <f t="shared" si="1"/>
        <v>Sep</v>
      </c>
      <c r="EF4" s="551" t="str">
        <f t="shared" si="1"/>
        <v>Oct</v>
      </c>
      <c r="EG4" s="551" t="str">
        <f t="shared" si="1"/>
        <v>Nov</v>
      </c>
      <c r="EH4" s="551" t="str">
        <f t="shared" si="1"/>
        <v>Dec</v>
      </c>
      <c r="EI4" s="551" t="str">
        <f t="shared" si="1"/>
        <v>Jan</v>
      </c>
      <c r="EJ4" s="551" t="str">
        <f t="shared" si="1"/>
        <v>Feb</v>
      </c>
    </row>
    <row r="5" spans="1:140" s="299" customFormat="1" ht="24" hidden="1" customHeight="1">
      <c r="A5" s="871" t="s">
        <v>46</v>
      </c>
      <c r="B5" s="872"/>
      <c r="C5" s="875" t="s">
        <v>47</v>
      </c>
      <c r="D5" s="552" t="s">
        <v>48</v>
      </c>
      <c r="E5" s="553">
        <f t="shared" ref="E5:BP8" si="2">+E22+E39</f>
        <v>550832.77</v>
      </c>
      <c r="F5" s="554">
        <f t="shared" si="2"/>
        <v>175201</v>
      </c>
      <c r="G5" s="554">
        <f t="shared" si="2"/>
        <v>316229.21000000002</v>
      </c>
      <c r="H5" s="555">
        <f t="shared" si="2"/>
        <v>0</v>
      </c>
      <c r="I5" s="556">
        <f t="shared" si="2"/>
        <v>169460.65</v>
      </c>
      <c r="J5" s="557">
        <f t="shared" si="2"/>
        <v>0</v>
      </c>
      <c r="K5" s="554">
        <f t="shared" si="2"/>
        <v>151477.71</v>
      </c>
      <c r="L5" s="554">
        <f t="shared" si="2"/>
        <v>184016.36</v>
      </c>
      <c r="M5" s="554">
        <f t="shared" si="2"/>
        <v>297513.89</v>
      </c>
      <c r="N5" s="554">
        <f t="shared" si="2"/>
        <v>410412.76</v>
      </c>
      <c r="O5" s="554">
        <f t="shared" si="2"/>
        <v>328873.32</v>
      </c>
      <c r="P5" s="554">
        <f t="shared" si="2"/>
        <v>816750.23</v>
      </c>
      <c r="Q5" s="554">
        <f t="shared" si="2"/>
        <v>299194.09999999998</v>
      </c>
      <c r="R5" s="554">
        <f t="shared" si="2"/>
        <v>269054.31</v>
      </c>
      <c r="S5" s="554">
        <f t="shared" si="2"/>
        <v>276064.89</v>
      </c>
      <c r="T5" s="558">
        <f t="shared" si="2"/>
        <v>431938.42000000004</v>
      </c>
      <c r="U5" s="556">
        <f t="shared" si="2"/>
        <v>310955.90999999997</v>
      </c>
      <c r="V5" s="553">
        <f t="shared" si="2"/>
        <v>475480.97</v>
      </c>
      <c r="W5" s="553">
        <f t="shared" si="2"/>
        <v>432507.4</v>
      </c>
      <c r="X5" s="553">
        <f t="shared" si="2"/>
        <v>316120.89</v>
      </c>
      <c r="Y5" s="553">
        <f t="shared" si="2"/>
        <v>316120.89</v>
      </c>
      <c r="Z5" s="553">
        <f t="shared" si="2"/>
        <v>316120.89</v>
      </c>
      <c r="AA5" s="553">
        <f t="shared" si="2"/>
        <v>316120.89</v>
      </c>
      <c r="AB5" s="553">
        <f t="shared" si="2"/>
        <v>316120.89</v>
      </c>
      <c r="AC5" s="553">
        <f t="shared" si="2"/>
        <v>316120.89</v>
      </c>
      <c r="AD5" s="553">
        <f t="shared" si="2"/>
        <v>316120.89</v>
      </c>
      <c r="AE5" s="553">
        <f t="shared" si="2"/>
        <v>316120.89</v>
      </c>
      <c r="AF5" s="553">
        <f t="shared" si="2"/>
        <v>316120.89</v>
      </c>
      <c r="AG5" s="553">
        <f t="shared" si="2"/>
        <v>316120.89</v>
      </c>
      <c r="AH5" s="553">
        <f t="shared" si="2"/>
        <v>316120.89</v>
      </c>
      <c r="AI5" s="553">
        <f t="shared" si="2"/>
        <v>316120.89</v>
      </c>
      <c r="AJ5" s="553">
        <f t="shared" si="2"/>
        <v>316120.89</v>
      </c>
      <c r="AK5" s="553">
        <f t="shared" si="2"/>
        <v>316120.89</v>
      </c>
      <c r="AL5" s="553">
        <f t="shared" si="2"/>
        <v>316120.89</v>
      </c>
      <c r="AM5" s="553">
        <f t="shared" si="2"/>
        <v>316120.89</v>
      </c>
      <c r="AN5" s="553">
        <f t="shared" si="2"/>
        <v>316120.89</v>
      </c>
      <c r="AO5" s="553">
        <f t="shared" si="2"/>
        <v>316120.89</v>
      </c>
      <c r="AP5" s="553">
        <f t="shared" si="2"/>
        <v>316120.89</v>
      </c>
      <c r="AQ5" s="553">
        <f t="shared" si="2"/>
        <v>316120.89</v>
      </c>
      <c r="AR5" s="553">
        <f t="shared" si="2"/>
        <v>316120.89</v>
      </c>
      <c r="AS5" s="553">
        <f t="shared" si="2"/>
        <v>316120.89</v>
      </c>
      <c r="AT5" s="553">
        <f t="shared" si="2"/>
        <v>316120.89</v>
      </c>
      <c r="AU5" s="553">
        <f t="shared" si="2"/>
        <v>316120.89</v>
      </c>
      <c r="AV5" s="553">
        <f t="shared" si="2"/>
        <v>316120.89</v>
      </c>
      <c r="AW5" s="553">
        <f t="shared" si="2"/>
        <v>316120.89</v>
      </c>
      <c r="AX5" s="553">
        <f t="shared" si="2"/>
        <v>316120.89</v>
      </c>
      <c r="AY5" s="553">
        <f t="shared" si="2"/>
        <v>316120.89</v>
      </c>
      <c r="AZ5" s="553">
        <f t="shared" si="2"/>
        <v>316120.89</v>
      </c>
      <c r="BA5" s="553">
        <f t="shared" si="2"/>
        <v>316120.89</v>
      </c>
      <c r="BB5" s="553">
        <f t="shared" si="2"/>
        <v>316120.89</v>
      </c>
      <c r="BC5" s="553">
        <f t="shared" si="2"/>
        <v>316120.89</v>
      </c>
      <c r="BD5" s="553">
        <f t="shared" si="2"/>
        <v>316120.89</v>
      </c>
      <c r="BE5" s="553">
        <f t="shared" si="2"/>
        <v>316120.89</v>
      </c>
      <c r="BF5" s="553">
        <f t="shared" si="2"/>
        <v>316120.89</v>
      </c>
      <c r="BG5" s="553">
        <f t="shared" si="2"/>
        <v>316120.89</v>
      </c>
      <c r="BH5" s="553">
        <f t="shared" si="2"/>
        <v>316120.89</v>
      </c>
      <c r="BI5" s="553">
        <f t="shared" si="2"/>
        <v>316120.89</v>
      </c>
      <c r="BJ5" s="553">
        <f t="shared" si="2"/>
        <v>316120.89</v>
      </c>
      <c r="BK5" s="553">
        <f t="shared" si="2"/>
        <v>316120.89</v>
      </c>
      <c r="BL5" s="553">
        <f t="shared" si="2"/>
        <v>316120.89</v>
      </c>
      <c r="BM5" s="553">
        <f t="shared" si="2"/>
        <v>316120.89</v>
      </c>
      <c r="BN5" s="553">
        <f t="shared" si="2"/>
        <v>316120.89</v>
      </c>
      <c r="BO5" s="553">
        <f t="shared" si="2"/>
        <v>316120.89</v>
      </c>
      <c r="BP5" s="559">
        <f t="shared" si="2"/>
        <v>316120.89</v>
      </c>
      <c r="BQ5" s="556">
        <f t="shared" ref="BQ5:EB9" si="3">+BQ22+BQ39</f>
        <v>316120.89</v>
      </c>
      <c r="BR5" s="553">
        <f t="shared" si="3"/>
        <v>316120.89</v>
      </c>
      <c r="BS5" s="553">
        <f t="shared" si="3"/>
        <v>316120.89</v>
      </c>
      <c r="BT5" s="553">
        <f t="shared" si="3"/>
        <v>316120.89</v>
      </c>
      <c r="BU5" s="553">
        <f t="shared" si="3"/>
        <v>316120.89</v>
      </c>
      <c r="BV5" s="553">
        <f t="shared" si="3"/>
        <v>316120.89</v>
      </c>
      <c r="BW5" s="553">
        <f t="shared" si="3"/>
        <v>316120.89</v>
      </c>
      <c r="BX5" s="553">
        <f t="shared" si="3"/>
        <v>316120.89</v>
      </c>
      <c r="BY5" s="553">
        <f t="shared" si="3"/>
        <v>316120.89</v>
      </c>
      <c r="BZ5" s="553">
        <f t="shared" si="3"/>
        <v>316120.89</v>
      </c>
      <c r="CA5" s="553">
        <f t="shared" si="3"/>
        <v>316120.89</v>
      </c>
      <c r="CB5" s="560">
        <f t="shared" si="3"/>
        <v>316120.89</v>
      </c>
      <c r="CC5" s="553">
        <f t="shared" si="3"/>
        <v>316120.89</v>
      </c>
      <c r="CD5" s="553">
        <f t="shared" si="3"/>
        <v>316120.89</v>
      </c>
      <c r="CE5" s="553">
        <f t="shared" si="3"/>
        <v>316120.89</v>
      </c>
      <c r="CF5" s="553">
        <f t="shared" si="3"/>
        <v>316120.89</v>
      </c>
      <c r="CG5" s="553">
        <f t="shared" si="3"/>
        <v>316120.89</v>
      </c>
      <c r="CH5" s="553">
        <f t="shared" si="3"/>
        <v>316120.89</v>
      </c>
      <c r="CI5" s="553">
        <f t="shared" si="3"/>
        <v>316120.89</v>
      </c>
      <c r="CJ5" s="553">
        <f t="shared" si="3"/>
        <v>316120.89</v>
      </c>
      <c r="CK5" s="553">
        <f t="shared" si="3"/>
        <v>0</v>
      </c>
      <c r="CL5" s="553">
        <f t="shared" si="3"/>
        <v>0</v>
      </c>
      <c r="CM5" s="553">
        <f t="shared" si="3"/>
        <v>0</v>
      </c>
      <c r="CN5" s="553">
        <f t="shared" si="3"/>
        <v>0</v>
      </c>
      <c r="CO5" s="553">
        <f t="shared" si="3"/>
        <v>0</v>
      </c>
      <c r="CP5" s="553">
        <f t="shared" si="3"/>
        <v>0</v>
      </c>
      <c r="CQ5" s="553">
        <f t="shared" si="3"/>
        <v>0</v>
      </c>
      <c r="CR5" s="553">
        <f t="shared" si="3"/>
        <v>0</v>
      </c>
      <c r="CS5" s="553">
        <f t="shared" si="3"/>
        <v>0</v>
      </c>
      <c r="CT5" s="553">
        <f t="shared" si="3"/>
        <v>0</v>
      </c>
      <c r="CU5" s="553">
        <f t="shared" si="3"/>
        <v>0</v>
      </c>
      <c r="CV5" s="553">
        <f t="shared" si="3"/>
        <v>0</v>
      </c>
      <c r="CW5" s="553">
        <f t="shared" si="3"/>
        <v>0</v>
      </c>
      <c r="CX5" s="553">
        <f t="shared" si="3"/>
        <v>0</v>
      </c>
      <c r="CY5" s="553">
        <f t="shared" si="3"/>
        <v>0</v>
      </c>
      <c r="CZ5" s="553">
        <f t="shared" si="3"/>
        <v>0</v>
      </c>
      <c r="DA5" s="553">
        <f t="shared" si="3"/>
        <v>0</v>
      </c>
      <c r="DB5" s="553">
        <f t="shared" si="3"/>
        <v>0</v>
      </c>
      <c r="DC5" s="553">
        <f t="shared" si="3"/>
        <v>0</v>
      </c>
      <c r="DD5" s="553">
        <f t="shared" si="3"/>
        <v>0</v>
      </c>
      <c r="DE5" s="553">
        <f t="shared" si="3"/>
        <v>0</v>
      </c>
      <c r="DF5" s="553">
        <f t="shared" si="3"/>
        <v>0</v>
      </c>
      <c r="DG5" s="553">
        <f t="shared" si="3"/>
        <v>0</v>
      </c>
      <c r="DH5" s="553">
        <f t="shared" si="3"/>
        <v>0</v>
      </c>
      <c r="DI5" s="553">
        <f t="shared" si="3"/>
        <v>0</v>
      </c>
      <c r="DJ5" s="553">
        <f t="shared" si="3"/>
        <v>0</v>
      </c>
      <c r="DK5" s="553">
        <f t="shared" si="3"/>
        <v>0</v>
      </c>
      <c r="DL5" s="553">
        <f t="shared" si="3"/>
        <v>0</v>
      </c>
      <c r="DM5" s="553">
        <f t="shared" si="3"/>
        <v>0</v>
      </c>
      <c r="DN5" s="553">
        <f t="shared" si="3"/>
        <v>0</v>
      </c>
      <c r="DO5" s="553">
        <f t="shared" si="3"/>
        <v>0</v>
      </c>
      <c r="DP5" s="553">
        <f t="shared" si="3"/>
        <v>0</v>
      </c>
      <c r="DQ5" s="553">
        <f t="shared" si="3"/>
        <v>0</v>
      </c>
      <c r="DR5" s="553">
        <f t="shared" si="3"/>
        <v>0</v>
      </c>
      <c r="DS5" s="553">
        <f t="shared" si="3"/>
        <v>0</v>
      </c>
      <c r="DT5" s="553">
        <f t="shared" si="3"/>
        <v>0</v>
      </c>
      <c r="DU5" s="553">
        <f t="shared" si="3"/>
        <v>0</v>
      </c>
      <c r="DV5" s="553">
        <f t="shared" si="3"/>
        <v>0</v>
      </c>
      <c r="DW5" s="553">
        <f t="shared" si="3"/>
        <v>0</v>
      </c>
      <c r="DX5" s="553">
        <f t="shared" si="3"/>
        <v>0</v>
      </c>
      <c r="DY5" s="553">
        <f t="shared" si="3"/>
        <v>0</v>
      </c>
      <c r="DZ5" s="553">
        <f t="shared" si="3"/>
        <v>0</v>
      </c>
      <c r="EA5" s="553">
        <f t="shared" si="3"/>
        <v>0</v>
      </c>
      <c r="EB5" s="553">
        <f t="shared" si="3"/>
        <v>0</v>
      </c>
      <c r="EC5" s="553">
        <f t="shared" ref="EC5:EN9" si="4">+EC22+EC39</f>
        <v>0</v>
      </c>
      <c r="ED5" s="553">
        <f t="shared" si="4"/>
        <v>0</v>
      </c>
      <c r="EE5" s="553">
        <f t="shared" si="4"/>
        <v>0</v>
      </c>
      <c r="EF5" s="553">
        <f t="shared" si="4"/>
        <v>0</v>
      </c>
      <c r="EG5" s="553">
        <f t="shared" si="4"/>
        <v>0</v>
      </c>
      <c r="EH5" s="553">
        <f t="shared" si="4"/>
        <v>0</v>
      </c>
      <c r="EI5" s="553">
        <f t="shared" si="4"/>
        <v>0</v>
      </c>
      <c r="EJ5" s="553">
        <f t="shared" si="4"/>
        <v>0</v>
      </c>
    </row>
    <row r="6" spans="1:140" s="299" customFormat="1" ht="24" hidden="1" customHeight="1">
      <c r="A6" s="871"/>
      <c r="B6" s="872"/>
      <c r="C6" s="876"/>
      <c r="D6" s="561" t="s">
        <v>49</v>
      </c>
      <c r="E6" s="562">
        <f t="shared" si="2"/>
        <v>150</v>
      </c>
      <c r="F6" s="563">
        <f t="shared" si="2"/>
        <v>46</v>
      </c>
      <c r="G6" s="563">
        <f t="shared" si="2"/>
        <v>82</v>
      </c>
      <c r="H6" s="564">
        <f t="shared" si="2"/>
        <v>0</v>
      </c>
      <c r="I6" s="565">
        <f t="shared" si="2"/>
        <v>40</v>
      </c>
      <c r="J6" s="566">
        <f t="shared" si="2"/>
        <v>0</v>
      </c>
      <c r="K6" s="563">
        <f t="shared" si="2"/>
        <v>33</v>
      </c>
      <c r="L6" s="563">
        <f t="shared" si="2"/>
        <v>59</v>
      </c>
      <c r="M6" s="563">
        <f t="shared" si="2"/>
        <v>96</v>
      </c>
      <c r="N6" s="563">
        <f t="shared" si="2"/>
        <v>146</v>
      </c>
      <c r="O6" s="563">
        <f t="shared" si="2"/>
        <v>118</v>
      </c>
      <c r="P6" s="563">
        <f t="shared" si="2"/>
        <v>261</v>
      </c>
      <c r="Q6" s="563">
        <f t="shared" si="2"/>
        <v>96</v>
      </c>
      <c r="R6" s="563">
        <f t="shared" si="2"/>
        <v>94</v>
      </c>
      <c r="S6" s="563">
        <f t="shared" si="2"/>
        <v>101</v>
      </c>
      <c r="T6" s="567">
        <f t="shared" si="2"/>
        <v>134</v>
      </c>
      <c r="U6" s="565">
        <f t="shared" si="2"/>
        <v>93</v>
      </c>
      <c r="V6" s="562">
        <f t="shared" si="2"/>
        <v>169</v>
      </c>
      <c r="W6" s="562">
        <f t="shared" si="2"/>
        <v>146</v>
      </c>
      <c r="X6" s="562">
        <f t="shared" si="2"/>
        <v>95</v>
      </c>
      <c r="Y6" s="562">
        <f t="shared" si="2"/>
        <v>95</v>
      </c>
      <c r="Z6" s="562">
        <f t="shared" si="2"/>
        <v>95</v>
      </c>
      <c r="AA6" s="562">
        <f t="shared" si="2"/>
        <v>95</v>
      </c>
      <c r="AB6" s="562">
        <f t="shared" si="2"/>
        <v>95</v>
      </c>
      <c r="AC6" s="562">
        <f t="shared" si="2"/>
        <v>95</v>
      </c>
      <c r="AD6" s="562">
        <f t="shared" si="2"/>
        <v>95</v>
      </c>
      <c r="AE6" s="562">
        <f t="shared" si="2"/>
        <v>95</v>
      </c>
      <c r="AF6" s="562">
        <f t="shared" si="2"/>
        <v>95</v>
      </c>
      <c r="AG6" s="562">
        <f t="shared" si="2"/>
        <v>95</v>
      </c>
      <c r="AH6" s="562">
        <f t="shared" si="2"/>
        <v>95</v>
      </c>
      <c r="AI6" s="562">
        <f t="shared" si="2"/>
        <v>95</v>
      </c>
      <c r="AJ6" s="562">
        <f t="shared" si="2"/>
        <v>95</v>
      </c>
      <c r="AK6" s="562">
        <f t="shared" si="2"/>
        <v>95</v>
      </c>
      <c r="AL6" s="562">
        <f t="shared" si="2"/>
        <v>95</v>
      </c>
      <c r="AM6" s="562">
        <f t="shared" si="2"/>
        <v>95</v>
      </c>
      <c r="AN6" s="562">
        <f t="shared" si="2"/>
        <v>95</v>
      </c>
      <c r="AO6" s="562">
        <f t="shared" si="2"/>
        <v>95</v>
      </c>
      <c r="AP6" s="562">
        <f t="shared" si="2"/>
        <v>95</v>
      </c>
      <c r="AQ6" s="562">
        <f t="shared" si="2"/>
        <v>95</v>
      </c>
      <c r="AR6" s="562">
        <f t="shared" si="2"/>
        <v>95</v>
      </c>
      <c r="AS6" s="562">
        <f t="shared" si="2"/>
        <v>95</v>
      </c>
      <c r="AT6" s="562">
        <f t="shared" si="2"/>
        <v>95</v>
      </c>
      <c r="AU6" s="562">
        <f t="shared" si="2"/>
        <v>95</v>
      </c>
      <c r="AV6" s="562">
        <f t="shared" si="2"/>
        <v>95</v>
      </c>
      <c r="AW6" s="562">
        <f t="shared" si="2"/>
        <v>95</v>
      </c>
      <c r="AX6" s="562">
        <f t="shared" si="2"/>
        <v>95</v>
      </c>
      <c r="AY6" s="562">
        <f t="shared" si="2"/>
        <v>95</v>
      </c>
      <c r="AZ6" s="562">
        <f t="shared" si="2"/>
        <v>95</v>
      </c>
      <c r="BA6" s="562">
        <f t="shared" si="2"/>
        <v>95</v>
      </c>
      <c r="BB6" s="562">
        <f t="shared" si="2"/>
        <v>95</v>
      </c>
      <c r="BC6" s="562">
        <f t="shared" si="2"/>
        <v>95</v>
      </c>
      <c r="BD6" s="562">
        <f t="shared" si="2"/>
        <v>95</v>
      </c>
      <c r="BE6" s="562">
        <f t="shared" si="2"/>
        <v>95</v>
      </c>
      <c r="BF6" s="562">
        <f t="shared" si="2"/>
        <v>95</v>
      </c>
      <c r="BG6" s="562">
        <f t="shared" si="2"/>
        <v>95</v>
      </c>
      <c r="BH6" s="562">
        <f t="shared" si="2"/>
        <v>95</v>
      </c>
      <c r="BI6" s="562">
        <f t="shared" si="2"/>
        <v>95</v>
      </c>
      <c r="BJ6" s="562">
        <f t="shared" si="2"/>
        <v>95</v>
      </c>
      <c r="BK6" s="562">
        <f t="shared" si="2"/>
        <v>95</v>
      </c>
      <c r="BL6" s="562">
        <f t="shared" si="2"/>
        <v>95</v>
      </c>
      <c r="BM6" s="562">
        <f t="shared" si="2"/>
        <v>95</v>
      </c>
      <c r="BN6" s="562">
        <f t="shared" si="2"/>
        <v>95</v>
      </c>
      <c r="BO6" s="562">
        <f t="shared" si="2"/>
        <v>95</v>
      </c>
      <c r="BP6" s="568">
        <f t="shared" si="2"/>
        <v>95</v>
      </c>
      <c r="BQ6" s="565">
        <f t="shared" si="3"/>
        <v>95</v>
      </c>
      <c r="BR6" s="562">
        <f t="shared" si="3"/>
        <v>95</v>
      </c>
      <c r="BS6" s="562">
        <f t="shared" si="3"/>
        <v>95</v>
      </c>
      <c r="BT6" s="562">
        <f t="shared" si="3"/>
        <v>95</v>
      </c>
      <c r="BU6" s="562">
        <f t="shared" si="3"/>
        <v>95</v>
      </c>
      <c r="BV6" s="562">
        <f t="shared" si="3"/>
        <v>95</v>
      </c>
      <c r="BW6" s="562">
        <f t="shared" si="3"/>
        <v>95</v>
      </c>
      <c r="BX6" s="562">
        <f t="shared" si="3"/>
        <v>95</v>
      </c>
      <c r="BY6" s="562">
        <f t="shared" si="3"/>
        <v>95</v>
      </c>
      <c r="BZ6" s="562">
        <f t="shared" si="3"/>
        <v>95</v>
      </c>
      <c r="CA6" s="562">
        <f t="shared" si="3"/>
        <v>95</v>
      </c>
      <c r="CB6" s="569">
        <f t="shared" si="3"/>
        <v>95</v>
      </c>
      <c r="CC6" s="562">
        <f t="shared" si="3"/>
        <v>95</v>
      </c>
      <c r="CD6" s="562">
        <f t="shared" si="3"/>
        <v>95</v>
      </c>
      <c r="CE6" s="562">
        <f t="shared" si="3"/>
        <v>95</v>
      </c>
      <c r="CF6" s="562">
        <f t="shared" si="3"/>
        <v>95</v>
      </c>
      <c r="CG6" s="562">
        <f t="shared" si="3"/>
        <v>95</v>
      </c>
      <c r="CH6" s="562">
        <f t="shared" si="3"/>
        <v>95</v>
      </c>
      <c r="CI6" s="562">
        <f t="shared" si="3"/>
        <v>95</v>
      </c>
      <c r="CJ6" s="562">
        <f t="shared" si="3"/>
        <v>95</v>
      </c>
      <c r="CK6" s="562">
        <f t="shared" si="3"/>
        <v>0</v>
      </c>
      <c r="CL6" s="562">
        <f t="shared" si="3"/>
        <v>0</v>
      </c>
      <c r="CM6" s="562">
        <f t="shared" si="3"/>
        <v>0</v>
      </c>
      <c r="CN6" s="562">
        <f t="shared" si="3"/>
        <v>0</v>
      </c>
      <c r="CO6" s="562">
        <f t="shared" si="3"/>
        <v>0</v>
      </c>
      <c r="CP6" s="562">
        <f t="shared" si="3"/>
        <v>0</v>
      </c>
      <c r="CQ6" s="562">
        <f t="shared" si="3"/>
        <v>0</v>
      </c>
      <c r="CR6" s="562">
        <f t="shared" si="3"/>
        <v>0</v>
      </c>
      <c r="CS6" s="562">
        <f t="shared" si="3"/>
        <v>0</v>
      </c>
      <c r="CT6" s="562">
        <f t="shared" si="3"/>
        <v>0</v>
      </c>
      <c r="CU6" s="562">
        <f t="shared" si="3"/>
        <v>0</v>
      </c>
      <c r="CV6" s="562">
        <f t="shared" si="3"/>
        <v>0</v>
      </c>
      <c r="CW6" s="562">
        <f t="shared" si="3"/>
        <v>0</v>
      </c>
      <c r="CX6" s="562">
        <f t="shared" si="3"/>
        <v>0</v>
      </c>
      <c r="CY6" s="562">
        <f t="shared" si="3"/>
        <v>0</v>
      </c>
      <c r="CZ6" s="562">
        <f t="shared" si="3"/>
        <v>0</v>
      </c>
      <c r="DA6" s="562">
        <f t="shared" si="3"/>
        <v>0</v>
      </c>
      <c r="DB6" s="562">
        <f t="shared" si="3"/>
        <v>0</v>
      </c>
      <c r="DC6" s="562">
        <f t="shared" si="3"/>
        <v>0</v>
      </c>
      <c r="DD6" s="562">
        <f t="shared" si="3"/>
        <v>0</v>
      </c>
      <c r="DE6" s="562">
        <f t="shared" si="3"/>
        <v>0</v>
      </c>
      <c r="DF6" s="562">
        <f t="shared" si="3"/>
        <v>0</v>
      </c>
      <c r="DG6" s="562">
        <f t="shared" si="3"/>
        <v>0</v>
      </c>
      <c r="DH6" s="562">
        <f t="shared" si="3"/>
        <v>0</v>
      </c>
      <c r="DI6" s="562">
        <f t="shared" si="3"/>
        <v>0</v>
      </c>
      <c r="DJ6" s="562">
        <f t="shared" si="3"/>
        <v>0</v>
      </c>
      <c r="DK6" s="562">
        <f t="shared" si="3"/>
        <v>0</v>
      </c>
      <c r="DL6" s="562">
        <f t="shared" si="3"/>
        <v>0</v>
      </c>
      <c r="DM6" s="562">
        <f t="shared" si="3"/>
        <v>0</v>
      </c>
      <c r="DN6" s="562">
        <f t="shared" si="3"/>
        <v>0</v>
      </c>
      <c r="DO6" s="562">
        <f t="shared" si="3"/>
        <v>0</v>
      </c>
      <c r="DP6" s="562">
        <f t="shared" si="3"/>
        <v>0</v>
      </c>
      <c r="DQ6" s="562">
        <f t="shared" si="3"/>
        <v>0</v>
      </c>
      <c r="DR6" s="562">
        <f t="shared" si="3"/>
        <v>0</v>
      </c>
      <c r="DS6" s="562">
        <f t="shared" si="3"/>
        <v>0</v>
      </c>
      <c r="DT6" s="562">
        <f t="shared" si="3"/>
        <v>0</v>
      </c>
      <c r="DU6" s="562">
        <f t="shared" si="3"/>
        <v>0</v>
      </c>
      <c r="DV6" s="562">
        <f t="shared" si="3"/>
        <v>0</v>
      </c>
      <c r="DW6" s="562">
        <f t="shared" si="3"/>
        <v>0</v>
      </c>
      <c r="DX6" s="562">
        <f t="shared" si="3"/>
        <v>0</v>
      </c>
      <c r="DY6" s="562">
        <f t="shared" si="3"/>
        <v>0</v>
      </c>
      <c r="DZ6" s="562">
        <f t="shared" si="3"/>
        <v>0</v>
      </c>
      <c r="EA6" s="562">
        <f t="shared" si="3"/>
        <v>0</v>
      </c>
      <c r="EB6" s="562">
        <f t="shared" si="3"/>
        <v>0</v>
      </c>
      <c r="EC6" s="562">
        <f t="shared" si="4"/>
        <v>0</v>
      </c>
      <c r="ED6" s="562">
        <f t="shared" si="4"/>
        <v>0</v>
      </c>
      <c r="EE6" s="562">
        <f t="shared" si="4"/>
        <v>0</v>
      </c>
      <c r="EF6" s="562">
        <f t="shared" si="4"/>
        <v>0</v>
      </c>
      <c r="EG6" s="562">
        <f t="shared" si="4"/>
        <v>0</v>
      </c>
      <c r="EH6" s="562">
        <f t="shared" si="4"/>
        <v>0</v>
      </c>
      <c r="EI6" s="562">
        <f t="shared" si="4"/>
        <v>0</v>
      </c>
      <c r="EJ6" s="562">
        <f t="shared" si="4"/>
        <v>0</v>
      </c>
    </row>
    <row r="7" spans="1:140" s="299" customFormat="1" ht="24" hidden="1" customHeight="1">
      <c r="A7" s="871"/>
      <c r="B7" s="872"/>
      <c r="C7" s="877" t="s">
        <v>50</v>
      </c>
      <c r="D7" s="570" t="s">
        <v>48</v>
      </c>
      <c r="E7" s="571">
        <f t="shared" si="2"/>
        <v>0</v>
      </c>
      <c r="F7" s="572">
        <f t="shared" si="2"/>
        <v>28696.34</v>
      </c>
      <c r="G7" s="572">
        <f t="shared" si="2"/>
        <v>36194</v>
      </c>
      <c r="H7" s="573">
        <f t="shared" si="2"/>
        <v>6535.74</v>
      </c>
      <c r="I7" s="574">
        <f t="shared" si="2"/>
        <v>17332.55</v>
      </c>
      <c r="J7" s="572">
        <f t="shared" si="2"/>
        <v>34099.61</v>
      </c>
      <c r="K7" s="572">
        <f t="shared" si="2"/>
        <v>2942.27</v>
      </c>
      <c r="L7" s="572">
        <f t="shared" si="2"/>
        <v>31911.83</v>
      </c>
      <c r="M7" s="572">
        <f t="shared" si="2"/>
        <v>21566.959999999999</v>
      </c>
      <c r="N7" s="572">
        <f t="shared" si="2"/>
        <v>79987.33</v>
      </c>
      <c r="O7" s="572">
        <f t="shared" si="2"/>
        <v>25377.63</v>
      </c>
      <c r="P7" s="572">
        <f t="shared" si="2"/>
        <v>104962</v>
      </c>
      <c r="Q7" s="572">
        <f t="shared" si="2"/>
        <v>64788.4</v>
      </c>
      <c r="R7" s="572">
        <f t="shared" si="2"/>
        <v>12516.01</v>
      </c>
      <c r="S7" s="572">
        <f t="shared" si="2"/>
        <v>51945.54</v>
      </c>
      <c r="T7" s="573">
        <f t="shared" si="2"/>
        <v>9600.4500000000007</v>
      </c>
      <c r="U7" s="574">
        <f t="shared" si="2"/>
        <v>41179.96</v>
      </c>
      <c r="V7" s="575">
        <f t="shared" si="2"/>
        <v>70025.259999999995</v>
      </c>
      <c r="W7" s="575">
        <f t="shared" si="2"/>
        <v>182539.8799999957</v>
      </c>
      <c r="X7" s="575">
        <f t="shared" si="2"/>
        <v>126814.73</v>
      </c>
      <c r="Y7" s="575">
        <f t="shared" si="2"/>
        <v>126814.73</v>
      </c>
      <c r="Z7" s="575">
        <f t="shared" si="2"/>
        <v>126814.73</v>
      </c>
      <c r="AA7" s="575">
        <f t="shared" si="2"/>
        <v>126814.73</v>
      </c>
      <c r="AB7" s="575">
        <f t="shared" si="2"/>
        <v>126814.73</v>
      </c>
      <c r="AC7" s="575">
        <f t="shared" si="2"/>
        <v>126814.73</v>
      </c>
      <c r="AD7" s="575">
        <f t="shared" si="2"/>
        <v>126814.73</v>
      </c>
      <c r="AE7" s="575">
        <f t="shared" si="2"/>
        <v>126814.73</v>
      </c>
      <c r="AF7" s="575">
        <f t="shared" si="2"/>
        <v>126814.73</v>
      </c>
      <c r="AG7" s="575">
        <f t="shared" si="2"/>
        <v>126814.73</v>
      </c>
      <c r="AH7" s="575">
        <f t="shared" si="2"/>
        <v>126814.73</v>
      </c>
      <c r="AI7" s="575">
        <f t="shared" si="2"/>
        <v>126814.73</v>
      </c>
      <c r="AJ7" s="575">
        <f t="shared" si="2"/>
        <v>126814.73</v>
      </c>
      <c r="AK7" s="575">
        <f t="shared" si="2"/>
        <v>126814.73</v>
      </c>
      <c r="AL7" s="575">
        <f t="shared" si="2"/>
        <v>126814.73</v>
      </c>
      <c r="AM7" s="575">
        <f t="shared" si="2"/>
        <v>126814.73</v>
      </c>
      <c r="AN7" s="575">
        <f t="shared" si="2"/>
        <v>126814.73</v>
      </c>
      <c r="AO7" s="575">
        <f t="shared" si="2"/>
        <v>126814.73</v>
      </c>
      <c r="AP7" s="575">
        <f t="shared" si="2"/>
        <v>126814.73</v>
      </c>
      <c r="AQ7" s="575">
        <f t="shared" si="2"/>
        <v>126814.73</v>
      </c>
      <c r="AR7" s="575">
        <f t="shared" si="2"/>
        <v>126814.73</v>
      </c>
      <c r="AS7" s="575">
        <f t="shared" si="2"/>
        <v>126814.73</v>
      </c>
      <c r="AT7" s="575">
        <f t="shared" si="2"/>
        <v>126814.73</v>
      </c>
      <c r="AU7" s="575">
        <f t="shared" si="2"/>
        <v>126814.73</v>
      </c>
      <c r="AV7" s="575">
        <f t="shared" si="2"/>
        <v>126814.73</v>
      </c>
      <c r="AW7" s="575">
        <f t="shared" si="2"/>
        <v>126814.73</v>
      </c>
      <c r="AX7" s="575">
        <f t="shared" si="2"/>
        <v>126814.73</v>
      </c>
      <c r="AY7" s="575">
        <f t="shared" si="2"/>
        <v>126814.73</v>
      </c>
      <c r="AZ7" s="575">
        <f t="shared" si="2"/>
        <v>126814.73</v>
      </c>
      <c r="BA7" s="575">
        <f t="shared" si="2"/>
        <v>126814.73</v>
      </c>
      <c r="BB7" s="575">
        <f t="shared" si="2"/>
        <v>126814.73</v>
      </c>
      <c r="BC7" s="575">
        <f t="shared" si="2"/>
        <v>126814.73</v>
      </c>
      <c r="BD7" s="575">
        <f t="shared" si="2"/>
        <v>126814.73</v>
      </c>
      <c r="BE7" s="575">
        <f t="shared" si="2"/>
        <v>126814.73</v>
      </c>
      <c r="BF7" s="575">
        <f t="shared" si="2"/>
        <v>126814.73</v>
      </c>
      <c r="BG7" s="575">
        <f t="shared" si="2"/>
        <v>126814.73</v>
      </c>
      <c r="BH7" s="575">
        <f t="shared" si="2"/>
        <v>126814.73</v>
      </c>
      <c r="BI7" s="575">
        <f t="shared" si="2"/>
        <v>126814.73</v>
      </c>
      <c r="BJ7" s="575">
        <f t="shared" si="2"/>
        <v>126814.73</v>
      </c>
      <c r="BK7" s="575">
        <f t="shared" si="2"/>
        <v>126814.73</v>
      </c>
      <c r="BL7" s="575">
        <f t="shared" si="2"/>
        <v>126814.73</v>
      </c>
      <c r="BM7" s="575">
        <f t="shared" si="2"/>
        <v>126814.73</v>
      </c>
      <c r="BN7" s="575">
        <f t="shared" si="2"/>
        <v>126814.73</v>
      </c>
      <c r="BO7" s="575">
        <f t="shared" si="2"/>
        <v>126814.73</v>
      </c>
      <c r="BP7" s="576">
        <f t="shared" si="2"/>
        <v>126814.73</v>
      </c>
      <c r="BQ7" s="574">
        <f t="shared" si="3"/>
        <v>126814.73</v>
      </c>
      <c r="BR7" s="575">
        <f t="shared" si="3"/>
        <v>126814.73</v>
      </c>
      <c r="BS7" s="575">
        <f t="shared" si="3"/>
        <v>126814.73</v>
      </c>
      <c r="BT7" s="575">
        <f t="shared" si="3"/>
        <v>126814.73</v>
      </c>
      <c r="BU7" s="575">
        <f t="shared" si="3"/>
        <v>126814.73</v>
      </c>
      <c r="BV7" s="575">
        <f t="shared" si="3"/>
        <v>126814.73</v>
      </c>
      <c r="BW7" s="575">
        <f t="shared" si="3"/>
        <v>126814.73</v>
      </c>
      <c r="BX7" s="575">
        <f t="shared" si="3"/>
        <v>126814.73</v>
      </c>
      <c r="BY7" s="575">
        <f t="shared" si="3"/>
        <v>126814.73</v>
      </c>
      <c r="BZ7" s="575">
        <f t="shared" si="3"/>
        <v>126814.73</v>
      </c>
      <c r="CA7" s="575">
        <f t="shared" si="3"/>
        <v>126814.73</v>
      </c>
      <c r="CB7" s="577">
        <f t="shared" si="3"/>
        <v>126814.73</v>
      </c>
      <c r="CC7" s="575">
        <f t="shared" si="3"/>
        <v>126814.73</v>
      </c>
      <c r="CD7" s="575">
        <f t="shared" si="3"/>
        <v>126814.73</v>
      </c>
      <c r="CE7" s="575">
        <f t="shared" si="3"/>
        <v>126814.73</v>
      </c>
      <c r="CF7" s="575">
        <f t="shared" si="3"/>
        <v>126814.73</v>
      </c>
      <c r="CG7" s="575">
        <f t="shared" si="3"/>
        <v>126814.73</v>
      </c>
      <c r="CH7" s="575">
        <f t="shared" si="3"/>
        <v>126814.73</v>
      </c>
      <c r="CI7" s="575">
        <f t="shared" si="3"/>
        <v>126814.73</v>
      </c>
      <c r="CJ7" s="575">
        <f t="shared" si="3"/>
        <v>126814.73</v>
      </c>
      <c r="CK7" s="575">
        <f t="shared" si="3"/>
        <v>0</v>
      </c>
      <c r="CL7" s="575">
        <f t="shared" si="3"/>
        <v>0</v>
      </c>
      <c r="CM7" s="575">
        <f t="shared" si="3"/>
        <v>0</v>
      </c>
      <c r="CN7" s="575">
        <f t="shared" si="3"/>
        <v>0</v>
      </c>
      <c r="CO7" s="575">
        <f t="shared" si="3"/>
        <v>0</v>
      </c>
      <c r="CP7" s="575">
        <f t="shared" si="3"/>
        <v>0</v>
      </c>
      <c r="CQ7" s="575">
        <f t="shared" si="3"/>
        <v>0</v>
      </c>
      <c r="CR7" s="575">
        <f t="shared" si="3"/>
        <v>0</v>
      </c>
      <c r="CS7" s="575">
        <f t="shared" si="3"/>
        <v>0</v>
      </c>
      <c r="CT7" s="575">
        <f t="shared" si="3"/>
        <v>0</v>
      </c>
      <c r="CU7" s="575">
        <f t="shared" si="3"/>
        <v>0</v>
      </c>
      <c r="CV7" s="575">
        <f t="shared" si="3"/>
        <v>0</v>
      </c>
      <c r="CW7" s="575">
        <f t="shared" si="3"/>
        <v>0</v>
      </c>
      <c r="CX7" s="575">
        <f t="shared" si="3"/>
        <v>0</v>
      </c>
      <c r="CY7" s="575">
        <f t="shared" si="3"/>
        <v>0</v>
      </c>
      <c r="CZ7" s="575">
        <f t="shared" si="3"/>
        <v>0</v>
      </c>
      <c r="DA7" s="575">
        <f t="shared" si="3"/>
        <v>0</v>
      </c>
      <c r="DB7" s="575">
        <f t="shared" si="3"/>
        <v>0</v>
      </c>
      <c r="DC7" s="575">
        <f t="shared" si="3"/>
        <v>0</v>
      </c>
      <c r="DD7" s="575">
        <f t="shared" si="3"/>
        <v>0</v>
      </c>
      <c r="DE7" s="575">
        <f t="shared" si="3"/>
        <v>0</v>
      </c>
      <c r="DF7" s="575">
        <f t="shared" si="3"/>
        <v>0</v>
      </c>
      <c r="DG7" s="575">
        <f t="shared" si="3"/>
        <v>0</v>
      </c>
      <c r="DH7" s="575">
        <f t="shared" si="3"/>
        <v>0</v>
      </c>
      <c r="DI7" s="575">
        <f t="shared" si="3"/>
        <v>0</v>
      </c>
      <c r="DJ7" s="575">
        <f t="shared" si="3"/>
        <v>0</v>
      </c>
      <c r="DK7" s="575">
        <f t="shared" si="3"/>
        <v>0</v>
      </c>
      <c r="DL7" s="575">
        <f t="shared" si="3"/>
        <v>0</v>
      </c>
      <c r="DM7" s="575">
        <f t="shared" si="3"/>
        <v>0</v>
      </c>
      <c r="DN7" s="575">
        <f t="shared" si="3"/>
        <v>0</v>
      </c>
      <c r="DO7" s="575">
        <f t="shared" si="3"/>
        <v>0</v>
      </c>
      <c r="DP7" s="575">
        <f t="shared" si="3"/>
        <v>0</v>
      </c>
      <c r="DQ7" s="575">
        <f t="shared" si="3"/>
        <v>0</v>
      </c>
      <c r="DR7" s="575">
        <f t="shared" si="3"/>
        <v>0</v>
      </c>
      <c r="DS7" s="575">
        <f t="shared" si="3"/>
        <v>0</v>
      </c>
      <c r="DT7" s="575">
        <f t="shared" si="3"/>
        <v>0</v>
      </c>
      <c r="DU7" s="575">
        <f t="shared" si="3"/>
        <v>0</v>
      </c>
      <c r="DV7" s="575">
        <f t="shared" si="3"/>
        <v>0</v>
      </c>
      <c r="DW7" s="575">
        <f t="shared" si="3"/>
        <v>0</v>
      </c>
      <c r="DX7" s="575">
        <f t="shared" si="3"/>
        <v>0</v>
      </c>
      <c r="DY7" s="575">
        <f t="shared" si="3"/>
        <v>0</v>
      </c>
      <c r="DZ7" s="575">
        <f t="shared" si="3"/>
        <v>0</v>
      </c>
      <c r="EA7" s="575">
        <f t="shared" si="3"/>
        <v>0</v>
      </c>
      <c r="EB7" s="575">
        <f t="shared" si="3"/>
        <v>0</v>
      </c>
      <c r="EC7" s="575">
        <f t="shared" si="4"/>
        <v>0</v>
      </c>
      <c r="ED7" s="575">
        <f t="shared" si="4"/>
        <v>0</v>
      </c>
      <c r="EE7" s="575">
        <f t="shared" si="4"/>
        <v>0</v>
      </c>
      <c r="EF7" s="575">
        <f t="shared" si="4"/>
        <v>0</v>
      </c>
      <c r="EG7" s="575">
        <f t="shared" si="4"/>
        <v>0</v>
      </c>
      <c r="EH7" s="575">
        <f t="shared" si="4"/>
        <v>0</v>
      </c>
      <c r="EI7" s="575">
        <f t="shared" si="4"/>
        <v>0</v>
      </c>
      <c r="EJ7" s="575">
        <f t="shared" si="4"/>
        <v>0</v>
      </c>
    </row>
    <row r="8" spans="1:140" s="299" customFormat="1" ht="24" hidden="1" customHeight="1">
      <c r="A8" s="871"/>
      <c r="B8" s="872"/>
      <c r="C8" s="876"/>
      <c r="D8" s="561" t="s">
        <v>49</v>
      </c>
      <c r="E8" s="578">
        <f t="shared" si="2"/>
        <v>0</v>
      </c>
      <c r="F8" s="579">
        <f t="shared" si="2"/>
        <v>9</v>
      </c>
      <c r="G8" s="579">
        <f t="shared" si="2"/>
        <v>4</v>
      </c>
      <c r="H8" s="580">
        <f t="shared" si="2"/>
        <v>1</v>
      </c>
      <c r="I8" s="581">
        <f t="shared" si="2"/>
        <v>5</v>
      </c>
      <c r="J8" s="579">
        <f t="shared" si="2"/>
        <v>5</v>
      </c>
      <c r="K8" s="579">
        <f t="shared" si="2"/>
        <v>1</v>
      </c>
      <c r="L8" s="579">
        <f t="shared" si="2"/>
        <v>7</v>
      </c>
      <c r="M8" s="579">
        <f t="shared" si="2"/>
        <v>7</v>
      </c>
      <c r="N8" s="579">
        <f t="shared" si="2"/>
        <v>23</v>
      </c>
      <c r="O8" s="579">
        <f t="shared" si="2"/>
        <v>9</v>
      </c>
      <c r="P8" s="579">
        <f t="shared" si="2"/>
        <v>34</v>
      </c>
      <c r="Q8" s="579">
        <f t="shared" si="2"/>
        <v>23</v>
      </c>
      <c r="R8" s="579">
        <f t="shared" si="2"/>
        <v>5</v>
      </c>
      <c r="S8" s="579">
        <f t="shared" si="2"/>
        <v>19</v>
      </c>
      <c r="T8" s="580">
        <f t="shared" si="2"/>
        <v>11</v>
      </c>
      <c r="U8" s="581">
        <f t="shared" si="2"/>
        <v>18</v>
      </c>
      <c r="V8" s="582">
        <f t="shared" si="2"/>
        <v>30</v>
      </c>
      <c r="W8" s="582">
        <f t="shared" si="2"/>
        <v>68</v>
      </c>
      <c r="X8" s="582">
        <f t="shared" si="2"/>
        <v>40</v>
      </c>
      <c r="Y8" s="582">
        <f t="shared" si="2"/>
        <v>40</v>
      </c>
      <c r="Z8" s="582">
        <f t="shared" si="2"/>
        <v>40</v>
      </c>
      <c r="AA8" s="582">
        <f t="shared" si="2"/>
        <v>40</v>
      </c>
      <c r="AB8" s="582">
        <f t="shared" si="2"/>
        <v>40</v>
      </c>
      <c r="AC8" s="582">
        <f t="shared" si="2"/>
        <v>40</v>
      </c>
      <c r="AD8" s="582">
        <f t="shared" si="2"/>
        <v>40</v>
      </c>
      <c r="AE8" s="582">
        <f t="shared" si="2"/>
        <v>40</v>
      </c>
      <c r="AF8" s="582">
        <f t="shared" si="2"/>
        <v>40</v>
      </c>
      <c r="AG8" s="582">
        <f t="shared" si="2"/>
        <v>40</v>
      </c>
      <c r="AH8" s="582">
        <f t="shared" si="2"/>
        <v>40</v>
      </c>
      <c r="AI8" s="582">
        <f t="shared" si="2"/>
        <v>40</v>
      </c>
      <c r="AJ8" s="582">
        <f t="shared" si="2"/>
        <v>40</v>
      </c>
      <c r="AK8" s="582">
        <f t="shared" si="2"/>
        <v>40</v>
      </c>
      <c r="AL8" s="582">
        <f t="shared" si="2"/>
        <v>40</v>
      </c>
      <c r="AM8" s="582">
        <f t="shared" si="2"/>
        <v>40</v>
      </c>
      <c r="AN8" s="582">
        <f t="shared" si="2"/>
        <v>40</v>
      </c>
      <c r="AO8" s="582">
        <f t="shared" si="2"/>
        <v>40</v>
      </c>
      <c r="AP8" s="582">
        <f t="shared" si="2"/>
        <v>40</v>
      </c>
      <c r="AQ8" s="582">
        <f t="shared" si="2"/>
        <v>40</v>
      </c>
      <c r="AR8" s="582">
        <f t="shared" si="2"/>
        <v>40</v>
      </c>
      <c r="AS8" s="582">
        <f t="shared" si="2"/>
        <v>40</v>
      </c>
      <c r="AT8" s="582">
        <f t="shared" si="2"/>
        <v>40</v>
      </c>
      <c r="AU8" s="582">
        <f t="shared" si="2"/>
        <v>40</v>
      </c>
      <c r="AV8" s="582">
        <f t="shared" si="2"/>
        <v>40</v>
      </c>
      <c r="AW8" s="582">
        <f t="shared" si="2"/>
        <v>40</v>
      </c>
      <c r="AX8" s="582">
        <f t="shared" si="2"/>
        <v>40</v>
      </c>
      <c r="AY8" s="582">
        <f t="shared" si="2"/>
        <v>40</v>
      </c>
      <c r="AZ8" s="582">
        <f t="shared" si="2"/>
        <v>40</v>
      </c>
      <c r="BA8" s="582">
        <f t="shared" si="2"/>
        <v>40</v>
      </c>
      <c r="BB8" s="582">
        <f t="shared" si="2"/>
        <v>40</v>
      </c>
      <c r="BC8" s="582">
        <f t="shared" si="2"/>
        <v>40</v>
      </c>
      <c r="BD8" s="582">
        <f t="shared" si="2"/>
        <v>40</v>
      </c>
      <c r="BE8" s="582">
        <f t="shared" si="2"/>
        <v>40</v>
      </c>
      <c r="BF8" s="582">
        <f t="shared" si="2"/>
        <v>40</v>
      </c>
      <c r="BG8" s="582">
        <f t="shared" si="2"/>
        <v>40</v>
      </c>
      <c r="BH8" s="582">
        <f t="shared" si="2"/>
        <v>40</v>
      </c>
      <c r="BI8" s="582">
        <f t="shared" si="2"/>
        <v>40</v>
      </c>
      <c r="BJ8" s="582">
        <f t="shared" si="2"/>
        <v>40</v>
      </c>
      <c r="BK8" s="582">
        <f t="shared" si="2"/>
        <v>40</v>
      </c>
      <c r="BL8" s="582">
        <f t="shared" si="2"/>
        <v>40</v>
      </c>
      <c r="BM8" s="582">
        <f t="shared" si="2"/>
        <v>40</v>
      </c>
      <c r="BN8" s="582">
        <f t="shared" si="2"/>
        <v>40</v>
      </c>
      <c r="BO8" s="582">
        <f t="shared" si="2"/>
        <v>40</v>
      </c>
      <c r="BP8" s="583">
        <f t="shared" ref="BP8:CY9" si="5">+BP25+BP42</f>
        <v>40</v>
      </c>
      <c r="BQ8" s="581">
        <f t="shared" si="5"/>
        <v>40</v>
      </c>
      <c r="BR8" s="582">
        <f t="shared" si="5"/>
        <v>40</v>
      </c>
      <c r="BS8" s="582">
        <f t="shared" si="5"/>
        <v>40</v>
      </c>
      <c r="BT8" s="582">
        <f t="shared" si="5"/>
        <v>40</v>
      </c>
      <c r="BU8" s="582">
        <f t="shared" si="5"/>
        <v>40</v>
      </c>
      <c r="BV8" s="582">
        <f t="shared" si="5"/>
        <v>40</v>
      </c>
      <c r="BW8" s="582">
        <f t="shared" si="5"/>
        <v>40</v>
      </c>
      <c r="BX8" s="582">
        <f t="shared" si="5"/>
        <v>40</v>
      </c>
      <c r="BY8" s="582">
        <f t="shared" si="5"/>
        <v>40</v>
      </c>
      <c r="BZ8" s="582">
        <f t="shared" si="5"/>
        <v>40</v>
      </c>
      <c r="CA8" s="582">
        <f t="shared" si="5"/>
        <v>40</v>
      </c>
      <c r="CB8" s="584">
        <f t="shared" si="5"/>
        <v>40</v>
      </c>
      <c r="CC8" s="582">
        <f t="shared" si="5"/>
        <v>40</v>
      </c>
      <c r="CD8" s="582">
        <f t="shared" si="5"/>
        <v>40</v>
      </c>
      <c r="CE8" s="582">
        <f t="shared" si="5"/>
        <v>40</v>
      </c>
      <c r="CF8" s="582">
        <f t="shared" si="5"/>
        <v>40</v>
      </c>
      <c r="CG8" s="582">
        <f t="shared" si="5"/>
        <v>40</v>
      </c>
      <c r="CH8" s="582">
        <f t="shared" si="5"/>
        <v>40</v>
      </c>
      <c r="CI8" s="582">
        <f t="shared" si="5"/>
        <v>40</v>
      </c>
      <c r="CJ8" s="582">
        <f t="shared" si="5"/>
        <v>40</v>
      </c>
      <c r="CK8" s="582">
        <f t="shared" si="5"/>
        <v>0</v>
      </c>
      <c r="CL8" s="582">
        <f t="shared" si="5"/>
        <v>0</v>
      </c>
      <c r="CM8" s="582">
        <f t="shared" si="5"/>
        <v>0</v>
      </c>
      <c r="CN8" s="582">
        <f t="shared" si="5"/>
        <v>0</v>
      </c>
      <c r="CO8" s="582">
        <f t="shared" si="5"/>
        <v>0</v>
      </c>
      <c r="CP8" s="582">
        <f t="shared" si="5"/>
        <v>0</v>
      </c>
      <c r="CQ8" s="582">
        <f t="shared" si="5"/>
        <v>0</v>
      </c>
      <c r="CR8" s="582">
        <f t="shared" si="5"/>
        <v>0</v>
      </c>
      <c r="CS8" s="582">
        <f t="shared" si="5"/>
        <v>0</v>
      </c>
      <c r="CT8" s="582">
        <f t="shared" si="5"/>
        <v>0</v>
      </c>
      <c r="CU8" s="582">
        <f t="shared" si="5"/>
        <v>0</v>
      </c>
      <c r="CV8" s="582">
        <f t="shared" si="5"/>
        <v>0</v>
      </c>
      <c r="CW8" s="582">
        <f t="shared" si="5"/>
        <v>0</v>
      </c>
      <c r="CX8" s="582">
        <f t="shared" si="5"/>
        <v>0</v>
      </c>
      <c r="CY8" s="582">
        <f t="shared" si="5"/>
        <v>0</v>
      </c>
      <c r="CZ8" s="582">
        <f t="shared" si="3"/>
        <v>0</v>
      </c>
      <c r="DA8" s="582">
        <f t="shared" si="3"/>
        <v>0</v>
      </c>
      <c r="DB8" s="582">
        <f t="shared" si="3"/>
        <v>0</v>
      </c>
      <c r="DC8" s="582">
        <f t="shared" si="3"/>
        <v>0</v>
      </c>
      <c r="DD8" s="582">
        <f t="shared" si="3"/>
        <v>0</v>
      </c>
      <c r="DE8" s="582">
        <f t="shared" si="3"/>
        <v>0</v>
      </c>
      <c r="DF8" s="582">
        <f t="shared" si="3"/>
        <v>0</v>
      </c>
      <c r="DG8" s="582">
        <f t="shared" si="3"/>
        <v>0</v>
      </c>
      <c r="DH8" s="582">
        <f t="shared" si="3"/>
        <v>0</v>
      </c>
      <c r="DI8" s="582">
        <f t="shared" si="3"/>
        <v>0</v>
      </c>
      <c r="DJ8" s="582">
        <f t="shared" si="3"/>
        <v>0</v>
      </c>
      <c r="DK8" s="582">
        <f t="shared" si="3"/>
        <v>0</v>
      </c>
      <c r="DL8" s="582">
        <f t="shared" si="3"/>
        <v>0</v>
      </c>
      <c r="DM8" s="582">
        <f t="shared" si="3"/>
        <v>0</v>
      </c>
      <c r="DN8" s="582">
        <f t="shared" si="3"/>
        <v>0</v>
      </c>
      <c r="DO8" s="582">
        <f t="shared" si="3"/>
        <v>0</v>
      </c>
      <c r="DP8" s="582">
        <f t="shared" si="3"/>
        <v>0</v>
      </c>
      <c r="DQ8" s="582">
        <f t="shared" si="3"/>
        <v>0</v>
      </c>
      <c r="DR8" s="582">
        <f t="shared" si="3"/>
        <v>0</v>
      </c>
      <c r="DS8" s="582">
        <f t="shared" si="3"/>
        <v>0</v>
      </c>
      <c r="DT8" s="582">
        <f t="shared" si="3"/>
        <v>0</v>
      </c>
      <c r="DU8" s="582">
        <f t="shared" si="3"/>
        <v>0</v>
      </c>
      <c r="DV8" s="582">
        <f t="shared" si="3"/>
        <v>0</v>
      </c>
      <c r="DW8" s="582">
        <f t="shared" si="3"/>
        <v>0</v>
      </c>
      <c r="DX8" s="582">
        <f t="shared" si="3"/>
        <v>0</v>
      </c>
      <c r="DY8" s="582">
        <f t="shared" si="3"/>
        <v>0</v>
      </c>
      <c r="DZ8" s="582">
        <f t="shared" si="3"/>
        <v>0</v>
      </c>
      <c r="EA8" s="582">
        <f t="shared" si="3"/>
        <v>0</v>
      </c>
      <c r="EB8" s="582">
        <f t="shared" si="3"/>
        <v>0</v>
      </c>
      <c r="EC8" s="582">
        <f t="shared" si="4"/>
        <v>0</v>
      </c>
      <c r="ED8" s="582">
        <f t="shared" si="4"/>
        <v>0</v>
      </c>
      <c r="EE8" s="582">
        <f t="shared" si="4"/>
        <v>0</v>
      </c>
      <c r="EF8" s="582">
        <f t="shared" si="4"/>
        <v>0</v>
      </c>
      <c r="EG8" s="582">
        <f t="shared" si="4"/>
        <v>0</v>
      </c>
      <c r="EH8" s="582">
        <f t="shared" si="4"/>
        <v>0</v>
      </c>
      <c r="EI8" s="582">
        <f t="shared" si="4"/>
        <v>0</v>
      </c>
      <c r="EJ8" s="582">
        <f t="shared" si="4"/>
        <v>0</v>
      </c>
    </row>
    <row r="9" spans="1:140" s="299" customFormat="1" ht="24" hidden="1" customHeight="1">
      <c r="A9" s="871"/>
      <c r="B9" s="872"/>
      <c r="C9" s="877" t="s">
        <v>51</v>
      </c>
      <c r="D9" s="570" t="s">
        <v>48</v>
      </c>
      <c r="E9" s="571">
        <f t="shared" ref="E9:BP9" si="6">+E26+E43</f>
        <v>0</v>
      </c>
      <c r="F9" s="585">
        <f t="shared" si="6"/>
        <v>0</v>
      </c>
      <c r="G9" s="585">
        <f t="shared" si="6"/>
        <v>0</v>
      </c>
      <c r="H9" s="586">
        <f t="shared" si="6"/>
        <v>0</v>
      </c>
      <c r="I9" s="587">
        <f t="shared" si="6"/>
        <v>0</v>
      </c>
      <c r="J9" s="585">
        <f t="shared" si="6"/>
        <v>0</v>
      </c>
      <c r="K9" s="585">
        <f t="shared" si="6"/>
        <v>0</v>
      </c>
      <c r="L9" s="572">
        <f t="shared" si="6"/>
        <v>59988.82</v>
      </c>
      <c r="M9" s="572">
        <f t="shared" si="6"/>
        <v>27393.500000000466</v>
      </c>
      <c r="N9" s="572">
        <f t="shared" si="6"/>
        <v>20011.879999999655</v>
      </c>
      <c r="O9" s="572">
        <f t="shared" si="6"/>
        <v>30678.300000001098</v>
      </c>
      <c r="P9" s="572">
        <f t="shared" si="6"/>
        <v>11687.659999998752</v>
      </c>
      <c r="Q9" s="572">
        <f t="shared" si="6"/>
        <v>69482.749999999709</v>
      </c>
      <c r="R9" s="572">
        <f t="shared" si="6"/>
        <v>27584.140000003012</v>
      </c>
      <c r="S9" s="572">
        <f t="shared" si="6"/>
        <v>66954.060000000463</v>
      </c>
      <c r="T9" s="573">
        <f t="shared" si="6"/>
        <v>49327.600000002887</v>
      </c>
      <c r="U9" s="574">
        <f t="shared" si="6"/>
        <v>49746.63</v>
      </c>
      <c r="V9" s="575">
        <f t="shared" si="6"/>
        <v>29640.029999998573</v>
      </c>
      <c r="W9" s="575">
        <f t="shared" si="6"/>
        <v>60870.690000000017</v>
      </c>
      <c r="X9" s="575">
        <f t="shared" si="6"/>
        <v>40118.720000000001</v>
      </c>
      <c r="Y9" s="575">
        <f t="shared" si="6"/>
        <v>40118.720000000001</v>
      </c>
      <c r="Z9" s="575">
        <f t="shared" si="6"/>
        <v>40118.720000000001</v>
      </c>
      <c r="AA9" s="575">
        <f t="shared" si="6"/>
        <v>40118.720000000001</v>
      </c>
      <c r="AB9" s="575">
        <f t="shared" si="6"/>
        <v>40118.720000000001</v>
      </c>
      <c r="AC9" s="575">
        <f t="shared" si="6"/>
        <v>40118.720000000001</v>
      </c>
      <c r="AD9" s="575">
        <f t="shared" si="6"/>
        <v>40118.720000000001</v>
      </c>
      <c r="AE9" s="575">
        <f t="shared" si="6"/>
        <v>40118.720000000001</v>
      </c>
      <c r="AF9" s="575">
        <f t="shared" si="6"/>
        <v>40118.720000000001</v>
      </c>
      <c r="AG9" s="575">
        <f t="shared" si="6"/>
        <v>40118.720000000001</v>
      </c>
      <c r="AH9" s="575">
        <f t="shared" si="6"/>
        <v>40118.720000000001</v>
      </c>
      <c r="AI9" s="575">
        <f t="shared" si="6"/>
        <v>40118.720000000001</v>
      </c>
      <c r="AJ9" s="575">
        <f t="shared" si="6"/>
        <v>40118.720000000001</v>
      </c>
      <c r="AK9" s="575">
        <f t="shared" si="6"/>
        <v>40118.720000000001</v>
      </c>
      <c r="AL9" s="575">
        <f t="shared" si="6"/>
        <v>40118.720000000001</v>
      </c>
      <c r="AM9" s="575">
        <f t="shared" si="6"/>
        <v>40118.720000000001</v>
      </c>
      <c r="AN9" s="575">
        <f t="shared" si="6"/>
        <v>40118.720000000001</v>
      </c>
      <c r="AO9" s="575">
        <f t="shared" si="6"/>
        <v>40118.720000000001</v>
      </c>
      <c r="AP9" s="575">
        <f t="shared" si="6"/>
        <v>40118.720000000001</v>
      </c>
      <c r="AQ9" s="575">
        <f t="shared" si="6"/>
        <v>40118.720000000001</v>
      </c>
      <c r="AR9" s="575">
        <f t="shared" si="6"/>
        <v>40118.720000000001</v>
      </c>
      <c r="AS9" s="575">
        <f t="shared" si="6"/>
        <v>40118.720000000001</v>
      </c>
      <c r="AT9" s="575">
        <f t="shared" si="6"/>
        <v>40118.720000000001</v>
      </c>
      <c r="AU9" s="575">
        <f t="shared" si="6"/>
        <v>40118.720000000001</v>
      </c>
      <c r="AV9" s="575">
        <f t="shared" si="6"/>
        <v>40118.720000000001</v>
      </c>
      <c r="AW9" s="575">
        <f t="shared" si="6"/>
        <v>40118.720000000001</v>
      </c>
      <c r="AX9" s="575">
        <f t="shared" si="6"/>
        <v>40118.720000000001</v>
      </c>
      <c r="AY9" s="575">
        <f t="shared" si="6"/>
        <v>40118.720000000001</v>
      </c>
      <c r="AZ9" s="575">
        <f t="shared" si="6"/>
        <v>40118.720000000001</v>
      </c>
      <c r="BA9" s="575">
        <f t="shared" si="6"/>
        <v>40118.720000000001</v>
      </c>
      <c r="BB9" s="575">
        <f t="shared" si="6"/>
        <v>40118.720000000001</v>
      </c>
      <c r="BC9" s="575">
        <f t="shared" si="6"/>
        <v>40118.720000000001</v>
      </c>
      <c r="BD9" s="575">
        <f t="shared" si="6"/>
        <v>40118.720000000001</v>
      </c>
      <c r="BE9" s="575">
        <f t="shared" si="6"/>
        <v>40118.720000000001</v>
      </c>
      <c r="BF9" s="575">
        <f t="shared" si="6"/>
        <v>40118.720000000001</v>
      </c>
      <c r="BG9" s="575">
        <f t="shared" si="6"/>
        <v>40118.720000000001</v>
      </c>
      <c r="BH9" s="575">
        <f t="shared" si="6"/>
        <v>40118.720000000001</v>
      </c>
      <c r="BI9" s="575">
        <f t="shared" si="6"/>
        <v>40118.720000000001</v>
      </c>
      <c r="BJ9" s="575">
        <f t="shared" si="6"/>
        <v>40118.720000000001</v>
      </c>
      <c r="BK9" s="575">
        <f t="shared" si="6"/>
        <v>40118.720000000001</v>
      </c>
      <c r="BL9" s="575">
        <f t="shared" si="6"/>
        <v>40118.720000000001</v>
      </c>
      <c r="BM9" s="575">
        <f t="shared" si="6"/>
        <v>40118.720000000001</v>
      </c>
      <c r="BN9" s="575">
        <f t="shared" si="6"/>
        <v>40118.720000000001</v>
      </c>
      <c r="BO9" s="575">
        <f t="shared" si="6"/>
        <v>40118.720000000001</v>
      </c>
      <c r="BP9" s="576">
        <f t="shared" si="5"/>
        <v>40118.720000000001</v>
      </c>
      <c r="BQ9" s="574">
        <f t="shared" si="5"/>
        <v>40118.720000000001</v>
      </c>
      <c r="BR9" s="575">
        <f t="shared" si="5"/>
        <v>40118.720000000001</v>
      </c>
      <c r="BS9" s="575">
        <f t="shared" si="5"/>
        <v>40118.720000000001</v>
      </c>
      <c r="BT9" s="575">
        <f t="shared" si="5"/>
        <v>40118.720000000001</v>
      </c>
      <c r="BU9" s="575">
        <f t="shared" si="5"/>
        <v>40118.720000000001</v>
      </c>
      <c r="BV9" s="575">
        <f t="shared" si="5"/>
        <v>40118.720000000001</v>
      </c>
      <c r="BW9" s="575">
        <f t="shared" si="5"/>
        <v>40118.720000000001</v>
      </c>
      <c r="BX9" s="575">
        <f t="shared" si="5"/>
        <v>40118.720000000001</v>
      </c>
      <c r="BY9" s="575">
        <f t="shared" si="5"/>
        <v>40118.720000000001</v>
      </c>
      <c r="BZ9" s="575">
        <f t="shared" si="5"/>
        <v>40118.720000000001</v>
      </c>
      <c r="CA9" s="575">
        <f t="shared" si="5"/>
        <v>40118.720000000001</v>
      </c>
      <c r="CB9" s="577">
        <f t="shared" si="5"/>
        <v>40118.720000000001</v>
      </c>
      <c r="CC9" s="575">
        <f t="shared" si="5"/>
        <v>40118.720000000001</v>
      </c>
      <c r="CD9" s="575">
        <f t="shared" si="5"/>
        <v>40118.720000000001</v>
      </c>
      <c r="CE9" s="575">
        <f t="shared" si="5"/>
        <v>40118.720000000001</v>
      </c>
      <c r="CF9" s="575">
        <f t="shared" si="5"/>
        <v>40118.720000000001</v>
      </c>
      <c r="CG9" s="575">
        <f t="shared" si="5"/>
        <v>40118.720000000001</v>
      </c>
      <c r="CH9" s="575">
        <f t="shared" si="5"/>
        <v>40118.720000000001</v>
      </c>
      <c r="CI9" s="575">
        <f t="shared" si="5"/>
        <v>40118.720000000001</v>
      </c>
      <c r="CJ9" s="575">
        <f t="shared" si="5"/>
        <v>40118.720000000001</v>
      </c>
      <c r="CK9" s="575">
        <f t="shared" si="5"/>
        <v>0</v>
      </c>
      <c r="CL9" s="575">
        <f t="shared" si="5"/>
        <v>0</v>
      </c>
      <c r="CM9" s="575">
        <f t="shared" si="5"/>
        <v>0</v>
      </c>
      <c r="CN9" s="575">
        <f t="shared" si="5"/>
        <v>0</v>
      </c>
      <c r="CO9" s="575">
        <f t="shared" si="5"/>
        <v>0</v>
      </c>
      <c r="CP9" s="575">
        <f t="shared" si="5"/>
        <v>0</v>
      </c>
      <c r="CQ9" s="575">
        <f t="shared" si="5"/>
        <v>0</v>
      </c>
      <c r="CR9" s="575">
        <f t="shared" si="5"/>
        <v>0</v>
      </c>
      <c r="CS9" s="575">
        <f t="shared" si="5"/>
        <v>0</v>
      </c>
      <c r="CT9" s="575">
        <f t="shared" si="5"/>
        <v>0</v>
      </c>
      <c r="CU9" s="575">
        <f t="shared" si="5"/>
        <v>0</v>
      </c>
      <c r="CV9" s="575">
        <f t="shared" si="5"/>
        <v>0</v>
      </c>
      <c r="CW9" s="575">
        <f t="shared" si="5"/>
        <v>0</v>
      </c>
      <c r="CX9" s="575">
        <f t="shared" si="5"/>
        <v>0</v>
      </c>
      <c r="CY9" s="575">
        <f t="shared" si="5"/>
        <v>0</v>
      </c>
      <c r="CZ9" s="575">
        <f t="shared" si="3"/>
        <v>0</v>
      </c>
      <c r="DA9" s="575">
        <f t="shared" si="3"/>
        <v>0</v>
      </c>
      <c r="DB9" s="575">
        <f t="shared" si="3"/>
        <v>0</v>
      </c>
      <c r="DC9" s="575">
        <f t="shared" si="3"/>
        <v>0</v>
      </c>
      <c r="DD9" s="575">
        <f t="shared" si="3"/>
        <v>0</v>
      </c>
      <c r="DE9" s="575">
        <f t="shared" si="3"/>
        <v>0</v>
      </c>
      <c r="DF9" s="575">
        <f t="shared" si="3"/>
        <v>0</v>
      </c>
      <c r="DG9" s="575">
        <f t="shared" si="3"/>
        <v>0</v>
      </c>
      <c r="DH9" s="575">
        <f t="shared" si="3"/>
        <v>0</v>
      </c>
      <c r="DI9" s="575">
        <f t="shared" si="3"/>
        <v>0</v>
      </c>
      <c r="DJ9" s="575">
        <f t="shared" si="3"/>
        <v>0</v>
      </c>
      <c r="DK9" s="575">
        <f t="shared" si="3"/>
        <v>0</v>
      </c>
      <c r="DL9" s="575">
        <f t="shared" si="3"/>
        <v>0</v>
      </c>
      <c r="DM9" s="575">
        <f t="shared" si="3"/>
        <v>0</v>
      </c>
      <c r="DN9" s="575">
        <f t="shared" si="3"/>
        <v>0</v>
      </c>
      <c r="DO9" s="575">
        <f t="shared" si="3"/>
        <v>0</v>
      </c>
      <c r="DP9" s="575">
        <f t="shared" si="3"/>
        <v>0</v>
      </c>
      <c r="DQ9" s="575">
        <f t="shared" si="3"/>
        <v>0</v>
      </c>
      <c r="DR9" s="575">
        <f t="shared" si="3"/>
        <v>0</v>
      </c>
      <c r="DS9" s="575">
        <f t="shared" si="3"/>
        <v>0</v>
      </c>
      <c r="DT9" s="575">
        <f t="shared" si="3"/>
        <v>0</v>
      </c>
      <c r="DU9" s="575">
        <f t="shared" si="3"/>
        <v>0</v>
      </c>
      <c r="DV9" s="575">
        <f t="shared" si="3"/>
        <v>0</v>
      </c>
      <c r="DW9" s="575">
        <f t="shared" si="3"/>
        <v>0</v>
      </c>
      <c r="DX9" s="575">
        <f t="shared" si="3"/>
        <v>0</v>
      </c>
      <c r="DY9" s="575">
        <f t="shared" si="3"/>
        <v>0</v>
      </c>
      <c r="DZ9" s="575">
        <f t="shared" si="3"/>
        <v>0</v>
      </c>
      <c r="EA9" s="575">
        <f t="shared" si="3"/>
        <v>0</v>
      </c>
      <c r="EB9" s="575">
        <f t="shared" si="3"/>
        <v>0</v>
      </c>
      <c r="EC9" s="575">
        <f t="shared" si="4"/>
        <v>0</v>
      </c>
      <c r="ED9" s="575">
        <f t="shared" si="4"/>
        <v>0</v>
      </c>
      <c r="EE9" s="575">
        <f t="shared" si="4"/>
        <v>0</v>
      </c>
      <c r="EF9" s="575">
        <f t="shared" si="4"/>
        <v>0</v>
      </c>
      <c r="EG9" s="575">
        <f t="shared" si="4"/>
        <v>0</v>
      </c>
      <c r="EH9" s="575">
        <f t="shared" si="4"/>
        <v>0</v>
      </c>
      <c r="EI9" s="575">
        <f t="shared" si="4"/>
        <v>0</v>
      </c>
      <c r="EJ9" s="575">
        <f t="shared" si="4"/>
        <v>0</v>
      </c>
    </row>
    <row r="10" spans="1:140" s="299" customFormat="1" ht="24" hidden="1" customHeight="1">
      <c r="A10" s="871"/>
      <c r="B10" s="872"/>
      <c r="C10" s="876"/>
      <c r="D10" s="561" t="s">
        <v>49</v>
      </c>
      <c r="E10" s="582"/>
      <c r="F10" s="579"/>
      <c r="G10" s="579"/>
      <c r="H10" s="580"/>
      <c r="I10" s="581"/>
      <c r="J10" s="579"/>
      <c r="K10" s="579"/>
      <c r="L10" s="579"/>
      <c r="M10" s="579"/>
      <c r="N10" s="579"/>
      <c r="O10" s="579"/>
      <c r="P10" s="579"/>
      <c r="Q10" s="579"/>
      <c r="R10" s="579"/>
      <c r="S10" s="579"/>
      <c r="T10" s="580"/>
      <c r="U10" s="581"/>
      <c r="V10" s="582"/>
      <c r="W10" s="582"/>
      <c r="X10" s="582"/>
      <c r="Y10" s="582"/>
      <c r="Z10" s="582"/>
      <c r="AA10" s="582"/>
      <c r="AB10" s="582"/>
      <c r="AC10" s="582"/>
      <c r="AD10" s="582"/>
      <c r="AE10" s="582"/>
      <c r="AF10" s="582"/>
      <c r="AG10" s="582"/>
      <c r="AH10" s="582"/>
      <c r="AI10" s="582"/>
      <c r="AJ10" s="582"/>
      <c r="AK10" s="582"/>
      <c r="AL10" s="582"/>
      <c r="AM10" s="582"/>
      <c r="AN10" s="582"/>
      <c r="AO10" s="582"/>
      <c r="AP10" s="582"/>
      <c r="AQ10" s="582"/>
      <c r="AR10" s="582"/>
      <c r="AS10" s="582"/>
      <c r="AT10" s="582"/>
      <c r="AU10" s="582"/>
      <c r="AV10" s="582"/>
      <c r="AW10" s="582"/>
      <c r="AX10" s="582"/>
      <c r="AY10" s="582"/>
      <c r="AZ10" s="582"/>
      <c r="BA10" s="582"/>
      <c r="BB10" s="582"/>
      <c r="BC10" s="582"/>
      <c r="BD10" s="582"/>
      <c r="BE10" s="582"/>
      <c r="BF10" s="582"/>
      <c r="BG10" s="582"/>
      <c r="BH10" s="582"/>
      <c r="BI10" s="582"/>
      <c r="BJ10" s="582"/>
      <c r="BK10" s="582"/>
      <c r="BL10" s="582"/>
      <c r="BM10" s="582"/>
      <c r="BN10" s="582"/>
      <c r="BO10" s="582"/>
      <c r="BP10" s="583"/>
      <c r="BQ10" s="581"/>
      <c r="BR10" s="582"/>
      <c r="BS10" s="582"/>
      <c r="BT10" s="582"/>
      <c r="BU10" s="582"/>
      <c r="BV10" s="582"/>
      <c r="BW10" s="582"/>
      <c r="BX10" s="582"/>
      <c r="BY10" s="582"/>
      <c r="BZ10" s="582"/>
      <c r="CA10" s="582"/>
      <c r="CB10" s="584"/>
      <c r="CC10" s="582"/>
      <c r="CD10" s="582"/>
      <c r="CE10" s="582"/>
      <c r="CF10" s="582"/>
      <c r="CG10" s="582"/>
      <c r="CH10" s="582"/>
      <c r="CI10" s="582"/>
      <c r="CJ10" s="582"/>
      <c r="CK10" s="582"/>
      <c r="CL10" s="582"/>
      <c r="CM10" s="582"/>
      <c r="CN10" s="582"/>
      <c r="CO10" s="582"/>
      <c r="CP10" s="582"/>
      <c r="CQ10" s="582"/>
      <c r="CR10" s="582"/>
      <c r="CS10" s="582"/>
      <c r="CT10" s="582"/>
      <c r="CU10" s="582"/>
      <c r="CV10" s="582"/>
      <c r="CW10" s="582"/>
      <c r="CX10" s="582"/>
      <c r="CY10" s="582"/>
      <c r="CZ10" s="582"/>
      <c r="DA10" s="582"/>
      <c r="DB10" s="582"/>
      <c r="DC10" s="582"/>
      <c r="DD10" s="582"/>
      <c r="DE10" s="582"/>
      <c r="DF10" s="582"/>
      <c r="DG10" s="582"/>
      <c r="DH10" s="582"/>
      <c r="DI10" s="582"/>
      <c r="DJ10" s="582"/>
      <c r="DK10" s="582"/>
      <c r="DL10" s="582"/>
      <c r="DM10" s="582"/>
      <c r="DN10" s="582"/>
      <c r="DO10" s="582"/>
      <c r="DP10" s="582"/>
      <c r="DQ10" s="582"/>
      <c r="DR10" s="582"/>
      <c r="DS10" s="582"/>
      <c r="DT10" s="582"/>
      <c r="DU10" s="582"/>
      <c r="DV10" s="582"/>
      <c r="DW10" s="582"/>
      <c r="DX10" s="582"/>
      <c r="DY10" s="582"/>
      <c r="DZ10" s="582"/>
      <c r="EA10" s="582"/>
      <c r="EB10" s="582"/>
      <c r="EC10" s="582"/>
      <c r="ED10" s="582"/>
      <c r="EE10" s="582"/>
      <c r="EF10" s="582"/>
      <c r="EG10" s="582"/>
      <c r="EH10" s="582"/>
      <c r="EI10" s="582"/>
      <c r="EJ10" s="582"/>
    </row>
    <row r="11" spans="1:140" s="299" customFormat="1" ht="24" customHeight="1">
      <c r="A11" s="871"/>
      <c r="B11" s="872"/>
      <c r="C11" s="878" t="s">
        <v>52</v>
      </c>
      <c r="D11" s="570" t="s">
        <v>48</v>
      </c>
      <c r="E11" s="575">
        <f t="shared" ref="E11:BP12" si="7">+E28+E60+E76+E92</f>
        <v>550832.77</v>
      </c>
      <c r="F11" s="572">
        <f t="shared" si="7"/>
        <v>146504.66000000003</v>
      </c>
      <c r="G11" s="572">
        <f t="shared" si="7"/>
        <v>280035.21000000008</v>
      </c>
      <c r="H11" s="586">
        <f t="shared" si="7"/>
        <v>0</v>
      </c>
      <c r="I11" s="574">
        <f t="shared" si="7"/>
        <v>152128.09999999986</v>
      </c>
      <c r="J11" s="585">
        <f t="shared" si="7"/>
        <v>0</v>
      </c>
      <c r="K11" s="572">
        <f t="shared" si="7"/>
        <v>148535.43999999994</v>
      </c>
      <c r="L11" s="572">
        <f t="shared" si="7"/>
        <v>92115.709999999963</v>
      </c>
      <c r="M11" s="572">
        <f t="shared" si="7"/>
        <v>248615.42999999947</v>
      </c>
      <c r="N11" s="572">
        <f t="shared" si="7"/>
        <v>310413.55000000028</v>
      </c>
      <c r="O11" s="572">
        <f t="shared" si="7"/>
        <v>272817.38999999885</v>
      </c>
      <c r="P11" s="572">
        <f t="shared" si="7"/>
        <v>700100.57000000111</v>
      </c>
      <c r="Q11" s="572">
        <f t="shared" si="7"/>
        <v>168589.45000000048</v>
      </c>
      <c r="R11" s="572">
        <f t="shared" si="7"/>
        <v>230592.15999999724</v>
      </c>
      <c r="S11" s="572">
        <f t="shared" si="7"/>
        <v>157165.28999999951</v>
      </c>
      <c r="T11" s="573">
        <f t="shared" si="7"/>
        <v>373010.36999999708</v>
      </c>
      <c r="U11" s="574">
        <f t="shared" si="7"/>
        <v>220029.31999999995</v>
      </c>
      <c r="V11" s="575">
        <f t="shared" si="7"/>
        <v>375815.68000000186</v>
      </c>
      <c r="W11" s="575">
        <f t="shared" si="7"/>
        <v>189096.83000000438</v>
      </c>
      <c r="X11" s="575">
        <f t="shared" si="7"/>
        <v>589739.61999999918</v>
      </c>
      <c r="Y11" s="575">
        <f t="shared" si="7"/>
        <v>623276.700000001</v>
      </c>
      <c r="Z11" s="575">
        <f t="shared" si="7"/>
        <v>410042.93000000028</v>
      </c>
      <c r="AA11" s="575">
        <f t="shared" si="7"/>
        <v>368217.49999999977</v>
      </c>
      <c r="AB11" s="575">
        <f t="shared" si="7"/>
        <v>420523.9499999996</v>
      </c>
      <c r="AC11" s="575">
        <f t="shared" si="7"/>
        <v>180227.20000000065</v>
      </c>
      <c r="AD11" s="575">
        <f t="shared" si="7"/>
        <v>306434.22999999882</v>
      </c>
      <c r="AE11" s="575">
        <f t="shared" si="7"/>
        <v>292185.21000000113</v>
      </c>
      <c r="AF11" s="575">
        <f t="shared" si="7"/>
        <v>325245.29999999469</v>
      </c>
      <c r="AG11" s="575">
        <f t="shared" si="7"/>
        <v>74456.319999990985</v>
      </c>
      <c r="AH11" s="575">
        <f t="shared" si="7"/>
        <v>180321.20000001509</v>
      </c>
      <c r="AI11" s="575">
        <f t="shared" si="7"/>
        <v>26468.3700000057</v>
      </c>
      <c r="AJ11" s="575">
        <f t="shared" si="7"/>
        <v>165510.95999999344</v>
      </c>
      <c r="AK11" s="575">
        <f t="shared" si="7"/>
        <v>-170197.29999998235</v>
      </c>
      <c r="AL11" s="575">
        <f t="shared" si="7"/>
        <v>217059.20999998366</v>
      </c>
      <c r="AM11" s="575">
        <f t="shared" si="7"/>
        <v>170341.37999999593</v>
      </c>
      <c r="AN11" s="575">
        <f t="shared" si="7"/>
        <v>118108.87000000221</v>
      </c>
      <c r="AO11" s="575">
        <f t="shared" si="7"/>
        <v>71467.230000000214</v>
      </c>
      <c r="AP11" s="575">
        <f t="shared" si="7"/>
        <v>203000.32999999938</v>
      </c>
      <c r="AQ11" s="575">
        <f t="shared" si="7"/>
        <v>184192.6800000004</v>
      </c>
      <c r="AR11" s="575">
        <f t="shared" si="7"/>
        <v>243480.85000000033</v>
      </c>
      <c r="AS11" s="575">
        <f t="shared" si="7"/>
        <v>110293.85999999917</v>
      </c>
      <c r="AT11" s="575">
        <f t="shared" si="7"/>
        <v>66788.730000002543</v>
      </c>
      <c r="AU11" s="575">
        <f t="shared" si="7"/>
        <v>112609.68999999645</v>
      </c>
      <c r="AV11" s="575">
        <f t="shared" si="7"/>
        <v>174631.11999999359</v>
      </c>
      <c r="AW11" s="575">
        <f t="shared" si="7"/>
        <v>249102.82000000868</v>
      </c>
      <c r="AX11" s="575">
        <f t="shared" si="7"/>
        <v>178325.92000000016</v>
      </c>
      <c r="AY11" s="575">
        <f t="shared" si="7"/>
        <v>269885.88999999943</v>
      </c>
      <c r="AZ11" s="575">
        <f t="shared" si="7"/>
        <v>-43004.059999999823</v>
      </c>
      <c r="BA11" s="575">
        <f t="shared" si="7"/>
        <v>345061.19999999972</v>
      </c>
      <c r="BB11" s="575">
        <f t="shared" si="7"/>
        <v>310452.4299999997</v>
      </c>
      <c r="BC11" s="575">
        <f t="shared" si="7"/>
        <v>259084.21000000159</v>
      </c>
      <c r="BD11" s="575">
        <f t="shared" si="7"/>
        <v>168394.69999999739</v>
      </c>
      <c r="BE11" s="575">
        <f t="shared" si="7"/>
        <v>282264.07000000076</v>
      </c>
      <c r="BF11" s="575">
        <f t="shared" si="7"/>
        <v>359184.60999999987</v>
      </c>
      <c r="BG11" s="575">
        <f t="shared" si="7"/>
        <v>233500.75000000093</v>
      </c>
      <c r="BH11" s="575">
        <f t="shared" si="7"/>
        <v>393093.95999999833</v>
      </c>
      <c r="BI11" s="575">
        <f t="shared" si="7"/>
        <v>299965.26999999455</v>
      </c>
      <c r="BJ11" s="575">
        <f t="shared" si="7"/>
        <v>291585.83000001137</v>
      </c>
      <c r="BK11" s="575">
        <f t="shared" si="7"/>
        <v>260819.5999999959</v>
      </c>
      <c r="BL11" s="575">
        <f t="shared" si="7"/>
        <v>71207.879999992438</v>
      </c>
      <c r="BM11" s="575">
        <f t="shared" si="7"/>
        <v>300322.15000000736</v>
      </c>
      <c r="BN11" s="575">
        <f t="shared" si="7"/>
        <v>285252.62999999989</v>
      </c>
      <c r="BO11" s="575">
        <f t="shared" si="7"/>
        <v>302389.39000000153</v>
      </c>
      <c r="BP11" s="576">
        <f t="shared" si="7"/>
        <v>279824.96999999834</v>
      </c>
      <c r="BQ11" s="574">
        <f t="shared" ref="BQ11:EB12" si="8">+BQ28+BQ60+BQ76+BQ92</f>
        <v>258286.62000000104</v>
      </c>
      <c r="BR11" s="575">
        <f t="shared" si="8"/>
        <v>257504.00999999652</v>
      </c>
      <c r="BS11" s="575">
        <f t="shared" si="8"/>
        <v>341249.93000000529</v>
      </c>
      <c r="BT11" s="575">
        <f t="shared" si="8"/>
        <v>297659.61000001058</v>
      </c>
      <c r="BU11" s="575">
        <f t="shared" si="8"/>
        <v>158151.34000000637</v>
      </c>
      <c r="BV11" s="575">
        <f t="shared" si="8"/>
        <v>317409.22999998974</v>
      </c>
      <c r="BW11" s="575">
        <f t="shared" si="8"/>
        <v>340268.74000001466</v>
      </c>
      <c r="BX11" s="575">
        <f t="shared" si="8"/>
        <v>512213.57000001147</v>
      </c>
      <c r="BY11" s="575">
        <f t="shared" si="8"/>
        <v>639405.71999996481</v>
      </c>
      <c r="BZ11" s="575">
        <f t="shared" si="8"/>
        <v>511268.2800000282</v>
      </c>
      <c r="CA11" s="575">
        <f t="shared" si="8"/>
        <v>549485.65999995684</v>
      </c>
      <c r="CB11" s="577">
        <f t="shared" si="8"/>
        <v>533492.89000001457</v>
      </c>
      <c r="CC11" s="575">
        <f t="shared" si="8"/>
        <v>1385111.1500000013</v>
      </c>
      <c r="CD11" s="575">
        <f t="shared" si="8"/>
        <v>801992.98000000033</v>
      </c>
      <c r="CE11" s="575">
        <f t="shared" si="8"/>
        <v>675143.17999999982</v>
      </c>
      <c r="CF11" s="575">
        <f t="shared" si="8"/>
        <v>571171.86999999918</v>
      </c>
      <c r="CG11" s="575">
        <f t="shared" si="8"/>
        <v>704473.59999999963</v>
      </c>
      <c r="CH11" s="575">
        <f t="shared" si="8"/>
        <v>719537.83999999985</v>
      </c>
      <c r="CI11" s="575">
        <f t="shared" si="8"/>
        <v>580924.73000000045</v>
      </c>
      <c r="CJ11" s="575">
        <f t="shared" si="8"/>
        <v>242662.72999999858</v>
      </c>
      <c r="CK11" s="575">
        <f t="shared" si="8"/>
        <v>476649.33999999985</v>
      </c>
      <c r="CL11" s="575">
        <f t="shared" si="8"/>
        <v>784309.72000000067</v>
      </c>
      <c r="CM11" s="575">
        <f t="shared" si="8"/>
        <v>81586.029999998398</v>
      </c>
      <c r="CN11" s="575">
        <f t="shared" si="8"/>
        <v>579808.1800000408</v>
      </c>
      <c r="CO11" s="575">
        <f t="shared" si="8"/>
        <v>-1239140.5800000513</v>
      </c>
      <c r="CP11" s="575">
        <f t="shared" si="8"/>
        <v>573795.25000001385</v>
      </c>
      <c r="CQ11" s="575">
        <f t="shared" si="8"/>
        <v>654241.26999999653</v>
      </c>
      <c r="CR11" s="575">
        <f t="shared" si="8"/>
        <v>152264.07000000391</v>
      </c>
      <c r="CS11" s="575">
        <f t="shared" si="8"/>
        <v>373005.97999999736</v>
      </c>
      <c r="CT11" s="575">
        <f t="shared" si="8"/>
        <v>835432.0800000031</v>
      </c>
      <c r="CU11" s="575">
        <f t="shared" si="8"/>
        <v>628207.99999999744</v>
      </c>
      <c r="CV11" s="575">
        <f t="shared" si="8"/>
        <v>340748.86999999947</v>
      </c>
      <c r="CW11" s="575">
        <f t="shared" si="8"/>
        <v>560498.66000000096</v>
      </c>
      <c r="CX11" s="575">
        <f t="shared" si="8"/>
        <v>926962.08</v>
      </c>
      <c r="CY11" s="575">
        <f t="shared" si="8"/>
        <v>256164.01000000327</v>
      </c>
      <c r="CZ11" s="575">
        <f t="shared" si="8"/>
        <v>923365.49999999022</v>
      </c>
      <c r="DA11" s="575">
        <f t="shared" si="8"/>
        <v>-967586.90999999014</v>
      </c>
      <c r="DB11" s="575">
        <f t="shared" si="8"/>
        <v>-82894.360000011104</v>
      </c>
      <c r="DC11" s="575">
        <f t="shared" si="8"/>
        <v>-83415.490000012738</v>
      </c>
      <c r="DD11" s="575">
        <f t="shared" si="8"/>
        <v>632580.45000000601</v>
      </c>
      <c r="DE11" s="575">
        <f t="shared" si="8"/>
        <v>542164.96000003337</v>
      </c>
      <c r="DF11" s="575">
        <f t="shared" si="8"/>
        <v>665219.08999994746</v>
      </c>
      <c r="DG11" s="575">
        <f t="shared" si="8"/>
        <v>765331.64999999991</v>
      </c>
      <c r="DH11" s="575">
        <f t="shared" si="8"/>
        <v>859700.50000002561</v>
      </c>
      <c r="DI11" s="575">
        <f t="shared" si="8"/>
        <v>1168502.749999986</v>
      </c>
      <c r="DJ11" s="575">
        <f t="shared" si="8"/>
        <v>539969.84000004735</v>
      </c>
      <c r="DK11" s="575">
        <f t="shared" si="8"/>
        <v>539658.47999999858</v>
      </c>
      <c r="DL11" s="575">
        <f t="shared" si="8"/>
        <v>1340437.6399999936</v>
      </c>
      <c r="DM11" s="575">
        <f t="shared" si="8"/>
        <v>1629629.6799999392</v>
      </c>
      <c r="DN11" s="575">
        <f t="shared" si="8"/>
        <v>1376378.7600000391</v>
      </c>
      <c r="DO11" s="575">
        <f t="shared" si="8"/>
        <v>1991801.5099999255</v>
      </c>
      <c r="DP11" s="575">
        <f t="shared" si="8"/>
        <v>1164509.4200000004</v>
      </c>
      <c r="DQ11" s="575">
        <f t="shared" si="8"/>
        <v>1664719.3700001012</v>
      </c>
      <c r="DR11" s="575">
        <f t="shared" si="8"/>
        <v>2531067.5400000392</v>
      </c>
      <c r="DS11" s="575">
        <f t="shared" si="8"/>
        <v>2474888.989999901</v>
      </c>
      <c r="DT11" s="575">
        <f t="shared" si="8"/>
        <v>1788665.0200001136</v>
      </c>
      <c r="DU11" s="575">
        <f t="shared" si="8"/>
        <v>2625851.1499999547</v>
      </c>
      <c r="DV11" s="575">
        <f t="shared" si="8"/>
        <v>1697400.4500000556</v>
      </c>
      <c r="DW11" s="575">
        <f t="shared" si="8"/>
        <v>2858846.6399999438</v>
      </c>
      <c r="DX11" s="575">
        <f t="shared" si="8"/>
        <v>1873548.9399999187</v>
      </c>
      <c r="DY11" s="575">
        <f t="shared" si="8"/>
        <v>-238747.49999996996</v>
      </c>
      <c r="DZ11" s="575">
        <f t="shared" si="8"/>
        <v>2158283.2900000066</v>
      </c>
      <c r="EA11" s="575">
        <f t="shared" si="8"/>
        <v>2088755.4700000351</v>
      </c>
      <c r="EB11" s="575">
        <f t="shared" si="8"/>
        <v>3890691.3299998902</v>
      </c>
      <c r="EC11" s="575">
        <f t="shared" ref="EC11:EN12" si="9">+EC28+EC60+EC76+EC92</f>
        <v>1720810.9500001182</v>
      </c>
      <c r="ED11" s="575">
        <f t="shared" si="9"/>
        <v>2371303.3100000592</v>
      </c>
      <c r="EE11" s="575">
        <f t="shared" si="9"/>
        <v>2426955.3499998804</v>
      </c>
      <c r="EF11" s="575">
        <f t="shared" si="9"/>
        <v>1229981.7699999679</v>
      </c>
      <c r="EG11" s="575">
        <f t="shared" si="9"/>
        <v>552022.94000020809</v>
      </c>
      <c r="EH11" s="575">
        <f t="shared" si="9"/>
        <v>-78233881.560000151</v>
      </c>
      <c r="EI11" s="575">
        <f t="shared" si="9"/>
        <v>0</v>
      </c>
      <c r="EJ11" s="575">
        <f t="shared" si="9"/>
        <v>0</v>
      </c>
    </row>
    <row r="12" spans="1:140" s="299" customFormat="1" ht="24" customHeight="1" thickBot="1">
      <c r="A12" s="871"/>
      <c r="B12" s="872"/>
      <c r="C12" s="879"/>
      <c r="D12" s="588" t="s">
        <v>49</v>
      </c>
      <c r="E12" s="589">
        <f t="shared" si="7"/>
        <v>150</v>
      </c>
      <c r="F12" s="590">
        <f t="shared" si="7"/>
        <v>37</v>
      </c>
      <c r="G12" s="590">
        <f t="shared" si="7"/>
        <v>78</v>
      </c>
      <c r="H12" s="564">
        <f t="shared" si="7"/>
        <v>0</v>
      </c>
      <c r="I12" s="591">
        <f t="shared" si="7"/>
        <v>35</v>
      </c>
      <c r="J12" s="566">
        <f t="shared" si="7"/>
        <v>0</v>
      </c>
      <c r="K12" s="590">
        <f t="shared" si="7"/>
        <v>32</v>
      </c>
      <c r="L12" s="590">
        <f t="shared" si="7"/>
        <v>52</v>
      </c>
      <c r="M12" s="590">
        <f t="shared" si="7"/>
        <v>89</v>
      </c>
      <c r="N12" s="590">
        <f t="shared" si="7"/>
        <v>123</v>
      </c>
      <c r="O12" s="590">
        <f t="shared" si="7"/>
        <v>109</v>
      </c>
      <c r="P12" s="590">
        <f t="shared" si="7"/>
        <v>227</v>
      </c>
      <c r="Q12" s="590">
        <f t="shared" si="7"/>
        <v>74</v>
      </c>
      <c r="R12" s="590">
        <f t="shared" si="7"/>
        <v>90</v>
      </c>
      <c r="S12" s="590">
        <f t="shared" si="7"/>
        <v>82</v>
      </c>
      <c r="T12" s="592">
        <f t="shared" si="7"/>
        <v>123</v>
      </c>
      <c r="U12" s="591">
        <f t="shared" si="7"/>
        <v>75</v>
      </c>
      <c r="V12" s="589">
        <f t="shared" si="7"/>
        <v>139</v>
      </c>
      <c r="W12" s="589">
        <f t="shared" si="7"/>
        <v>78</v>
      </c>
      <c r="X12" s="589">
        <f t="shared" si="7"/>
        <v>217</v>
      </c>
      <c r="Y12" s="589">
        <f t="shared" si="7"/>
        <v>249</v>
      </c>
      <c r="Z12" s="589">
        <f t="shared" si="7"/>
        <v>165</v>
      </c>
      <c r="AA12" s="589">
        <f t="shared" si="7"/>
        <v>147</v>
      </c>
      <c r="AB12" s="589">
        <f t="shared" si="7"/>
        <v>156</v>
      </c>
      <c r="AC12" s="589">
        <f t="shared" si="7"/>
        <v>83</v>
      </c>
      <c r="AD12" s="589">
        <f t="shared" si="7"/>
        <v>129</v>
      </c>
      <c r="AE12" s="589">
        <f t="shared" si="7"/>
        <v>130</v>
      </c>
      <c r="AF12" s="589">
        <f t="shared" si="7"/>
        <v>131</v>
      </c>
      <c r="AG12" s="589">
        <f t="shared" si="7"/>
        <v>55</v>
      </c>
      <c r="AH12" s="589">
        <f t="shared" si="7"/>
        <v>77</v>
      </c>
      <c r="AI12" s="589">
        <f t="shared" si="7"/>
        <v>56</v>
      </c>
      <c r="AJ12" s="589">
        <f t="shared" si="7"/>
        <v>67</v>
      </c>
      <c r="AK12" s="589">
        <f t="shared" si="7"/>
        <v>-38</v>
      </c>
      <c r="AL12" s="589">
        <f t="shared" si="7"/>
        <v>108</v>
      </c>
      <c r="AM12" s="589">
        <f t="shared" si="7"/>
        <v>84</v>
      </c>
      <c r="AN12" s="589">
        <f t="shared" si="7"/>
        <v>71</v>
      </c>
      <c r="AO12" s="589">
        <f t="shared" si="7"/>
        <v>78</v>
      </c>
      <c r="AP12" s="589">
        <f t="shared" si="7"/>
        <v>76</v>
      </c>
      <c r="AQ12" s="589">
        <f t="shared" si="7"/>
        <v>133</v>
      </c>
      <c r="AR12" s="589">
        <f t="shared" si="7"/>
        <v>99</v>
      </c>
      <c r="AS12" s="589">
        <f t="shared" si="7"/>
        <v>38</v>
      </c>
      <c r="AT12" s="589">
        <f t="shared" si="7"/>
        <v>65</v>
      </c>
      <c r="AU12" s="589">
        <f t="shared" si="7"/>
        <v>46</v>
      </c>
      <c r="AV12" s="589">
        <f t="shared" si="7"/>
        <v>80</v>
      </c>
      <c r="AW12" s="589">
        <f t="shared" si="7"/>
        <v>76</v>
      </c>
      <c r="AX12" s="589">
        <f t="shared" si="7"/>
        <v>75</v>
      </c>
      <c r="AY12" s="589">
        <f t="shared" si="7"/>
        <v>99</v>
      </c>
      <c r="AZ12" s="589">
        <f t="shared" si="7"/>
        <v>-20</v>
      </c>
      <c r="BA12" s="589">
        <f t="shared" si="7"/>
        <v>130</v>
      </c>
      <c r="BB12" s="589">
        <f t="shared" si="7"/>
        <v>80</v>
      </c>
      <c r="BC12" s="589">
        <f t="shared" si="7"/>
        <v>62</v>
      </c>
      <c r="BD12" s="589">
        <f t="shared" si="7"/>
        <v>52</v>
      </c>
      <c r="BE12" s="589">
        <f t="shared" si="7"/>
        <v>80</v>
      </c>
      <c r="BF12" s="589">
        <f t="shared" si="7"/>
        <v>95</v>
      </c>
      <c r="BG12" s="589">
        <f t="shared" si="7"/>
        <v>84</v>
      </c>
      <c r="BH12" s="589">
        <f t="shared" si="7"/>
        <v>100</v>
      </c>
      <c r="BI12" s="589">
        <f t="shared" si="7"/>
        <v>72</v>
      </c>
      <c r="BJ12" s="589">
        <f t="shared" si="7"/>
        <v>78</v>
      </c>
      <c r="BK12" s="589">
        <f t="shared" si="7"/>
        <v>76</v>
      </c>
      <c r="BL12" s="589">
        <f t="shared" si="7"/>
        <v>41</v>
      </c>
      <c r="BM12" s="589">
        <f t="shared" si="7"/>
        <v>68</v>
      </c>
      <c r="BN12" s="589">
        <f t="shared" si="7"/>
        <v>51</v>
      </c>
      <c r="BO12" s="589">
        <f t="shared" si="7"/>
        <v>68</v>
      </c>
      <c r="BP12" s="593">
        <f t="shared" si="7"/>
        <v>69</v>
      </c>
      <c r="BQ12" s="591">
        <f t="shared" si="8"/>
        <v>69</v>
      </c>
      <c r="BR12" s="589">
        <f t="shared" si="8"/>
        <v>41</v>
      </c>
      <c r="BS12" s="589">
        <f t="shared" si="8"/>
        <v>76</v>
      </c>
      <c r="BT12" s="589">
        <f t="shared" si="8"/>
        <v>67</v>
      </c>
      <c r="BU12" s="589">
        <f t="shared" si="8"/>
        <v>21</v>
      </c>
      <c r="BV12" s="589">
        <f t="shared" si="8"/>
        <v>69</v>
      </c>
      <c r="BW12" s="589">
        <f t="shared" si="8"/>
        <v>81</v>
      </c>
      <c r="BX12" s="589">
        <f t="shared" si="8"/>
        <v>45</v>
      </c>
      <c r="BY12" s="589">
        <f t="shared" si="8"/>
        <v>110</v>
      </c>
      <c r="BZ12" s="589">
        <f t="shared" si="8"/>
        <v>94</v>
      </c>
      <c r="CA12" s="589">
        <f t="shared" si="8"/>
        <v>80</v>
      </c>
      <c r="CB12" s="594">
        <f t="shared" si="8"/>
        <v>113</v>
      </c>
      <c r="CC12" s="589">
        <f t="shared" si="8"/>
        <v>271</v>
      </c>
      <c r="CD12" s="589">
        <f t="shared" si="8"/>
        <v>115</v>
      </c>
      <c r="CE12" s="589">
        <f t="shared" si="8"/>
        <v>133</v>
      </c>
      <c r="CF12" s="589">
        <f t="shared" si="8"/>
        <v>113</v>
      </c>
      <c r="CG12" s="589">
        <f t="shared" si="8"/>
        <v>147</v>
      </c>
      <c r="CH12" s="589">
        <f t="shared" si="8"/>
        <v>146</v>
      </c>
      <c r="CI12" s="589">
        <f t="shared" si="8"/>
        <v>89</v>
      </c>
      <c r="CJ12" s="589">
        <f t="shared" si="8"/>
        <v>-56</v>
      </c>
      <c r="CK12" s="589">
        <f t="shared" si="8"/>
        <v>62</v>
      </c>
      <c r="CL12" s="589">
        <f t="shared" si="8"/>
        <v>137</v>
      </c>
      <c r="CM12" s="589">
        <f t="shared" si="8"/>
        <v>-164</v>
      </c>
      <c r="CN12" s="589">
        <f t="shared" si="8"/>
        <v>74</v>
      </c>
      <c r="CO12" s="589">
        <f t="shared" si="8"/>
        <v>-384</v>
      </c>
      <c r="CP12" s="589">
        <f t="shared" si="8"/>
        <v>110</v>
      </c>
      <c r="CQ12" s="589">
        <f t="shared" si="8"/>
        <v>162</v>
      </c>
      <c r="CR12" s="589">
        <f t="shared" si="8"/>
        <v>53</v>
      </c>
      <c r="CS12" s="589">
        <f t="shared" si="8"/>
        <v>80</v>
      </c>
      <c r="CT12" s="589">
        <f t="shared" si="8"/>
        <v>170</v>
      </c>
      <c r="CU12" s="589">
        <f t="shared" si="8"/>
        <v>121</v>
      </c>
      <c r="CV12" s="589">
        <f t="shared" si="8"/>
        <v>81</v>
      </c>
      <c r="CW12" s="589">
        <f t="shared" si="8"/>
        <v>79</v>
      </c>
      <c r="CX12" s="589">
        <f t="shared" si="8"/>
        <v>247</v>
      </c>
      <c r="CY12" s="589">
        <f t="shared" si="8"/>
        <v>134</v>
      </c>
      <c r="CZ12" s="589">
        <f t="shared" si="8"/>
        <v>-2191</v>
      </c>
      <c r="DA12" s="589">
        <f t="shared" si="8"/>
        <v>2180</v>
      </c>
      <c r="DB12" s="589">
        <f t="shared" si="8"/>
        <v>-5</v>
      </c>
      <c r="DC12" s="589">
        <f t="shared" si="8"/>
        <v>-18</v>
      </c>
      <c r="DD12" s="589">
        <f t="shared" si="8"/>
        <v>149</v>
      </c>
      <c r="DE12" s="589">
        <f t="shared" si="8"/>
        <v>114</v>
      </c>
      <c r="DF12" s="589">
        <f t="shared" si="8"/>
        <v>106</v>
      </c>
      <c r="DG12" s="589">
        <f t="shared" si="8"/>
        <v>147</v>
      </c>
      <c r="DH12" s="589">
        <f t="shared" si="8"/>
        <v>157</v>
      </c>
      <c r="DI12" s="589">
        <f t="shared" si="8"/>
        <v>201</v>
      </c>
      <c r="DJ12" s="589">
        <f t="shared" si="8"/>
        <v>63</v>
      </c>
      <c r="DK12" s="589">
        <f t="shared" si="8"/>
        <v>45</v>
      </c>
      <c r="DL12" s="589">
        <f t="shared" si="8"/>
        <v>271</v>
      </c>
      <c r="DM12" s="589">
        <f t="shared" si="8"/>
        <v>246</v>
      </c>
      <c r="DN12" s="589">
        <f t="shared" si="8"/>
        <v>201</v>
      </c>
      <c r="DO12" s="589">
        <f t="shared" si="8"/>
        <v>283</v>
      </c>
      <c r="DP12" s="589">
        <f t="shared" si="8"/>
        <v>168</v>
      </c>
      <c r="DQ12" s="589">
        <f t="shared" si="8"/>
        <v>217</v>
      </c>
      <c r="DR12" s="589">
        <f t="shared" si="8"/>
        <v>312</v>
      </c>
      <c r="DS12" s="589">
        <f t="shared" si="8"/>
        <v>339</v>
      </c>
      <c r="DT12" s="589">
        <f t="shared" si="8"/>
        <v>243</v>
      </c>
      <c r="DU12" s="589">
        <f t="shared" si="8"/>
        <v>383</v>
      </c>
      <c r="DV12" s="589">
        <f t="shared" si="8"/>
        <v>267</v>
      </c>
      <c r="DW12" s="589">
        <f t="shared" si="8"/>
        <v>397</v>
      </c>
      <c r="DX12" s="589">
        <f t="shared" si="8"/>
        <v>227</v>
      </c>
      <c r="DY12" s="589">
        <f t="shared" si="8"/>
        <v>-53</v>
      </c>
      <c r="DZ12" s="589">
        <f t="shared" si="8"/>
        <v>299</v>
      </c>
      <c r="EA12" s="589">
        <f t="shared" si="8"/>
        <v>360</v>
      </c>
      <c r="EB12" s="589">
        <f t="shared" si="8"/>
        <v>463</v>
      </c>
      <c r="EC12" s="589">
        <f t="shared" si="9"/>
        <v>226</v>
      </c>
      <c r="ED12" s="589">
        <f t="shared" si="9"/>
        <v>296</v>
      </c>
      <c r="EE12" s="589">
        <f t="shared" si="9"/>
        <v>283</v>
      </c>
      <c r="EF12" s="589">
        <f t="shared" si="9"/>
        <v>202</v>
      </c>
      <c r="EG12" s="589">
        <f t="shared" si="9"/>
        <v>81</v>
      </c>
      <c r="EH12" s="589">
        <f t="shared" si="9"/>
        <v>-14968</v>
      </c>
      <c r="EI12" s="589">
        <f t="shared" si="9"/>
        <v>0</v>
      </c>
      <c r="EJ12" s="589">
        <f t="shared" si="9"/>
        <v>0</v>
      </c>
    </row>
    <row r="13" spans="1:140" s="300" customFormat="1" ht="24" customHeight="1">
      <c r="A13" s="871"/>
      <c r="B13" s="872"/>
      <c r="C13" s="880" t="s">
        <v>53</v>
      </c>
      <c r="D13" s="595" t="s">
        <v>48</v>
      </c>
      <c r="E13" s="596">
        <f t="shared" ref="E13:AV18" si="10">+E30+E46</f>
        <v>550832.77</v>
      </c>
      <c r="F13" s="597">
        <f t="shared" si="10"/>
        <v>697337.43</v>
      </c>
      <c r="G13" s="597">
        <f t="shared" si="10"/>
        <v>977372.64000000013</v>
      </c>
      <c r="H13" s="598">
        <f t="shared" si="10"/>
        <v>970836.90000000014</v>
      </c>
      <c r="I13" s="599">
        <f t="shared" si="10"/>
        <v>1122965</v>
      </c>
      <c r="J13" s="597">
        <f t="shared" si="10"/>
        <v>1088865.3899999999</v>
      </c>
      <c r="K13" s="597">
        <f t="shared" si="10"/>
        <v>1237400.8299999998</v>
      </c>
      <c r="L13" s="597">
        <f t="shared" si="10"/>
        <v>1329516.5399999998</v>
      </c>
      <c r="M13" s="597">
        <f t="shared" si="10"/>
        <v>1578069.9699999993</v>
      </c>
      <c r="N13" s="597">
        <f t="shared" si="10"/>
        <v>1888483.5199999996</v>
      </c>
      <c r="O13" s="597">
        <f t="shared" si="10"/>
        <v>2161300.9099999983</v>
      </c>
      <c r="P13" s="597">
        <f t="shared" si="10"/>
        <v>2861401.4799999995</v>
      </c>
      <c r="Q13" s="597">
        <f t="shared" si="10"/>
        <v>3026324.4299999997</v>
      </c>
      <c r="R13" s="597">
        <f t="shared" si="10"/>
        <v>3255278.5899999971</v>
      </c>
      <c r="S13" s="597">
        <f t="shared" si="10"/>
        <v>3412443.8799999966</v>
      </c>
      <c r="T13" s="598">
        <f t="shared" si="10"/>
        <v>3785454.2499999939</v>
      </c>
      <c r="U13" s="599">
        <f t="shared" si="10"/>
        <v>4005483.5699999938</v>
      </c>
      <c r="V13" s="596">
        <f t="shared" si="10"/>
        <v>4381299.2499999953</v>
      </c>
      <c r="W13" s="596">
        <f t="shared" si="10"/>
        <v>4570396.08</v>
      </c>
      <c r="X13" s="596">
        <f t="shared" si="10"/>
        <v>5160135.6999999993</v>
      </c>
      <c r="Y13" s="596">
        <f t="shared" si="10"/>
        <v>5783412.4000000004</v>
      </c>
      <c r="Z13" s="596">
        <f t="shared" si="10"/>
        <v>6193455.3300000001</v>
      </c>
      <c r="AA13" s="596">
        <f t="shared" si="10"/>
        <v>6561672.8300000001</v>
      </c>
      <c r="AB13" s="596">
        <f t="shared" si="10"/>
        <v>6982196.7799999993</v>
      </c>
      <c r="AC13" s="596">
        <f t="shared" si="10"/>
        <v>7162423.9800000004</v>
      </c>
      <c r="AD13" s="596">
        <f t="shared" si="10"/>
        <v>7468858.209999999</v>
      </c>
      <c r="AE13" s="596">
        <f t="shared" si="10"/>
        <v>7761043.4199999999</v>
      </c>
      <c r="AF13" s="596">
        <f t="shared" si="10"/>
        <v>8086288.7199999951</v>
      </c>
      <c r="AG13" s="596">
        <f t="shared" si="10"/>
        <v>8160745.0399999861</v>
      </c>
      <c r="AH13" s="596">
        <f t="shared" si="10"/>
        <v>8341066.2400000012</v>
      </c>
      <c r="AI13" s="596">
        <f t="shared" si="10"/>
        <v>8367534.6100000069</v>
      </c>
      <c r="AJ13" s="596">
        <f t="shared" si="10"/>
        <v>8533045.5700000003</v>
      </c>
      <c r="AK13" s="596">
        <f t="shared" si="10"/>
        <v>8362848.2700000182</v>
      </c>
      <c r="AL13" s="596">
        <f t="shared" si="10"/>
        <v>8579907.4800000023</v>
      </c>
      <c r="AM13" s="596">
        <f t="shared" si="10"/>
        <v>8750248.8599999975</v>
      </c>
      <c r="AN13" s="596">
        <f t="shared" si="10"/>
        <v>8868357.7300000004</v>
      </c>
      <c r="AO13" s="596">
        <f t="shared" si="10"/>
        <v>8939824.9600000009</v>
      </c>
      <c r="AP13" s="596">
        <f t="shared" si="10"/>
        <v>9142825.2899999991</v>
      </c>
      <c r="AQ13" s="596">
        <f t="shared" si="10"/>
        <v>9327017.9699999988</v>
      </c>
      <c r="AR13" s="596">
        <f t="shared" si="10"/>
        <v>9570498.8200000003</v>
      </c>
      <c r="AS13" s="596">
        <f t="shared" si="10"/>
        <v>9680792.6799999997</v>
      </c>
      <c r="AT13" s="596">
        <f t="shared" si="10"/>
        <v>9747581.410000002</v>
      </c>
      <c r="AU13" s="596">
        <f t="shared" si="10"/>
        <v>9860191.0999999978</v>
      </c>
      <c r="AV13" s="596">
        <f t="shared" si="10"/>
        <v>10034822.219999991</v>
      </c>
      <c r="AW13" s="596">
        <f>+AW30+AW46</f>
        <v>10283925.040000001</v>
      </c>
      <c r="AX13" s="596">
        <f>+AX30+AX46</f>
        <v>10462250.960000001</v>
      </c>
      <c r="AY13" s="596">
        <f>+AY30+AY46</f>
        <v>10732136.85</v>
      </c>
      <c r="AZ13" s="596">
        <f>+AZ30+AZ46</f>
        <v>10689132.789999999</v>
      </c>
      <c r="BA13" s="596">
        <f>+BA30+BA46</f>
        <v>11034193.99</v>
      </c>
      <c r="BB13" s="596">
        <f t="shared" ref="BB13:DM17" si="11">+BB30+BB46</f>
        <v>11344646.42</v>
      </c>
      <c r="BC13" s="596">
        <f t="shared" si="11"/>
        <v>11603730.630000001</v>
      </c>
      <c r="BD13" s="596">
        <f t="shared" si="11"/>
        <v>11772125.329999998</v>
      </c>
      <c r="BE13" s="596">
        <f t="shared" si="11"/>
        <v>12054389.399999999</v>
      </c>
      <c r="BF13" s="596">
        <f t="shared" si="11"/>
        <v>12413574.01</v>
      </c>
      <c r="BG13" s="596">
        <f t="shared" si="11"/>
        <v>12647074.76</v>
      </c>
      <c r="BH13" s="596">
        <f t="shared" si="11"/>
        <v>13040168.719999999</v>
      </c>
      <c r="BI13" s="596">
        <f t="shared" si="11"/>
        <v>13340133.989999993</v>
      </c>
      <c r="BJ13" s="596">
        <f t="shared" si="11"/>
        <v>13631719.820000004</v>
      </c>
      <c r="BK13" s="596">
        <f t="shared" si="11"/>
        <v>13892539.42</v>
      </c>
      <c r="BL13" s="596">
        <f t="shared" si="11"/>
        <v>13963747.299999993</v>
      </c>
      <c r="BM13" s="596">
        <f t="shared" si="11"/>
        <v>14264069.449999999</v>
      </c>
      <c r="BN13" s="596">
        <f t="shared" si="11"/>
        <v>14549322.08</v>
      </c>
      <c r="BO13" s="596">
        <f t="shared" si="11"/>
        <v>14851711.470000003</v>
      </c>
      <c r="BP13" s="600">
        <f t="shared" si="11"/>
        <v>15131536.439999999</v>
      </c>
      <c r="BQ13" s="599">
        <f t="shared" si="11"/>
        <v>15389823.060000001</v>
      </c>
      <c r="BR13" s="596">
        <f t="shared" si="11"/>
        <v>15647327.069999997</v>
      </c>
      <c r="BS13" s="596">
        <f t="shared" si="11"/>
        <v>15988577.000000004</v>
      </c>
      <c r="BT13" s="596">
        <f t="shared" si="11"/>
        <v>16286236.610000014</v>
      </c>
      <c r="BU13" s="596">
        <f t="shared" si="11"/>
        <v>16444387.95000002</v>
      </c>
      <c r="BV13" s="596">
        <f t="shared" si="11"/>
        <v>16761797.180000009</v>
      </c>
      <c r="BW13" s="596">
        <f t="shared" si="11"/>
        <v>17102065.920000024</v>
      </c>
      <c r="BX13" s="596">
        <f t="shared" si="11"/>
        <v>17614279.490000036</v>
      </c>
      <c r="BY13" s="596">
        <f t="shared" si="11"/>
        <v>18253685.210000001</v>
      </c>
      <c r="BZ13" s="596">
        <f t="shared" si="11"/>
        <v>18764953.490000028</v>
      </c>
      <c r="CA13" s="596">
        <f t="shared" si="11"/>
        <v>19314439.149999984</v>
      </c>
      <c r="CB13" s="601">
        <f t="shared" si="11"/>
        <v>19847932.039999999</v>
      </c>
      <c r="CC13" s="596">
        <f t="shared" si="11"/>
        <v>21233043.190000001</v>
      </c>
      <c r="CD13" s="596">
        <f t="shared" si="11"/>
        <v>22035036.170000002</v>
      </c>
      <c r="CE13" s="596">
        <f t="shared" si="11"/>
        <v>22710179.350000001</v>
      </c>
      <c r="CF13" s="596">
        <f t="shared" si="11"/>
        <v>23281351.219999999</v>
      </c>
      <c r="CG13" s="596">
        <f t="shared" si="11"/>
        <v>23985824.82</v>
      </c>
      <c r="CH13" s="596">
        <f t="shared" si="11"/>
        <v>24705362.66</v>
      </c>
      <c r="CI13" s="596">
        <f t="shared" si="11"/>
        <v>25286287.390000001</v>
      </c>
      <c r="CJ13" s="596">
        <f t="shared" si="11"/>
        <v>25528950.119999997</v>
      </c>
      <c r="CK13" s="596">
        <f t="shared" si="11"/>
        <v>26005599.460000001</v>
      </c>
      <c r="CL13" s="596">
        <f t="shared" si="11"/>
        <v>26789909.18</v>
      </c>
      <c r="CM13" s="596">
        <f t="shared" si="11"/>
        <v>26871495.209999997</v>
      </c>
      <c r="CN13" s="596">
        <f t="shared" si="11"/>
        <v>27451303.390000038</v>
      </c>
      <c r="CO13" s="596">
        <f t="shared" si="11"/>
        <v>26212162.809999987</v>
      </c>
      <c r="CP13" s="596">
        <f t="shared" si="11"/>
        <v>26785958.060000002</v>
      </c>
      <c r="CQ13" s="596">
        <f t="shared" si="11"/>
        <v>27440199.329999998</v>
      </c>
      <c r="CR13" s="596">
        <f t="shared" si="11"/>
        <v>27592463.400000002</v>
      </c>
      <c r="CS13" s="596">
        <f t="shared" si="11"/>
        <v>27965469.379999999</v>
      </c>
      <c r="CT13" s="596">
        <f t="shared" si="11"/>
        <v>28800901.460000001</v>
      </c>
      <c r="CU13" s="596">
        <f t="shared" si="11"/>
        <v>29429109.460000001</v>
      </c>
      <c r="CV13" s="596">
        <f t="shared" si="11"/>
        <v>29769858.329999998</v>
      </c>
      <c r="CW13" s="596">
        <f t="shared" si="11"/>
        <v>30330356.990000002</v>
      </c>
      <c r="CX13" s="596">
        <f t="shared" si="11"/>
        <v>31257319.07</v>
      </c>
      <c r="CY13" s="596">
        <f t="shared" si="11"/>
        <v>31513483.080000006</v>
      </c>
      <c r="CZ13" s="596">
        <f t="shared" si="11"/>
        <v>32436848.579999994</v>
      </c>
      <c r="DA13" s="596">
        <f t="shared" si="11"/>
        <v>31469261.670000002</v>
      </c>
      <c r="DB13" s="596">
        <f t="shared" si="11"/>
        <v>31386367.309999995</v>
      </c>
      <c r="DC13" s="596">
        <f t="shared" si="11"/>
        <v>31302951.819999978</v>
      </c>
      <c r="DD13" s="596">
        <f t="shared" si="11"/>
        <v>31935532.269999988</v>
      </c>
      <c r="DE13" s="596">
        <f t="shared" si="11"/>
        <v>32477697.230000019</v>
      </c>
      <c r="DF13" s="596">
        <f t="shared" si="11"/>
        <v>33142916.319999967</v>
      </c>
      <c r="DG13" s="596">
        <f t="shared" si="11"/>
        <v>33908247.969999969</v>
      </c>
      <c r="DH13" s="596">
        <f t="shared" si="11"/>
        <v>34767948.469999991</v>
      </c>
      <c r="DI13" s="596">
        <f t="shared" si="11"/>
        <v>35936451.219999976</v>
      </c>
      <c r="DJ13" s="596">
        <f t="shared" si="11"/>
        <v>36476421.060000025</v>
      </c>
      <c r="DK13" s="596">
        <f t="shared" si="11"/>
        <v>37016079.540000021</v>
      </c>
      <c r="DL13" s="596">
        <f t="shared" si="11"/>
        <v>38356517.180000022</v>
      </c>
      <c r="DM13" s="596">
        <f t="shared" si="11"/>
        <v>39986146.859999955</v>
      </c>
      <c r="DN13" s="596">
        <f t="shared" ref="DN13:EJ21" si="12">+DN30+DN46</f>
        <v>41362525.619999997</v>
      </c>
      <c r="DO13" s="596">
        <f t="shared" si="12"/>
        <v>43354327.129999921</v>
      </c>
      <c r="DP13" s="596">
        <f t="shared" si="12"/>
        <v>44518836.549999923</v>
      </c>
      <c r="DQ13" s="596">
        <f t="shared" si="12"/>
        <v>46183555.920000024</v>
      </c>
      <c r="DR13" s="596">
        <f t="shared" si="12"/>
        <v>48714623.46000006</v>
      </c>
      <c r="DS13" s="596">
        <f t="shared" si="12"/>
        <v>51189512.449999958</v>
      </c>
      <c r="DT13" s="596">
        <f t="shared" si="12"/>
        <v>52978177.470000073</v>
      </c>
      <c r="DU13" s="596">
        <f t="shared" si="12"/>
        <v>55604028.620000035</v>
      </c>
      <c r="DV13" s="596">
        <f t="shared" si="12"/>
        <v>57301429.070000082</v>
      </c>
      <c r="DW13" s="596">
        <f t="shared" si="12"/>
        <v>60160275.710000031</v>
      </c>
      <c r="DX13" s="596">
        <f t="shared" si="12"/>
        <v>62033824.649999946</v>
      </c>
      <c r="DY13" s="596">
        <f t="shared" si="12"/>
        <v>61795077.149999976</v>
      </c>
      <c r="DZ13" s="596">
        <f t="shared" si="12"/>
        <v>63953360.439999983</v>
      </c>
      <c r="EA13" s="596">
        <f t="shared" si="12"/>
        <v>66042115.910000026</v>
      </c>
      <c r="EB13" s="596">
        <f t="shared" si="12"/>
        <v>69932807.23999992</v>
      </c>
      <c r="EC13" s="596">
        <f t="shared" si="12"/>
        <v>71653618.190000027</v>
      </c>
      <c r="ED13" s="596">
        <f t="shared" si="12"/>
        <v>74024921.500000089</v>
      </c>
      <c r="EE13" s="596">
        <f t="shared" si="12"/>
        <v>76451876.849999964</v>
      </c>
      <c r="EF13" s="596">
        <f t="shared" si="12"/>
        <v>77681858.61999993</v>
      </c>
      <c r="EG13" s="596">
        <f t="shared" si="12"/>
        <v>78233881.560000151</v>
      </c>
      <c r="EH13" s="596">
        <f t="shared" si="12"/>
        <v>0</v>
      </c>
      <c r="EI13" s="596">
        <f t="shared" si="12"/>
        <v>0</v>
      </c>
      <c r="EJ13" s="596">
        <f t="shared" si="12"/>
        <v>0</v>
      </c>
    </row>
    <row r="14" spans="1:140" s="300" customFormat="1" ht="24" customHeight="1" thickBot="1">
      <c r="A14" s="871"/>
      <c r="B14" s="872"/>
      <c r="C14" s="881"/>
      <c r="D14" s="602" t="s">
        <v>49</v>
      </c>
      <c r="E14" s="603">
        <f t="shared" si="10"/>
        <v>150</v>
      </c>
      <c r="F14" s="604">
        <f t="shared" si="10"/>
        <v>187</v>
      </c>
      <c r="G14" s="604">
        <f t="shared" si="10"/>
        <v>265</v>
      </c>
      <c r="H14" s="605">
        <f t="shared" si="10"/>
        <v>264</v>
      </c>
      <c r="I14" s="606">
        <f t="shared" si="10"/>
        <v>299</v>
      </c>
      <c r="J14" s="604">
        <f t="shared" si="10"/>
        <v>294</v>
      </c>
      <c r="K14" s="604">
        <f t="shared" si="10"/>
        <v>326</v>
      </c>
      <c r="L14" s="604">
        <f t="shared" si="10"/>
        <v>378</v>
      </c>
      <c r="M14" s="604">
        <f t="shared" si="10"/>
        <v>467</v>
      </c>
      <c r="N14" s="604">
        <f t="shared" si="10"/>
        <v>590</v>
      </c>
      <c r="O14" s="604">
        <f t="shared" si="10"/>
        <v>699</v>
      </c>
      <c r="P14" s="604">
        <f t="shared" si="10"/>
        <v>926</v>
      </c>
      <c r="Q14" s="604">
        <f t="shared" si="10"/>
        <v>999</v>
      </c>
      <c r="R14" s="604">
        <f t="shared" si="10"/>
        <v>1088</v>
      </c>
      <c r="S14" s="604">
        <f t="shared" si="10"/>
        <v>1170</v>
      </c>
      <c r="T14" s="605">
        <f t="shared" si="10"/>
        <v>1293</v>
      </c>
      <c r="U14" s="606">
        <f t="shared" si="10"/>
        <v>1368</v>
      </c>
      <c r="V14" s="603">
        <f t="shared" si="10"/>
        <v>1507</v>
      </c>
      <c r="W14" s="603">
        <f t="shared" si="10"/>
        <v>1585</v>
      </c>
      <c r="X14" s="603">
        <f t="shared" si="10"/>
        <v>1802</v>
      </c>
      <c r="Y14" s="603">
        <f t="shared" si="10"/>
        <v>2051</v>
      </c>
      <c r="Z14" s="603">
        <f t="shared" si="10"/>
        <v>2216</v>
      </c>
      <c r="AA14" s="603">
        <f t="shared" si="10"/>
        <v>2363</v>
      </c>
      <c r="AB14" s="603">
        <f t="shared" si="10"/>
        <v>2519</v>
      </c>
      <c r="AC14" s="603">
        <f t="shared" si="10"/>
        <v>2602</v>
      </c>
      <c r="AD14" s="603">
        <f t="shared" si="10"/>
        <v>2731</v>
      </c>
      <c r="AE14" s="603">
        <f t="shared" si="10"/>
        <v>2861</v>
      </c>
      <c r="AF14" s="603">
        <f t="shared" si="10"/>
        <v>2992</v>
      </c>
      <c r="AG14" s="603">
        <f t="shared" si="10"/>
        <v>3047</v>
      </c>
      <c r="AH14" s="603">
        <f t="shared" si="10"/>
        <v>3124</v>
      </c>
      <c r="AI14" s="603">
        <f t="shared" si="10"/>
        <v>3180</v>
      </c>
      <c r="AJ14" s="603">
        <f t="shared" si="10"/>
        <v>3247</v>
      </c>
      <c r="AK14" s="603">
        <f t="shared" si="10"/>
        <v>3209</v>
      </c>
      <c r="AL14" s="603">
        <f t="shared" si="10"/>
        <v>3317</v>
      </c>
      <c r="AM14" s="603">
        <f t="shared" si="10"/>
        <v>3401</v>
      </c>
      <c r="AN14" s="603">
        <f t="shared" si="10"/>
        <v>3472</v>
      </c>
      <c r="AO14" s="603">
        <f t="shared" si="10"/>
        <v>3550</v>
      </c>
      <c r="AP14" s="603">
        <f t="shared" si="10"/>
        <v>3626</v>
      </c>
      <c r="AQ14" s="603">
        <f t="shared" si="10"/>
        <v>3759</v>
      </c>
      <c r="AR14" s="603">
        <f t="shared" si="10"/>
        <v>3858</v>
      </c>
      <c r="AS14" s="603">
        <f t="shared" si="10"/>
        <v>3896</v>
      </c>
      <c r="AT14" s="603">
        <f t="shared" si="10"/>
        <v>3961</v>
      </c>
      <c r="AU14" s="603">
        <f t="shared" si="10"/>
        <v>4007</v>
      </c>
      <c r="AV14" s="603">
        <f t="shared" si="10"/>
        <v>4087</v>
      </c>
      <c r="AW14" s="603">
        <f t="shared" ref="AV14:BK21" si="13">+AW31+AW47</f>
        <v>4163</v>
      </c>
      <c r="AX14" s="603">
        <f t="shared" si="13"/>
        <v>4238</v>
      </c>
      <c r="AY14" s="603">
        <f t="shared" si="13"/>
        <v>4337</v>
      </c>
      <c r="AZ14" s="603">
        <f t="shared" si="13"/>
        <v>4317</v>
      </c>
      <c r="BA14" s="603">
        <f t="shared" si="13"/>
        <v>4447</v>
      </c>
      <c r="BB14" s="603">
        <f t="shared" si="11"/>
        <v>4527</v>
      </c>
      <c r="BC14" s="603">
        <f t="shared" si="11"/>
        <v>4589</v>
      </c>
      <c r="BD14" s="603">
        <f t="shared" si="11"/>
        <v>4641</v>
      </c>
      <c r="BE14" s="603">
        <f t="shared" si="11"/>
        <v>4721</v>
      </c>
      <c r="BF14" s="603">
        <f t="shared" si="11"/>
        <v>4816</v>
      </c>
      <c r="BG14" s="603">
        <f t="shared" si="11"/>
        <v>4900</v>
      </c>
      <c r="BH14" s="603">
        <f t="shared" si="11"/>
        <v>5000</v>
      </c>
      <c r="BI14" s="603">
        <f t="shared" si="11"/>
        <v>5072</v>
      </c>
      <c r="BJ14" s="603">
        <f t="shared" si="11"/>
        <v>5150</v>
      </c>
      <c r="BK14" s="603">
        <f t="shared" si="11"/>
        <v>5226</v>
      </c>
      <c r="BL14" s="603">
        <f t="shared" si="11"/>
        <v>5267</v>
      </c>
      <c r="BM14" s="603">
        <f t="shared" si="11"/>
        <v>5335</v>
      </c>
      <c r="BN14" s="603">
        <f t="shared" si="11"/>
        <v>5386</v>
      </c>
      <c r="BO14" s="603">
        <f t="shared" si="11"/>
        <v>5454</v>
      </c>
      <c r="BP14" s="607">
        <f t="shared" si="11"/>
        <v>5523</v>
      </c>
      <c r="BQ14" s="606">
        <f t="shared" si="11"/>
        <v>5592</v>
      </c>
      <c r="BR14" s="603">
        <f t="shared" si="11"/>
        <v>5633</v>
      </c>
      <c r="BS14" s="603">
        <f t="shared" si="11"/>
        <v>5709</v>
      </c>
      <c r="BT14" s="603">
        <f t="shared" si="11"/>
        <v>5776</v>
      </c>
      <c r="BU14" s="603">
        <f t="shared" si="11"/>
        <v>5797</v>
      </c>
      <c r="BV14" s="603">
        <f t="shared" si="11"/>
        <v>5866</v>
      </c>
      <c r="BW14" s="603">
        <f t="shared" si="11"/>
        <v>5947</v>
      </c>
      <c r="BX14" s="603">
        <f t="shared" si="11"/>
        <v>5992</v>
      </c>
      <c r="BY14" s="603">
        <f t="shared" si="11"/>
        <v>6102</v>
      </c>
      <c r="BZ14" s="603">
        <f t="shared" si="11"/>
        <v>6196</v>
      </c>
      <c r="CA14" s="603">
        <f t="shared" si="11"/>
        <v>6276</v>
      </c>
      <c r="CB14" s="608">
        <f t="shared" si="11"/>
        <v>6389</v>
      </c>
      <c r="CC14" s="603">
        <f t="shared" si="11"/>
        <v>6660</v>
      </c>
      <c r="CD14" s="603">
        <f t="shared" si="11"/>
        <v>6775</v>
      </c>
      <c r="CE14" s="603">
        <f t="shared" si="11"/>
        <v>6908</v>
      </c>
      <c r="CF14" s="603">
        <f t="shared" si="11"/>
        <v>7021</v>
      </c>
      <c r="CG14" s="603">
        <f t="shared" si="11"/>
        <v>7168</v>
      </c>
      <c r="CH14" s="603">
        <f t="shared" si="11"/>
        <v>7314</v>
      </c>
      <c r="CI14" s="603">
        <f t="shared" si="11"/>
        <v>7403</v>
      </c>
      <c r="CJ14" s="603">
        <f t="shared" si="11"/>
        <v>7347</v>
      </c>
      <c r="CK14" s="603">
        <f t="shared" si="11"/>
        <v>7409</v>
      </c>
      <c r="CL14" s="603">
        <f t="shared" si="11"/>
        <v>7546</v>
      </c>
      <c r="CM14" s="603">
        <f t="shared" si="11"/>
        <v>7382</v>
      </c>
      <c r="CN14" s="603">
        <f t="shared" si="11"/>
        <v>7456</v>
      </c>
      <c r="CO14" s="603">
        <f t="shared" si="11"/>
        <v>7072</v>
      </c>
      <c r="CP14" s="603">
        <f t="shared" si="11"/>
        <v>7182</v>
      </c>
      <c r="CQ14" s="603">
        <f t="shared" si="11"/>
        <v>7344</v>
      </c>
      <c r="CR14" s="603">
        <f t="shared" si="11"/>
        <v>7397</v>
      </c>
      <c r="CS14" s="603">
        <f t="shared" si="11"/>
        <v>7477</v>
      </c>
      <c r="CT14" s="603">
        <f t="shared" si="11"/>
        <v>7647</v>
      </c>
      <c r="CU14" s="603">
        <f t="shared" si="11"/>
        <v>7768</v>
      </c>
      <c r="CV14" s="603">
        <f t="shared" si="11"/>
        <v>7849</v>
      </c>
      <c r="CW14" s="603">
        <f t="shared" si="11"/>
        <v>7928</v>
      </c>
      <c r="CX14" s="603">
        <f t="shared" si="11"/>
        <v>8175</v>
      </c>
      <c r="CY14" s="603">
        <f t="shared" si="11"/>
        <v>8309</v>
      </c>
      <c r="CZ14" s="603">
        <f t="shared" si="11"/>
        <v>6118</v>
      </c>
      <c r="DA14" s="603">
        <f t="shared" si="11"/>
        <v>8298</v>
      </c>
      <c r="DB14" s="603">
        <f t="shared" si="11"/>
        <v>8293</v>
      </c>
      <c r="DC14" s="603">
        <f t="shared" si="11"/>
        <v>8275</v>
      </c>
      <c r="DD14" s="603">
        <f t="shared" si="11"/>
        <v>8424</v>
      </c>
      <c r="DE14" s="603">
        <f t="shared" si="11"/>
        <v>8538</v>
      </c>
      <c r="DF14" s="603">
        <f t="shared" si="11"/>
        <v>8644</v>
      </c>
      <c r="DG14" s="603">
        <f t="shared" si="11"/>
        <v>8791</v>
      </c>
      <c r="DH14" s="603">
        <f t="shared" si="11"/>
        <v>8948</v>
      </c>
      <c r="DI14" s="603">
        <f t="shared" si="11"/>
        <v>9149</v>
      </c>
      <c r="DJ14" s="603">
        <f t="shared" si="11"/>
        <v>9212</v>
      </c>
      <c r="DK14" s="603">
        <f t="shared" si="11"/>
        <v>9257</v>
      </c>
      <c r="DL14" s="603">
        <f t="shared" si="11"/>
        <v>9528</v>
      </c>
      <c r="DM14" s="603">
        <f t="shared" si="11"/>
        <v>9774</v>
      </c>
      <c r="DN14" s="603">
        <f t="shared" si="12"/>
        <v>9975</v>
      </c>
      <c r="DO14" s="603">
        <f t="shared" si="12"/>
        <v>10258</v>
      </c>
      <c r="DP14" s="603">
        <f t="shared" si="12"/>
        <v>10426</v>
      </c>
      <c r="DQ14" s="603">
        <f t="shared" si="12"/>
        <v>10643</v>
      </c>
      <c r="DR14" s="603">
        <f t="shared" si="12"/>
        <v>10955</v>
      </c>
      <c r="DS14" s="603">
        <f t="shared" si="12"/>
        <v>11294</v>
      </c>
      <c r="DT14" s="603">
        <f t="shared" si="12"/>
        <v>11537</v>
      </c>
      <c r="DU14" s="603">
        <f t="shared" si="12"/>
        <v>11920</v>
      </c>
      <c r="DV14" s="603">
        <f t="shared" si="12"/>
        <v>12187</v>
      </c>
      <c r="DW14" s="603">
        <f t="shared" si="12"/>
        <v>12584</v>
      </c>
      <c r="DX14" s="603">
        <f t="shared" si="12"/>
        <v>12811</v>
      </c>
      <c r="DY14" s="603">
        <f t="shared" si="12"/>
        <v>12758</v>
      </c>
      <c r="DZ14" s="603">
        <f t="shared" si="12"/>
        <v>13057</v>
      </c>
      <c r="EA14" s="603">
        <f t="shared" si="12"/>
        <v>13417</v>
      </c>
      <c r="EB14" s="603">
        <f t="shared" si="12"/>
        <v>13880</v>
      </c>
      <c r="EC14" s="603">
        <f t="shared" si="12"/>
        <v>14106</v>
      </c>
      <c r="ED14" s="603">
        <f t="shared" si="12"/>
        <v>14402</v>
      </c>
      <c r="EE14" s="603">
        <f t="shared" si="12"/>
        <v>14685</v>
      </c>
      <c r="EF14" s="603">
        <f t="shared" si="12"/>
        <v>14887</v>
      </c>
      <c r="EG14" s="603">
        <f t="shared" si="12"/>
        <v>14968</v>
      </c>
      <c r="EH14" s="603">
        <f t="shared" si="12"/>
        <v>0</v>
      </c>
      <c r="EI14" s="603">
        <f t="shared" si="12"/>
        <v>0</v>
      </c>
      <c r="EJ14" s="603">
        <f t="shared" si="12"/>
        <v>0</v>
      </c>
    </row>
    <row r="15" spans="1:140" s="301" customFormat="1" ht="24" customHeight="1">
      <c r="A15" s="871"/>
      <c r="B15" s="872"/>
      <c r="C15" s="882" t="s">
        <v>54</v>
      </c>
      <c r="D15" s="570" t="s">
        <v>48</v>
      </c>
      <c r="E15" s="575">
        <f t="shared" si="10"/>
        <v>5193259.72</v>
      </c>
      <c r="F15" s="572">
        <f t="shared" si="10"/>
        <v>5260950.3899999997</v>
      </c>
      <c r="G15" s="572">
        <f t="shared" si="10"/>
        <v>5850948.3300000001</v>
      </c>
      <c r="H15" s="573">
        <f t="shared" si="10"/>
        <v>6001545.4500000002</v>
      </c>
      <c r="I15" s="574">
        <f t="shared" si="10"/>
        <v>16823751.52</v>
      </c>
      <c r="J15" s="572">
        <f t="shared" si="10"/>
        <v>16495865.619999999</v>
      </c>
      <c r="K15" s="572">
        <f t="shared" si="10"/>
        <v>16403305.129999999</v>
      </c>
      <c r="L15" s="572">
        <f t="shared" si="10"/>
        <v>16083927.67</v>
      </c>
      <c r="M15" s="572">
        <f t="shared" si="10"/>
        <v>16096161.129999999</v>
      </c>
      <c r="N15" s="572">
        <f t="shared" si="10"/>
        <v>16355929.030000001</v>
      </c>
      <c r="O15" s="572">
        <f t="shared" si="10"/>
        <v>16682128.43</v>
      </c>
      <c r="P15" s="572">
        <f t="shared" si="10"/>
        <v>18014402.849999998</v>
      </c>
      <c r="Q15" s="572">
        <f t="shared" si="10"/>
        <v>18370463.82</v>
      </c>
      <c r="R15" s="572">
        <f t="shared" si="10"/>
        <v>19922806.490000002</v>
      </c>
      <c r="S15" s="572">
        <f t="shared" si="10"/>
        <v>20602044.030000001</v>
      </c>
      <c r="T15" s="573">
        <f t="shared" si="10"/>
        <v>20401070.670000002</v>
      </c>
      <c r="U15" s="574">
        <f t="shared" si="10"/>
        <v>20774147.809999999</v>
      </c>
      <c r="V15" s="575">
        <f t="shared" si="10"/>
        <v>21034290.539999999</v>
      </c>
      <c r="W15" s="575">
        <f t="shared" si="10"/>
        <v>21045149.609999999</v>
      </c>
      <c r="X15" s="575">
        <f t="shared" si="10"/>
        <v>21839023.629999999</v>
      </c>
      <c r="Y15" s="575">
        <f t="shared" si="10"/>
        <v>22410914.030000001</v>
      </c>
      <c r="Z15" s="575">
        <f t="shared" si="10"/>
        <v>23145167.43</v>
      </c>
      <c r="AA15" s="575">
        <f t="shared" si="10"/>
        <v>23364395.670000002</v>
      </c>
      <c r="AB15" s="575">
        <f t="shared" si="10"/>
        <v>23603714.789999999</v>
      </c>
      <c r="AC15" s="575">
        <f t="shared" si="10"/>
        <v>23878447.530000001</v>
      </c>
      <c r="AD15" s="575">
        <f t="shared" si="10"/>
        <v>24807131.990000002</v>
      </c>
      <c r="AE15" s="575">
        <f t="shared" si="10"/>
        <v>25797218.259999998</v>
      </c>
      <c r="AF15" s="575">
        <f t="shared" si="10"/>
        <v>25402160.870000001</v>
      </c>
      <c r="AG15" s="575">
        <f t="shared" si="10"/>
        <v>25005743.93</v>
      </c>
      <c r="AH15" s="575">
        <f t="shared" si="10"/>
        <v>25683812.859999999</v>
      </c>
      <c r="AI15" s="575">
        <f t="shared" si="10"/>
        <v>25344035.66</v>
      </c>
      <c r="AJ15" s="575">
        <f t="shared" si="10"/>
        <v>25306272.18</v>
      </c>
      <c r="AK15" s="575">
        <f t="shared" si="10"/>
        <v>25762611.119999997</v>
      </c>
      <c r="AL15" s="575">
        <f t="shared" si="10"/>
        <v>25365654.809999991</v>
      </c>
      <c r="AM15" s="575">
        <f t="shared" si="10"/>
        <v>26624099.859999999</v>
      </c>
      <c r="AN15" s="575">
        <f t="shared" si="10"/>
        <v>26490002.810000002</v>
      </c>
      <c r="AO15" s="575">
        <f t="shared" si="10"/>
        <v>26391226.68</v>
      </c>
      <c r="AP15" s="575">
        <f t="shared" si="10"/>
        <v>27348429.07</v>
      </c>
      <c r="AQ15" s="575">
        <f t="shared" si="10"/>
        <v>29465166.800000004</v>
      </c>
      <c r="AR15" s="575">
        <f t="shared" si="10"/>
        <v>30060619.700000003</v>
      </c>
      <c r="AS15" s="575">
        <f t="shared" si="10"/>
        <v>30346420.949999999</v>
      </c>
      <c r="AT15" s="575">
        <f t="shared" si="10"/>
        <v>30510195.859999999</v>
      </c>
      <c r="AU15" s="575">
        <f t="shared" si="10"/>
        <v>31187555.689999998</v>
      </c>
      <c r="AV15" s="575">
        <f t="shared" si="13"/>
        <v>31458252.289999999</v>
      </c>
      <c r="AW15" s="575">
        <f t="shared" si="13"/>
        <v>31808652.439999998</v>
      </c>
      <c r="AX15" s="575">
        <f t="shared" si="13"/>
        <v>32283930.559999999</v>
      </c>
      <c r="AY15" s="575">
        <f t="shared" si="13"/>
        <v>35442717.789999999</v>
      </c>
      <c r="AZ15" s="575">
        <f t="shared" si="13"/>
        <v>36380228.239999995</v>
      </c>
      <c r="BA15" s="575">
        <f t="shared" si="13"/>
        <v>38450327.370000005</v>
      </c>
      <c r="BB15" s="575">
        <f t="shared" si="11"/>
        <v>38212118.329999998</v>
      </c>
      <c r="BC15" s="575">
        <f t="shared" si="11"/>
        <v>39020430.630000003</v>
      </c>
      <c r="BD15" s="575">
        <f t="shared" si="11"/>
        <v>39085511.109999999</v>
      </c>
      <c r="BE15" s="575">
        <f t="shared" si="11"/>
        <v>39393544.629999995</v>
      </c>
      <c r="BF15" s="575">
        <f t="shared" si="11"/>
        <v>40155380.390000001</v>
      </c>
      <c r="BG15" s="575">
        <f t="shared" si="11"/>
        <v>40879198.57</v>
      </c>
      <c r="BH15" s="575">
        <f t="shared" si="11"/>
        <v>40505294.68</v>
      </c>
      <c r="BI15" s="575">
        <f t="shared" si="11"/>
        <v>41630724.020000003</v>
      </c>
      <c r="BJ15" s="575">
        <f t="shared" si="11"/>
        <v>42533629.989999995</v>
      </c>
      <c r="BK15" s="575">
        <f t="shared" si="11"/>
        <v>46125655.700000003</v>
      </c>
      <c r="BL15" s="575">
        <f t="shared" si="11"/>
        <v>47207609.590000004</v>
      </c>
      <c r="BM15" s="575">
        <f t="shared" si="11"/>
        <v>52724851.459999904</v>
      </c>
      <c r="BN15" s="575">
        <f t="shared" si="11"/>
        <v>54826985.93</v>
      </c>
      <c r="BO15" s="575">
        <f t="shared" si="11"/>
        <v>56502404.189999998</v>
      </c>
      <c r="BP15" s="576">
        <f t="shared" si="11"/>
        <v>56504472.599999994</v>
      </c>
      <c r="BQ15" s="574">
        <f t="shared" si="11"/>
        <v>56501130.039999999</v>
      </c>
      <c r="BR15" s="575">
        <f t="shared" si="11"/>
        <v>57228526.090000004</v>
      </c>
      <c r="BS15" s="575">
        <f t="shared" si="11"/>
        <v>58272091.980000004</v>
      </c>
      <c r="BT15" s="575">
        <f t="shared" si="11"/>
        <v>61591883.630000003</v>
      </c>
      <c r="BU15" s="575">
        <f t="shared" si="11"/>
        <v>64298442.120000005</v>
      </c>
      <c r="BV15" s="575">
        <f t="shared" si="11"/>
        <v>67112854.219999999</v>
      </c>
      <c r="BW15" s="575">
        <f t="shared" si="11"/>
        <v>72290641.829999998</v>
      </c>
      <c r="BX15" s="575">
        <f t="shared" si="11"/>
        <v>78710169.769999996</v>
      </c>
      <c r="BY15" s="575">
        <f t="shared" si="11"/>
        <v>86205126</v>
      </c>
      <c r="BZ15" s="575">
        <f t="shared" si="11"/>
        <v>92041902.499999985</v>
      </c>
      <c r="CA15" s="575">
        <f t="shared" si="11"/>
        <v>97081217.469999984</v>
      </c>
      <c r="CB15" s="577">
        <f t="shared" si="11"/>
        <v>97464130.930000007</v>
      </c>
      <c r="CC15" s="575">
        <f t="shared" si="11"/>
        <v>99957463.50999999</v>
      </c>
      <c r="CD15" s="575">
        <f t="shared" si="11"/>
        <v>100422842.8</v>
      </c>
      <c r="CE15" s="575">
        <f t="shared" si="11"/>
        <v>107889815.60000001</v>
      </c>
      <c r="CF15" s="575">
        <f t="shared" si="11"/>
        <v>118156776.38</v>
      </c>
      <c r="CG15" s="575">
        <f t="shared" si="11"/>
        <v>126028954.46000001</v>
      </c>
      <c r="CH15" s="575">
        <f t="shared" si="11"/>
        <v>137106419.27000001</v>
      </c>
      <c r="CI15" s="575">
        <f t="shared" si="11"/>
        <v>148852940.07999998</v>
      </c>
      <c r="CJ15" s="575">
        <f t="shared" si="11"/>
        <v>154904461.36999992</v>
      </c>
      <c r="CK15" s="575">
        <f t="shared" si="11"/>
        <v>164108283.01000002</v>
      </c>
      <c r="CL15" s="575">
        <f t="shared" si="11"/>
        <v>164125286.09999996</v>
      </c>
      <c r="CM15" s="575">
        <f>+CM32+CM48</f>
        <v>160747649.85999998</v>
      </c>
      <c r="CN15" s="575">
        <f t="shared" si="11"/>
        <v>155870055.75999999</v>
      </c>
      <c r="CO15" s="575">
        <f t="shared" si="11"/>
        <v>151447243.84999999</v>
      </c>
      <c r="CP15" s="575">
        <f t="shared" si="11"/>
        <v>156925992.53999999</v>
      </c>
      <c r="CQ15" s="575">
        <f t="shared" si="11"/>
        <v>159156781.26000002</v>
      </c>
      <c r="CR15" s="575">
        <f t="shared" si="11"/>
        <v>158165354.98000002</v>
      </c>
      <c r="CS15" s="575">
        <f t="shared" si="11"/>
        <v>158438235.73999998</v>
      </c>
      <c r="CT15" s="575">
        <f t="shared" si="11"/>
        <v>159351332.79000002</v>
      </c>
      <c r="CU15" s="575">
        <f t="shared" si="11"/>
        <v>167241182.13</v>
      </c>
      <c r="CV15" s="575">
        <f t="shared" si="11"/>
        <v>168490039.19999999</v>
      </c>
      <c r="CW15" s="575">
        <f t="shared" si="11"/>
        <v>172640971.72</v>
      </c>
      <c r="CX15" s="575">
        <f t="shared" si="11"/>
        <v>181221522.17999998</v>
      </c>
      <c r="CY15" s="575">
        <f t="shared" si="11"/>
        <v>179478032.33999997</v>
      </c>
      <c r="CZ15" s="575">
        <f t="shared" si="11"/>
        <v>169259749.60000002</v>
      </c>
      <c r="DA15" s="575">
        <f t="shared" si="11"/>
        <v>166628582.36000001</v>
      </c>
      <c r="DB15" s="575">
        <f t="shared" si="11"/>
        <v>170975601.46000001</v>
      </c>
      <c r="DC15" s="575">
        <f t="shared" si="11"/>
        <v>172041904.21000001</v>
      </c>
      <c r="DD15" s="575">
        <f t="shared" si="11"/>
        <v>175613611.59</v>
      </c>
      <c r="DE15" s="575">
        <f t="shared" si="11"/>
        <v>182300038.48999998</v>
      </c>
      <c r="DF15" s="575">
        <f t="shared" si="11"/>
        <v>180799294.24000001</v>
      </c>
      <c r="DG15" s="575">
        <f t="shared" si="11"/>
        <v>187276498.51000002</v>
      </c>
      <c r="DH15" s="575">
        <f t="shared" si="11"/>
        <v>180403238.90000001</v>
      </c>
      <c r="DI15" s="575">
        <f t="shared" si="11"/>
        <v>184242388.83999997</v>
      </c>
      <c r="DJ15" s="575">
        <f t="shared" si="11"/>
        <v>186656807.39999998</v>
      </c>
      <c r="DK15" s="575">
        <f t="shared" si="11"/>
        <v>184068258.39999998</v>
      </c>
      <c r="DL15" s="575">
        <f t="shared" si="11"/>
        <v>188878635.05000001</v>
      </c>
      <c r="DM15" s="575">
        <f t="shared" si="11"/>
        <v>192977351.09000003</v>
      </c>
      <c r="DN15" s="575">
        <f t="shared" si="12"/>
        <v>197368524.03</v>
      </c>
      <c r="DO15" s="575">
        <f t="shared" si="12"/>
        <v>209430988.33999997</v>
      </c>
      <c r="DP15" s="575">
        <f t="shared" si="12"/>
        <v>210316917.77000001</v>
      </c>
      <c r="DQ15" s="575">
        <f t="shared" si="12"/>
        <v>221275038.32000002</v>
      </c>
      <c r="DR15" s="575">
        <f t="shared" si="12"/>
        <v>223610529.81</v>
      </c>
      <c r="DS15" s="575">
        <f t="shared" si="12"/>
        <v>228978796.87</v>
      </c>
      <c r="DT15" s="575">
        <f t="shared" si="12"/>
        <v>228507919.24000001</v>
      </c>
      <c r="DU15" s="575">
        <f t="shared" si="12"/>
        <v>234369652.5</v>
      </c>
      <c r="DV15" s="575">
        <f t="shared" si="12"/>
        <v>237003258.13</v>
      </c>
      <c r="DW15" s="575">
        <f t="shared" si="12"/>
        <v>239804900.38999999</v>
      </c>
      <c r="DX15" s="575">
        <f t="shared" si="12"/>
        <v>232229911.18000001</v>
      </c>
      <c r="DY15" s="575">
        <f t="shared" si="12"/>
        <v>223829353.66</v>
      </c>
      <c r="DZ15" s="575">
        <f t="shared" si="12"/>
        <v>227334590.38999999</v>
      </c>
      <c r="EA15" s="575">
        <f t="shared" si="12"/>
        <v>235907044.94</v>
      </c>
      <c r="EB15" s="575">
        <f t="shared" si="12"/>
        <v>242329424.13</v>
      </c>
      <c r="EC15" s="575">
        <f t="shared" si="12"/>
        <v>240380604.79000002</v>
      </c>
      <c r="ED15" s="575">
        <f t="shared" si="12"/>
        <v>236620362.81000003</v>
      </c>
      <c r="EE15" s="575">
        <f t="shared" si="12"/>
        <v>242363391.00999999</v>
      </c>
      <c r="EF15" s="575">
        <f t="shared" si="12"/>
        <v>238473509.75000003</v>
      </c>
      <c r="EG15" s="575">
        <f t="shared" si="12"/>
        <v>248571598.41</v>
      </c>
      <c r="EH15" s="575">
        <f t="shared" si="12"/>
        <v>0</v>
      </c>
      <c r="EI15" s="575">
        <f t="shared" si="12"/>
        <v>0</v>
      </c>
      <c r="EJ15" s="575">
        <f t="shared" si="12"/>
        <v>0</v>
      </c>
    </row>
    <row r="16" spans="1:140" s="301" customFormat="1" ht="36.75" customHeight="1">
      <c r="A16" s="871"/>
      <c r="B16" s="872"/>
      <c r="C16" s="876"/>
      <c r="D16" s="561" t="s">
        <v>49</v>
      </c>
      <c r="E16" s="582">
        <f t="shared" si="10"/>
        <v>2213</v>
      </c>
      <c r="F16" s="579">
        <f t="shared" si="10"/>
        <v>2302</v>
      </c>
      <c r="G16" s="579">
        <f t="shared" si="10"/>
        <v>2628</v>
      </c>
      <c r="H16" s="580">
        <f t="shared" si="10"/>
        <v>2654</v>
      </c>
      <c r="I16" s="581">
        <f t="shared" si="10"/>
        <v>10073</v>
      </c>
      <c r="J16" s="579">
        <f t="shared" si="10"/>
        <v>9966</v>
      </c>
      <c r="K16" s="579">
        <f t="shared" si="10"/>
        <v>10070</v>
      </c>
      <c r="L16" s="579">
        <f t="shared" si="10"/>
        <v>9923</v>
      </c>
      <c r="M16" s="579">
        <f t="shared" si="10"/>
        <v>9742</v>
      </c>
      <c r="N16" s="579">
        <f t="shared" si="10"/>
        <v>9889</v>
      </c>
      <c r="O16" s="579">
        <f t="shared" si="10"/>
        <v>9788</v>
      </c>
      <c r="P16" s="579">
        <f t="shared" si="10"/>
        <v>10508</v>
      </c>
      <c r="Q16" s="579">
        <f t="shared" si="10"/>
        <v>10640</v>
      </c>
      <c r="R16" s="579">
        <f t="shared" si="10"/>
        <v>11377</v>
      </c>
      <c r="S16" s="579">
        <f t="shared" si="10"/>
        <v>11619</v>
      </c>
      <c r="T16" s="580">
        <f t="shared" si="10"/>
        <v>11387</v>
      </c>
      <c r="U16" s="581">
        <f t="shared" si="10"/>
        <v>11710</v>
      </c>
      <c r="V16" s="582">
        <f t="shared" si="10"/>
        <v>11586</v>
      </c>
      <c r="W16" s="582">
        <f t="shared" si="10"/>
        <v>11316</v>
      </c>
      <c r="X16" s="582">
        <f t="shared" si="10"/>
        <v>11532</v>
      </c>
      <c r="Y16" s="582">
        <f t="shared" si="10"/>
        <v>11806</v>
      </c>
      <c r="Z16" s="582">
        <f t="shared" si="10"/>
        <v>12126</v>
      </c>
      <c r="AA16" s="582">
        <f t="shared" si="10"/>
        <v>11863</v>
      </c>
      <c r="AB16" s="582">
        <f t="shared" si="10"/>
        <v>11545</v>
      </c>
      <c r="AC16" s="582">
        <f t="shared" si="10"/>
        <v>11477</v>
      </c>
      <c r="AD16" s="582">
        <f t="shared" si="10"/>
        <v>11561</v>
      </c>
      <c r="AE16" s="582">
        <f t="shared" si="10"/>
        <v>12169</v>
      </c>
      <c r="AF16" s="582">
        <f t="shared" si="10"/>
        <v>11943</v>
      </c>
      <c r="AG16" s="582">
        <f t="shared" si="10"/>
        <v>11839</v>
      </c>
      <c r="AH16" s="582">
        <f t="shared" si="10"/>
        <v>12306</v>
      </c>
      <c r="AI16" s="582">
        <f t="shared" si="10"/>
        <v>12983</v>
      </c>
      <c r="AJ16" s="582">
        <f t="shared" si="10"/>
        <v>13056</v>
      </c>
      <c r="AK16" s="582">
        <f t="shared" si="10"/>
        <v>14035</v>
      </c>
      <c r="AL16" s="582">
        <f t="shared" si="10"/>
        <v>14862</v>
      </c>
      <c r="AM16" s="582">
        <f t="shared" si="10"/>
        <v>16474</v>
      </c>
      <c r="AN16" s="582">
        <f t="shared" si="10"/>
        <v>16716</v>
      </c>
      <c r="AO16" s="582">
        <f t="shared" si="10"/>
        <v>14093</v>
      </c>
      <c r="AP16" s="582">
        <f t="shared" si="10"/>
        <v>17191</v>
      </c>
      <c r="AQ16" s="582">
        <f t="shared" si="10"/>
        <v>17662</v>
      </c>
      <c r="AR16" s="582">
        <f t="shared" si="10"/>
        <v>18639</v>
      </c>
      <c r="AS16" s="582">
        <f t="shared" si="10"/>
        <v>20050</v>
      </c>
      <c r="AT16" s="582">
        <f t="shared" si="10"/>
        <v>21146</v>
      </c>
      <c r="AU16" s="582">
        <f t="shared" si="10"/>
        <v>22193</v>
      </c>
      <c r="AV16" s="582">
        <f t="shared" si="13"/>
        <v>22171</v>
      </c>
      <c r="AW16" s="582">
        <f t="shared" si="13"/>
        <v>22531</v>
      </c>
      <c r="AX16" s="582">
        <f t="shared" si="13"/>
        <v>22491</v>
      </c>
      <c r="AY16" s="582">
        <f t="shared" si="13"/>
        <v>24064</v>
      </c>
      <c r="AZ16" s="582">
        <f t="shared" si="13"/>
        <v>24583</v>
      </c>
      <c r="BA16" s="582">
        <f t="shared" si="13"/>
        <v>25921</v>
      </c>
      <c r="BB16" s="582">
        <f t="shared" si="11"/>
        <v>25379</v>
      </c>
      <c r="BC16" s="582">
        <f t="shared" si="11"/>
        <v>25495</v>
      </c>
      <c r="BD16" s="582">
        <f t="shared" si="11"/>
        <v>30303</v>
      </c>
      <c r="BE16" s="582">
        <f t="shared" si="11"/>
        <v>32168</v>
      </c>
      <c r="BF16" s="582">
        <f t="shared" si="11"/>
        <v>30161</v>
      </c>
      <c r="BG16" s="582">
        <f t="shared" si="11"/>
        <v>29818</v>
      </c>
      <c r="BH16" s="582">
        <f t="shared" si="11"/>
        <v>29653</v>
      </c>
      <c r="BI16" s="582">
        <f t="shared" si="11"/>
        <v>29694</v>
      </c>
      <c r="BJ16" s="582">
        <f t="shared" si="11"/>
        <v>28418.01772</v>
      </c>
      <c r="BK16" s="582">
        <f t="shared" si="11"/>
        <v>28679</v>
      </c>
      <c r="BL16" s="582">
        <f t="shared" si="11"/>
        <v>29275</v>
      </c>
      <c r="BM16" s="582">
        <f t="shared" si="11"/>
        <v>31757</v>
      </c>
      <c r="BN16" s="582">
        <f t="shared" si="11"/>
        <v>31190</v>
      </c>
      <c r="BO16" s="582">
        <f t="shared" si="11"/>
        <v>31651</v>
      </c>
      <c r="BP16" s="583">
        <f t="shared" si="11"/>
        <v>31368</v>
      </c>
      <c r="BQ16" s="581">
        <f t="shared" si="11"/>
        <v>30944</v>
      </c>
      <c r="BR16" s="582">
        <f t="shared" si="11"/>
        <v>30526</v>
      </c>
      <c r="BS16" s="582">
        <f t="shared" si="11"/>
        <v>30652</v>
      </c>
      <c r="BT16" s="582">
        <f t="shared" si="11"/>
        <v>31367</v>
      </c>
      <c r="BU16" s="582">
        <f t="shared" si="11"/>
        <v>32366</v>
      </c>
      <c r="BV16" s="582">
        <f t="shared" si="11"/>
        <v>32767</v>
      </c>
      <c r="BW16" s="582">
        <f t="shared" si="11"/>
        <v>34049</v>
      </c>
      <c r="BX16" s="582">
        <f t="shared" si="11"/>
        <v>35478</v>
      </c>
      <c r="BY16" s="582">
        <f t="shared" si="11"/>
        <v>38182</v>
      </c>
      <c r="BZ16" s="582">
        <f t="shared" si="11"/>
        <v>39935</v>
      </c>
      <c r="CA16" s="582">
        <f t="shared" si="11"/>
        <v>41555</v>
      </c>
      <c r="CB16" s="584">
        <f t="shared" si="11"/>
        <v>41263</v>
      </c>
      <c r="CC16" s="582">
        <f t="shared" si="11"/>
        <v>41866</v>
      </c>
      <c r="CD16" s="582">
        <f t="shared" si="11"/>
        <v>41472</v>
      </c>
      <c r="CE16" s="582">
        <f t="shared" si="11"/>
        <v>43804</v>
      </c>
      <c r="CF16" s="582">
        <f t="shared" si="11"/>
        <v>47436</v>
      </c>
      <c r="CG16" s="582">
        <f t="shared" si="11"/>
        <v>50028</v>
      </c>
      <c r="CH16" s="582">
        <f t="shared" si="11"/>
        <v>53721</v>
      </c>
      <c r="CI16" s="582">
        <f t="shared" si="11"/>
        <v>57246</v>
      </c>
      <c r="CJ16" s="582">
        <f t="shared" si="11"/>
        <v>59608</v>
      </c>
      <c r="CK16" s="582">
        <f t="shared" si="11"/>
        <v>62532</v>
      </c>
      <c r="CL16" s="582">
        <f t="shared" si="11"/>
        <v>62969</v>
      </c>
      <c r="CM16" s="582">
        <f t="shared" si="11"/>
        <v>56264</v>
      </c>
      <c r="CN16" s="582">
        <f t="shared" si="11"/>
        <v>51066</v>
      </c>
      <c r="CO16" s="582">
        <f t="shared" si="11"/>
        <v>48851</v>
      </c>
      <c r="CP16" s="582">
        <f t="shared" si="11"/>
        <v>50334</v>
      </c>
      <c r="CQ16" s="582">
        <f t="shared" si="11"/>
        <v>48892</v>
      </c>
      <c r="CR16" s="582">
        <f t="shared" si="11"/>
        <v>48541</v>
      </c>
      <c r="CS16" s="582">
        <f t="shared" si="11"/>
        <v>47881</v>
      </c>
      <c r="CT16" s="582">
        <f t="shared" si="11"/>
        <v>48356</v>
      </c>
      <c r="CU16" s="582">
        <f t="shared" si="11"/>
        <v>50147</v>
      </c>
      <c r="CV16" s="582">
        <f t="shared" si="11"/>
        <v>50356</v>
      </c>
      <c r="CW16" s="582">
        <f t="shared" si="11"/>
        <v>50953</v>
      </c>
      <c r="CX16" s="582">
        <f t="shared" si="11"/>
        <v>52599</v>
      </c>
      <c r="CY16" s="582">
        <f t="shared" si="11"/>
        <v>51335</v>
      </c>
      <c r="CZ16" s="582">
        <f t="shared" si="11"/>
        <v>41963</v>
      </c>
      <c r="DA16" s="582">
        <f>+DA33+DA49</f>
        <v>42178</v>
      </c>
      <c r="DB16" s="582">
        <f t="shared" si="11"/>
        <v>40727</v>
      </c>
      <c r="DC16" s="582">
        <f t="shared" si="11"/>
        <v>40339</v>
      </c>
      <c r="DD16" s="582">
        <f t="shared" si="11"/>
        <v>41119</v>
      </c>
      <c r="DE16" s="582">
        <f t="shared" si="11"/>
        <v>42118</v>
      </c>
      <c r="DF16" s="582">
        <f t="shared" si="11"/>
        <v>41089</v>
      </c>
      <c r="DG16" s="582">
        <f t="shared" si="11"/>
        <v>42193</v>
      </c>
      <c r="DH16" s="582">
        <f t="shared" si="11"/>
        <v>40776</v>
      </c>
      <c r="DI16" s="582">
        <f t="shared" si="11"/>
        <v>41061</v>
      </c>
      <c r="DJ16" s="582">
        <f t="shared" si="11"/>
        <v>41268</v>
      </c>
      <c r="DK16" s="582">
        <f t="shared" si="11"/>
        <v>40463</v>
      </c>
      <c r="DL16" s="582">
        <f t="shared" si="11"/>
        <v>40564</v>
      </c>
      <c r="DM16" s="582">
        <f t="shared" si="11"/>
        <v>40385</v>
      </c>
      <c r="DN16" s="582">
        <f t="shared" si="12"/>
        <v>40910</v>
      </c>
      <c r="DO16" s="582">
        <f t="shared" si="12"/>
        <v>42499</v>
      </c>
      <c r="DP16" s="582">
        <f t="shared" si="12"/>
        <v>42824</v>
      </c>
      <c r="DQ16" s="582">
        <f t="shared" si="12"/>
        <v>44719</v>
      </c>
      <c r="DR16" s="582">
        <f t="shared" si="12"/>
        <v>44852</v>
      </c>
      <c r="DS16" s="582">
        <f t="shared" si="12"/>
        <v>45670</v>
      </c>
      <c r="DT16" s="582">
        <f t="shared" si="12"/>
        <v>45440</v>
      </c>
      <c r="DU16" s="582">
        <f t="shared" si="12"/>
        <v>46168</v>
      </c>
      <c r="DV16" s="582">
        <f t="shared" si="12"/>
        <v>46275</v>
      </c>
      <c r="DW16" s="582">
        <f t="shared" si="12"/>
        <v>46489</v>
      </c>
      <c r="DX16" s="582">
        <f t="shared" si="12"/>
        <v>44705</v>
      </c>
      <c r="DY16" s="582">
        <f t="shared" si="12"/>
        <v>42746</v>
      </c>
      <c r="DZ16" s="582">
        <f t="shared" si="12"/>
        <v>42933</v>
      </c>
      <c r="EA16" s="582">
        <f t="shared" si="12"/>
        <v>44141</v>
      </c>
      <c r="EB16" s="582">
        <f t="shared" si="12"/>
        <v>45197</v>
      </c>
      <c r="EC16" s="582">
        <f t="shared" si="12"/>
        <v>44890</v>
      </c>
      <c r="ED16" s="582">
        <f t="shared" si="12"/>
        <v>44176</v>
      </c>
      <c r="EE16" s="582">
        <f t="shared" si="12"/>
        <v>45131</v>
      </c>
      <c r="EF16" s="582">
        <f t="shared" si="12"/>
        <v>44387</v>
      </c>
      <c r="EG16" s="582">
        <f t="shared" si="12"/>
        <v>46444</v>
      </c>
      <c r="EH16" s="582">
        <f t="shared" si="12"/>
        <v>0</v>
      </c>
      <c r="EI16" s="582">
        <f t="shared" si="12"/>
        <v>0</v>
      </c>
      <c r="EJ16" s="582">
        <f t="shared" si="12"/>
        <v>0</v>
      </c>
    </row>
    <row r="17" spans="1:142" s="301" customFormat="1" ht="24" customHeight="1">
      <c r="A17" s="871"/>
      <c r="B17" s="872"/>
      <c r="C17" s="883" t="s">
        <v>55</v>
      </c>
      <c r="D17" s="570" t="s">
        <v>48</v>
      </c>
      <c r="E17" s="575">
        <f t="shared" si="10"/>
        <v>4642426.9499999993</v>
      </c>
      <c r="F17" s="572">
        <f t="shared" si="10"/>
        <v>4563612.96</v>
      </c>
      <c r="G17" s="572">
        <f t="shared" si="10"/>
        <v>4873575.6899999995</v>
      </c>
      <c r="H17" s="573">
        <f t="shared" si="10"/>
        <v>5030708.55</v>
      </c>
      <c r="I17" s="574">
        <f t="shared" si="10"/>
        <v>15700786.52</v>
      </c>
      <c r="J17" s="572">
        <f t="shared" si="10"/>
        <v>15407000.23</v>
      </c>
      <c r="K17" s="572">
        <f t="shared" si="10"/>
        <v>15165904.300000001</v>
      </c>
      <c r="L17" s="572">
        <f t="shared" si="10"/>
        <v>14754411.129999999</v>
      </c>
      <c r="M17" s="572">
        <f t="shared" si="10"/>
        <v>14518091.16</v>
      </c>
      <c r="N17" s="572">
        <f t="shared" si="10"/>
        <v>14467445.510000002</v>
      </c>
      <c r="O17" s="572">
        <f t="shared" si="10"/>
        <v>14520827.520000003</v>
      </c>
      <c r="P17" s="572">
        <f t="shared" si="10"/>
        <v>15153001.370000001</v>
      </c>
      <c r="Q17" s="572">
        <f t="shared" si="10"/>
        <v>15344139.390000001</v>
      </c>
      <c r="R17" s="572">
        <f t="shared" si="10"/>
        <v>16667527.900000004</v>
      </c>
      <c r="S17" s="572">
        <f t="shared" si="10"/>
        <v>17189600.150000002</v>
      </c>
      <c r="T17" s="573">
        <f t="shared" si="10"/>
        <v>16615616.420000006</v>
      </c>
      <c r="U17" s="574">
        <f t="shared" si="10"/>
        <v>16768664.240000006</v>
      </c>
      <c r="V17" s="575">
        <f t="shared" si="10"/>
        <v>16652991.290000005</v>
      </c>
      <c r="W17" s="575">
        <f t="shared" si="10"/>
        <v>16474753.529999999</v>
      </c>
      <c r="X17" s="575">
        <f t="shared" si="10"/>
        <v>16678887.93</v>
      </c>
      <c r="Y17" s="575">
        <f t="shared" si="10"/>
        <v>16627501.629999999</v>
      </c>
      <c r="Z17" s="575">
        <f t="shared" si="10"/>
        <v>16951712.099999998</v>
      </c>
      <c r="AA17" s="575">
        <f t="shared" si="10"/>
        <v>16802722.84</v>
      </c>
      <c r="AB17" s="575">
        <f t="shared" si="10"/>
        <v>16621518.010000002</v>
      </c>
      <c r="AC17" s="575">
        <f t="shared" si="10"/>
        <v>16716023.550000001</v>
      </c>
      <c r="AD17" s="575">
        <f t="shared" si="10"/>
        <v>17338273.780000001</v>
      </c>
      <c r="AE17" s="575">
        <f t="shared" si="10"/>
        <v>18036174.84</v>
      </c>
      <c r="AF17" s="575">
        <f t="shared" si="10"/>
        <v>17315872.150000006</v>
      </c>
      <c r="AG17" s="575">
        <f t="shared" si="10"/>
        <v>16844998.890000012</v>
      </c>
      <c r="AH17" s="575">
        <f t="shared" si="10"/>
        <v>17342746.619999997</v>
      </c>
      <c r="AI17" s="575">
        <f t="shared" si="10"/>
        <v>16976501.049999993</v>
      </c>
      <c r="AJ17" s="575">
        <f t="shared" si="10"/>
        <v>16773226.609999999</v>
      </c>
      <c r="AK17" s="575">
        <f t="shared" si="10"/>
        <v>17399762.849999979</v>
      </c>
      <c r="AL17" s="575">
        <f t="shared" si="10"/>
        <v>16785747.329999991</v>
      </c>
      <c r="AM17" s="575">
        <f t="shared" si="10"/>
        <v>17873851.000000004</v>
      </c>
      <c r="AN17" s="575">
        <f t="shared" si="10"/>
        <v>17621645.079999998</v>
      </c>
      <c r="AO17" s="575">
        <f t="shared" si="10"/>
        <v>17451401.719999999</v>
      </c>
      <c r="AP17" s="575">
        <f t="shared" si="10"/>
        <v>18205603.780000001</v>
      </c>
      <c r="AQ17" s="575">
        <f t="shared" si="10"/>
        <v>20138148.830000002</v>
      </c>
      <c r="AR17" s="575">
        <f t="shared" si="10"/>
        <v>20490120.880000003</v>
      </c>
      <c r="AS17" s="575">
        <f t="shared" si="10"/>
        <v>20665628.27</v>
      </c>
      <c r="AT17" s="575">
        <f t="shared" si="10"/>
        <v>20762614.449999996</v>
      </c>
      <c r="AU17" s="575">
        <f t="shared" si="10"/>
        <v>21327364.59</v>
      </c>
      <c r="AV17" s="575">
        <f t="shared" si="13"/>
        <v>21423430.070000008</v>
      </c>
      <c r="AW17" s="575">
        <f t="shared" si="13"/>
        <v>21524727.399999999</v>
      </c>
      <c r="AX17" s="575">
        <f t="shared" si="13"/>
        <v>21821679.599999998</v>
      </c>
      <c r="AY17" s="575">
        <f t="shared" si="13"/>
        <v>24710580.939999998</v>
      </c>
      <c r="AZ17" s="575">
        <f t="shared" si="13"/>
        <v>25691095.449999999</v>
      </c>
      <c r="BA17" s="575">
        <f t="shared" si="13"/>
        <v>27416133.379999999</v>
      </c>
      <c r="BB17" s="575">
        <f t="shared" si="11"/>
        <v>26867471.91</v>
      </c>
      <c r="BC17" s="575">
        <f t="shared" ref="BC17:DN21" si="14">+BC34+BC50</f>
        <v>27416700</v>
      </c>
      <c r="BD17" s="575">
        <f t="shared" si="14"/>
        <v>27313385.780000001</v>
      </c>
      <c r="BE17" s="575">
        <f t="shared" si="14"/>
        <v>27339155.229999997</v>
      </c>
      <c r="BF17" s="575">
        <f t="shared" si="14"/>
        <v>27741806.380000003</v>
      </c>
      <c r="BG17" s="575">
        <f t="shared" si="14"/>
        <v>28232123.810000002</v>
      </c>
      <c r="BH17" s="575">
        <f t="shared" si="14"/>
        <v>27465125.960000005</v>
      </c>
      <c r="BI17" s="575">
        <f t="shared" si="14"/>
        <v>28290590.030000009</v>
      </c>
      <c r="BJ17" s="575">
        <f t="shared" si="14"/>
        <v>28901910.169999994</v>
      </c>
      <c r="BK17" s="575">
        <f t="shared" si="14"/>
        <v>32233116.280000001</v>
      </c>
      <c r="BL17" s="575">
        <f t="shared" si="14"/>
        <v>33243862.29000001</v>
      </c>
      <c r="BM17" s="575">
        <f t="shared" si="14"/>
        <v>38460782.009999901</v>
      </c>
      <c r="BN17" s="575">
        <f t="shared" si="14"/>
        <v>40277663.849999994</v>
      </c>
      <c r="BO17" s="575">
        <f t="shared" si="14"/>
        <v>41650692.719999999</v>
      </c>
      <c r="BP17" s="576">
        <f t="shared" si="14"/>
        <v>41372936.159999996</v>
      </c>
      <c r="BQ17" s="574">
        <f t="shared" si="14"/>
        <v>41111306.979999997</v>
      </c>
      <c r="BR17" s="575">
        <f t="shared" si="14"/>
        <v>41581199.020000011</v>
      </c>
      <c r="BS17" s="575">
        <f t="shared" si="14"/>
        <v>42283514.979999997</v>
      </c>
      <c r="BT17" s="575">
        <f t="shared" si="14"/>
        <v>45305647.019999996</v>
      </c>
      <c r="BU17" s="575">
        <f t="shared" si="14"/>
        <v>47854054.169999979</v>
      </c>
      <c r="BV17" s="575">
        <f t="shared" si="14"/>
        <v>50351057.039999999</v>
      </c>
      <c r="BW17" s="575">
        <f t="shared" si="14"/>
        <v>55188575.909999974</v>
      </c>
      <c r="BX17" s="575">
        <f t="shared" si="14"/>
        <v>61095890.279999964</v>
      </c>
      <c r="BY17" s="575">
        <f t="shared" si="14"/>
        <v>67951440.789999992</v>
      </c>
      <c r="BZ17" s="575">
        <f t="shared" si="14"/>
        <v>73276949.009999961</v>
      </c>
      <c r="CA17" s="575">
        <f t="shared" si="14"/>
        <v>77766778.320000008</v>
      </c>
      <c r="CB17" s="577">
        <f t="shared" si="14"/>
        <v>77616198.890000001</v>
      </c>
      <c r="CC17" s="575">
        <f t="shared" si="14"/>
        <v>78724420.319999978</v>
      </c>
      <c r="CD17" s="575">
        <f t="shared" si="14"/>
        <v>78387806.629999995</v>
      </c>
      <c r="CE17" s="575">
        <f t="shared" si="14"/>
        <v>85179636.25</v>
      </c>
      <c r="CF17" s="575">
        <f t="shared" si="14"/>
        <v>94875425.159999982</v>
      </c>
      <c r="CG17" s="575">
        <f t="shared" si="14"/>
        <v>102043129.64000002</v>
      </c>
      <c r="CH17" s="575">
        <f t="shared" si="14"/>
        <v>112401056.61</v>
      </c>
      <c r="CI17" s="575">
        <f t="shared" si="14"/>
        <v>123566652.69</v>
      </c>
      <c r="CJ17" s="575">
        <f t="shared" si="14"/>
        <v>129375511.24999991</v>
      </c>
      <c r="CK17" s="575">
        <f t="shared" si="14"/>
        <v>138102683.55000001</v>
      </c>
      <c r="CL17" s="575">
        <f t="shared" si="14"/>
        <v>137335376.91999999</v>
      </c>
      <c r="CM17" s="575">
        <f t="shared" si="14"/>
        <v>133876154.64999999</v>
      </c>
      <c r="CN17" s="575">
        <f t="shared" si="14"/>
        <v>128418752.36999996</v>
      </c>
      <c r="CO17" s="575">
        <f t="shared" si="14"/>
        <v>125235081.04000001</v>
      </c>
      <c r="CP17" s="575">
        <f t="shared" si="14"/>
        <v>130140034.47999999</v>
      </c>
      <c r="CQ17" s="575">
        <f t="shared" si="14"/>
        <v>131716581.93000002</v>
      </c>
      <c r="CR17" s="575">
        <f t="shared" si="14"/>
        <v>130572891.58</v>
      </c>
      <c r="CS17" s="575">
        <f t="shared" si="14"/>
        <v>130472766.35999998</v>
      </c>
      <c r="CT17" s="575">
        <f t="shared" si="14"/>
        <v>130550431.33000001</v>
      </c>
      <c r="CU17" s="575">
        <f t="shared" si="14"/>
        <v>137812072.67000002</v>
      </c>
      <c r="CV17" s="575">
        <f t="shared" si="14"/>
        <v>138720180.87</v>
      </c>
      <c r="CW17" s="575">
        <f t="shared" si="14"/>
        <v>142310614.72999999</v>
      </c>
      <c r="CX17" s="575">
        <f t="shared" si="14"/>
        <v>149964203.11000001</v>
      </c>
      <c r="CY17" s="575">
        <f t="shared" si="14"/>
        <v>147964549.25999999</v>
      </c>
      <c r="CZ17" s="575">
        <f t="shared" si="14"/>
        <v>136822901.02000004</v>
      </c>
      <c r="DA17" s="575">
        <f t="shared" si="14"/>
        <v>135159320.69</v>
      </c>
      <c r="DB17" s="575">
        <f t="shared" si="14"/>
        <v>139589234.15000001</v>
      </c>
      <c r="DC17" s="575">
        <f t="shared" si="14"/>
        <v>140738952.39000005</v>
      </c>
      <c r="DD17" s="575">
        <f t="shared" si="14"/>
        <v>143678079.31999999</v>
      </c>
      <c r="DE17" s="575">
        <f t="shared" si="14"/>
        <v>149822341.25999996</v>
      </c>
      <c r="DF17" s="575">
        <f t="shared" si="14"/>
        <v>147656377.92000002</v>
      </c>
      <c r="DG17" s="575">
        <f t="shared" si="14"/>
        <v>153368250.54000005</v>
      </c>
      <c r="DH17" s="575">
        <f t="shared" si="14"/>
        <v>145635290.43000001</v>
      </c>
      <c r="DI17" s="575">
        <f t="shared" si="14"/>
        <v>148305937.62</v>
      </c>
      <c r="DJ17" s="575">
        <f t="shared" si="14"/>
        <v>150180386.33999994</v>
      </c>
      <c r="DK17" s="575">
        <f t="shared" si="14"/>
        <v>147052178.85999992</v>
      </c>
      <c r="DL17" s="575">
        <f t="shared" si="14"/>
        <v>150522117.86999997</v>
      </c>
      <c r="DM17" s="575">
        <f t="shared" si="14"/>
        <v>152991204.23000005</v>
      </c>
      <c r="DN17" s="575">
        <f t="shared" si="14"/>
        <v>156005998.41</v>
      </c>
      <c r="DO17" s="575">
        <f t="shared" si="12"/>
        <v>166076661.21000007</v>
      </c>
      <c r="DP17" s="575">
        <f t="shared" si="12"/>
        <v>165798081.22000006</v>
      </c>
      <c r="DQ17" s="575">
        <f t="shared" si="12"/>
        <v>175091482.39999998</v>
      </c>
      <c r="DR17" s="575">
        <f t="shared" si="12"/>
        <v>174895906.34999996</v>
      </c>
      <c r="DS17" s="575">
        <f t="shared" si="12"/>
        <v>177789284.42000002</v>
      </c>
      <c r="DT17" s="575">
        <f t="shared" si="12"/>
        <v>175529741.76999992</v>
      </c>
      <c r="DU17" s="575">
        <f t="shared" si="12"/>
        <v>178765623.87999997</v>
      </c>
      <c r="DV17" s="575">
        <f t="shared" si="12"/>
        <v>179701829.05999988</v>
      </c>
      <c r="DW17" s="575">
        <f t="shared" si="12"/>
        <v>179644624.67999995</v>
      </c>
      <c r="DX17" s="575">
        <f t="shared" si="12"/>
        <v>170196086.53000006</v>
      </c>
      <c r="DY17" s="575">
        <f t="shared" si="12"/>
        <v>162034276.50999999</v>
      </c>
      <c r="DZ17" s="575">
        <f t="shared" si="12"/>
        <v>163381229.95000002</v>
      </c>
      <c r="EA17" s="575">
        <f t="shared" si="12"/>
        <v>169864929.02999997</v>
      </c>
      <c r="EB17" s="575">
        <f t="shared" si="12"/>
        <v>172396616.89000008</v>
      </c>
      <c r="EC17" s="575">
        <f t="shared" si="12"/>
        <v>168726986.59999999</v>
      </c>
      <c r="ED17" s="575">
        <f t="shared" si="12"/>
        <v>162595441.30999994</v>
      </c>
      <c r="EE17" s="575">
        <f t="shared" si="12"/>
        <v>165911514.16000003</v>
      </c>
      <c r="EF17" s="575">
        <f t="shared" si="12"/>
        <v>160791651.13000008</v>
      </c>
      <c r="EG17" s="575">
        <f t="shared" si="12"/>
        <v>170337716.84999985</v>
      </c>
      <c r="EH17" s="575">
        <f t="shared" si="12"/>
        <v>0</v>
      </c>
      <c r="EI17" s="575">
        <f t="shared" si="12"/>
        <v>0</v>
      </c>
      <c r="EJ17" s="575">
        <f t="shared" si="12"/>
        <v>0</v>
      </c>
    </row>
    <row r="18" spans="1:142" s="301" customFormat="1" ht="24" customHeight="1" thickBot="1">
      <c r="A18" s="871"/>
      <c r="B18" s="872"/>
      <c r="C18" s="884"/>
      <c r="D18" s="588" t="s">
        <v>49</v>
      </c>
      <c r="E18" s="609">
        <f t="shared" si="10"/>
        <v>2063</v>
      </c>
      <c r="F18" s="610">
        <f t="shared" si="10"/>
        <v>2115</v>
      </c>
      <c r="G18" s="610">
        <f t="shared" si="10"/>
        <v>2363</v>
      </c>
      <c r="H18" s="611">
        <f t="shared" si="10"/>
        <v>2390</v>
      </c>
      <c r="I18" s="612">
        <f t="shared" si="10"/>
        <v>9774</v>
      </c>
      <c r="J18" s="610">
        <f t="shared" si="10"/>
        <v>9672</v>
      </c>
      <c r="K18" s="610">
        <f t="shared" si="10"/>
        <v>9744</v>
      </c>
      <c r="L18" s="610">
        <f t="shared" si="10"/>
        <v>9545</v>
      </c>
      <c r="M18" s="610">
        <f t="shared" si="10"/>
        <v>9275</v>
      </c>
      <c r="N18" s="610">
        <f t="shared" si="10"/>
        <v>9299</v>
      </c>
      <c r="O18" s="610">
        <f t="shared" si="10"/>
        <v>9089</v>
      </c>
      <c r="P18" s="610">
        <f t="shared" si="10"/>
        <v>9582</v>
      </c>
      <c r="Q18" s="610">
        <f t="shared" si="10"/>
        <v>9641</v>
      </c>
      <c r="R18" s="610">
        <f t="shared" si="10"/>
        <v>10289</v>
      </c>
      <c r="S18" s="610">
        <f t="shared" si="10"/>
        <v>10449</v>
      </c>
      <c r="T18" s="611">
        <f t="shared" si="10"/>
        <v>10094</v>
      </c>
      <c r="U18" s="612">
        <f t="shared" si="10"/>
        <v>10342</v>
      </c>
      <c r="V18" s="609">
        <f t="shared" si="10"/>
        <v>10079</v>
      </c>
      <c r="W18" s="609">
        <f t="shared" si="10"/>
        <v>9731</v>
      </c>
      <c r="X18" s="609">
        <f t="shared" si="10"/>
        <v>9730</v>
      </c>
      <c r="Y18" s="609">
        <f t="shared" si="10"/>
        <v>9755</v>
      </c>
      <c r="Z18" s="609">
        <f t="shared" si="10"/>
        <v>9910</v>
      </c>
      <c r="AA18" s="609">
        <f t="shared" si="10"/>
        <v>9500</v>
      </c>
      <c r="AB18" s="609">
        <f t="shared" si="10"/>
        <v>9026</v>
      </c>
      <c r="AC18" s="609">
        <f t="shared" si="10"/>
        <v>8875</v>
      </c>
      <c r="AD18" s="609">
        <f t="shared" si="10"/>
        <v>8830</v>
      </c>
      <c r="AE18" s="609">
        <f t="shared" si="10"/>
        <v>9308</v>
      </c>
      <c r="AF18" s="609">
        <f t="shared" si="10"/>
        <v>8951</v>
      </c>
      <c r="AG18" s="609">
        <f t="shared" si="10"/>
        <v>8792</v>
      </c>
      <c r="AH18" s="609">
        <f t="shared" si="10"/>
        <v>9182</v>
      </c>
      <c r="AI18" s="609">
        <f t="shared" si="10"/>
        <v>9803</v>
      </c>
      <c r="AJ18" s="609">
        <f t="shared" si="10"/>
        <v>9809</v>
      </c>
      <c r="AK18" s="609">
        <f t="shared" si="10"/>
        <v>10826</v>
      </c>
      <c r="AL18" s="609">
        <f t="shared" si="10"/>
        <v>11545</v>
      </c>
      <c r="AM18" s="609">
        <f t="shared" si="10"/>
        <v>13073</v>
      </c>
      <c r="AN18" s="609">
        <f t="shared" si="10"/>
        <v>13244</v>
      </c>
      <c r="AO18" s="609">
        <f t="shared" si="10"/>
        <v>10543</v>
      </c>
      <c r="AP18" s="609">
        <f t="shared" si="10"/>
        <v>13565</v>
      </c>
      <c r="AQ18" s="609">
        <f t="shared" ref="AP18:AV21" si="15">+AQ35+AQ51</f>
        <v>13903</v>
      </c>
      <c r="AR18" s="609">
        <f t="shared" si="15"/>
        <v>14781</v>
      </c>
      <c r="AS18" s="609">
        <f t="shared" si="15"/>
        <v>16154</v>
      </c>
      <c r="AT18" s="609">
        <f t="shared" si="15"/>
        <v>17185</v>
      </c>
      <c r="AU18" s="609">
        <f t="shared" si="15"/>
        <v>18186</v>
      </c>
      <c r="AV18" s="609">
        <f t="shared" si="13"/>
        <v>18084</v>
      </c>
      <c r="AW18" s="609">
        <f t="shared" si="13"/>
        <v>18368</v>
      </c>
      <c r="AX18" s="609">
        <f t="shared" si="13"/>
        <v>18253</v>
      </c>
      <c r="AY18" s="609">
        <f t="shared" si="13"/>
        <v>19727</v>
      </c>
      <c r="AZ18" s="609">
        <f t="shared" si="13"/>
        <v>20266</v>
      </c>
      <c r="BA18" s="609">
        <f t="shared" si="13"/>
        <v>21474</v>
      </c>
      <c r="BB18" s="609">
        <f t="shared" si="13"/>
        <v>20852</v>
      </c>
      <c r="BC18" s="609">
        <f t="shared" si="13"/>
        <v>20906</v>
      </c>
      <c r="BD18" s="609">
        <f t="shared" si="13"/>
        <v>25662</v>
      </c>
      <c r="BE18" s="609">
        <f t="shared" si="13"/>
        <v>27447</v>
      </c>
      <c r="BF18" s="609">
        <f t="shared" si="13"/>
        <v>25345</v>
      </c>
      <c r="BG18" s="609">
        <f t="shared" si="13"/>
        <v>24918</v>
      </c>
      <c r="BH18" s="609">
        <f t="shared" si="14"/>
        <v>24653</v>
      </c>
      <c r="BI18" s="609">
        <f t="shared" si="14"/>
        <v>24622</v>
      </c>
      <c r="BJ18" s="609">
        <f t="shared" si="14"/>
        <v>23268.01772</v>
      </c>
      <c r="BK18" s="609">
        <f t="shared" si="14"/>
        <v>23453</v>
      </c>
      <c r="BL18" s="609">
        <f t="shared" si="14"/>
        <v>24008</v>
      </c>
      <c r="BM18" s="609">
        <f t="shared" si="14"/>
        <v>26422</v>
      </c>
      <c r="BN18" s="609">
        <f t="shared" si="14"/>
        <v>25804</v>
      </c>
      <c r="BO18" s="609">
        <f t="shared" si="14"/>
        <v>26197</v>
      </c>
      <c r="BP18" s="613">
        <f t="shared" si="14"/>
        <v>25845</v>
      </c>
      <c r="BQ18" s="612">
        <f t="shared" si="14"/>
        <v>25352</v>
      </c>
      <c r="BR18" s="609">
        <f t="shared" si="14"/>
        <v>24893</v>
      </c>
      <c r="BS18" s="609">
        <f t="shared" si="14"/>
        <v>24943</v>
      </c>
      <c r="BT18" s="609">
        <f t="shared" si="14"/>
        <v>25591</v>
      </c>
      <c r="BU18" s="609">
        <f t="shared" si="14"/>
        <v>26569</v>
      </c>
      <c r="BV18" s="609">
        <f t="shared" si="14"/>
        <v>26901</v>
      </c>
      <c r="BW18" s="609">
        <f t="shared" si="14"/>
        <v>28102</v>
      </c>
      <c r="BX18" s="609">
        <f t="shared" si="14"/>
        <v>29486</v>
      </c>
      <c r="BY18" s="609">
        <f t="shared" si="14"/>
        <v>32080</v>
      </c>
      <c r="BZ18" s="609">
        <f t="shared" si="14"/>
        <v>33739</v>
      </c>
      <c r="CA18" s="609">
        <f t="shared" si="14"/>
        <v>35279</v>
      </c>
      <c r="CB18" s="614">
        <f t="shared" si="14"/>
        <v>34874</v>
      </c>
      <c r="CC18" s="609">
        <f t="shared" si="14"/>
        <v>35206</v>
      </c>
      <c r="CD18" s="609">
        <f t="shared" si="14"/>
        <v>34697</v>
      </c>
      <c r="CE18" s="609">
        <f t="shared" si="14"/>
        <v>36896</v>
      </c>
      <c r="CF18" s="609">
        <f t="shared" si="14"/>
        <v>40415</v>
      </c>
      <c r="CG18" s="609">
        <f t="shared" si="14"/>
        <v>42860</v>
      </c>
      <c r="CH18" s="609">
        <f t="shared" si="14"/>
        <v>46407</v>
      </c>
      <c r="CI18" s="609">
        <f t="shared" si="14"/>
        <v>49843</v>
      </c>
      <c r="CJ18" s="609">
        <f t="shared" si="14"/>
        <v>52261</v>
      </c>
      <c r="CK18" s="609">
        <f t="shared" si="14"/>
        <v>55123</v>
      </c>
      <c r="CL18" s="609">
        <f t="shared" si="14"/>
        <v>55423</v>
      </c>
      <c r="CM18" s="609">
        <f t="shared" si="14"/>
        <v>48882</v>
      </c>
      <c r="CN18" s="609">
        <f t="shared" si="14"/>
        <v>43610</v>
      </c>
      <c r="CO18" s="609">
        <f t="shared" si="14"/>
        <v>41779</v>
      </c>
      <c r="CP18" s="609">
        <f t="shared" si="14"/>
        <v>43152</v>
      </c>
      <c r="CQ18" s="609">
        <f t="shared" si="14"/>
        <v>41548</v>
      </c>
      <c r="CR18" s="609">
        <f t="shared" si="14"/>
        <v>41144</v>
      </c>
      <c r="CS18" s="609">
        <f t="shared" si="14"/>
        <v>40404</v>
      </c>
      <c r="CT18" s="609">
        <f t="shared" si="14"/>
        <v>40709</v>
      </c>
      <c r="CU18" s="609">
        <f t="shared" si="14"/>
        <v>42379</v>
      </c>
      <c r="CV18" s="609">
        <f t="shared" si="14"/>
        <v>42507</v>
      </c>
      <c r="CW18" s="609">
        <f t="shared" si="14"/>
        <v>43025</v>
      </c>
      <c r="CX18" s="609">
        <f t="shared" si="14"/>
        <v>44424</v>
      </c>
      <c r="CY18" s="609">
        <f t="shared" si="14"/>
        <v>43026</v>
      </c>
      <c r="CZ18" s="609">
        <f t="shared" si="14"/>
        <v>35845</v>
      </c>
      <c r="DA18" s="609">
        <f t="shared" si="14"/>
        <v>33880</v>
      </c>
      <c r="DB18" s="609">
        <f t="shared" si="14"/>
        <v>32434</v>
      </c>
      <c r="DC18" s="609">
        <f t="shared" si="14"/>
        <v>32064</v>
      </c>
      <c r="DD18" s="609">
        <f t="shared" si="14"/>
        <v>32695</v>
      </c>
      <c r="DE18" s="609">
        <f t="shared" si="14"/>
        <v>33580</v>
      </c>
      <c r="DF18" s="609">
        <f t="shared" si="14"/>
        <v>32445</v>
      </c>
      <c r="DG18" s="609">
        <f t="shared" si="14"/>
        <v>33402</v>
      </c>
      <c r="DH18" s="609">
        <f t="shared" si="14"/>
        <v>31828</v>
      </c>
      <c r="DI18" s="609">
        <f t="shared" si="14"/>
        <v>31912</v>
      </c>
      <c r="DJ18" s="609">
        <f t="shared" si="14"/>
        <v>32056</v>
      </c>
      <c r="DK18" s="609">
        <f t="shared" si="14"/>
        <v>31206</v>
      </c>
      <c r="DL18" s="609">
        <f t="shared" si="14"/>
        <v>31036</v>
      </c>
      <c r="DM18" s="609">
        <f t="shared" si="14"/>
        <v>30611</v>
      </c>
      <c r="DN18" s="609">
        <f t="shared" si="14"/>
        <v>30935</v>
      </c>
      <c r="DO18" s="609">
        <f t="shared" si="12"/>
        <v>32241</v>
      </c>
      <c r="DP18" s="609">
        <f t="shared" si="12"/>
        <v>32398</v>
      </c>
      <c r="DQ18" s="609">
        <f t="shared" si="12"/>
        <v>34076</v>
      </c>
      <c r="DR18" s="609">
        <f t="shared" si="12"/>
        <v>33897</v>
      </c>
      <c r="DS18" s="609">
        <f t="shared" si="12"/>
        <v>34376</v>
      </c>
      <c r="DT18" s="609">
        <f t="shared" si="12"/>
        <v>33903</v>
      </c>
      <c r="DU18" s="609">
        <f t="shared" si="12"/>
        <v>34248</v>
      </c>
      <c r="DV18" s="609">
        <f t="shared" si="12"/>
        <v>34088</v>
      </c>
      <c r="DW18" s="609">
        <f t="shared" si="12"/>
        <v>33905</v>
      </c>
      <c r="DX18" s="609">
        <f t="shared" si="12"/>
        <v>31894</v>
      </c>
      <c r="DY18" s="609">
        <f t="shared" si="12"/>
        <v>29988</v>
      </c>
      <c r="DZ18" s="609">
        <f t="shared" si="12"/>
        <v>29876</v>
      </c>
      <c r="EA18" s="609">
        <f t="shared" si="12"/>
        <v>30724</v>
      </c>
      <c r="EB18" s="609">
        <f t="shared" si="12"/>
        <v>31317</v>
      </c>
      <c r="EC18" s="609">
        <f t="shared" si="12"/>
        <v>30784</v>
      </c>
      <c r="ED18" s="609">
        <f t="shared" si="12"/>
        <v>29774</v>
      </c>
      <c r="EE18" s="609">
        <f t="shared" si="12"/>
        <v>30446</v>
      </c>
      <c r="EF18" s="609">
        <f t="shared" si="12"/>
        <v>29500</v>
      </c>
      <c r="EG18" s="609">
        <f t="shared" si="12"/>
        <v>31476</v>
      </c>
      <c r="EH18" s="609">
        <f t="shared" si="12"/>
        <v>0</v>
      </c>
      <c r="EI18" s="609">
        <f t="shared" si="12"/>
        <v>0</v>
      </c>
      <c r="EJ18" s="609">
        <f t="shared" si="12"/>
        <v>0</v>
      </c>
    </row>
    <row r="19" spans="1:142" s="301" customFormat="1" ht="24" customHeight="1">
      <c r="A19" s="871"/>
      <c r="B19" s="872"/>
      <c r="C19" s="885" t="s">
        <v>56</v>
      </c>
      <c r="D19" s="570" t="s">
        <v>48</v>
      </c>
      <c r="E19" s="575">
        <f t="shared" ref="E19:AO21" si="16">+E36+E52</f>
        <v>815677.62</v>
      </c>
      <c r="F19" s="572">
        <f t="shared" si="16"/>
        <v>796529.8</v>
      </c>
      <c r="G19" s="572">
        <f t="shared" si="16"/>
        <v>745688.69</v>
      </c>
      <c r="H19" s="573">
        <f t="shared" si="16"/>
        <v>819286.17</v>
      </c>
      <c r="I19" s="574">
        <f t="shared" si="16"/>
        <v>2450865.9799999995</v>
      </c>
      <c r="J19" s="572">
        <f t="shared" si="16"/>
        <v>2420984.67</v>
      </c>
      <c r="K19" s="572">
        <f t="shared" si="16"/>
        <v>2486326.02</v>
      </c>
      <c r="L19" s="572">
        <f t="shared" si="16"/>
        <v>2518312.63</v>
      </c>
      <c r="M19" s="572">
        <f t="shared" si="16"/>
        <v>2508000.25</v>
      </c>
      <c r="N19" s="572">
        <f t="shared" si="16"/>
        <v>2369008.1800000002</v>
      </c>
      <c r="O19" s="572">
        <f t="shared" si="16"/>
        <v>2401318.87</v>
      </c>
      <c r="P19" s="572">
        <f t="shared" si="16"/>
        <v>2465501.91</v>
      </c>
      <c r="Q19" s="572">
        <f t="shared" si="16"/>
        <v>2499264.84</v>
      </c>
      <c r="R19" s="572">
        <f t="shared" si="16"/>
        <v>2226210.02</v>
      </c>
      <c r="S19" s="572">
        <f t="shared" si="16"/>
        <v>3007383.5000000009</v>
      </c>
      <c r="T19" s="573">
        <f t="shared" si="16"/>
        <v>4239382.16</v>
      </c>
      <c r="U19" s="574">
        <f t="shared" si="16"/>
        <v>3688871.8</v>
      </c>
      <c r="V19" s="575">
        <f t="shared" si="16"/>
        <v>3843960.3200000003</v>
      </c>
      <c r="W19" s="575">
        <f t="shared" si="16"/>
        <v>4849801.84</v>
      </c>
      <c r="X19" s="575">
        <f t="shared" si="16"/>
        <v>3865942.17</v>
      </c>
      <c r="Y19" s="575">
        <f t="shared" si="16"/>
        <v>3962550.0599999996</v>
      </c>
      <c r="Z19" s="575">
        <f t="shared" si="16"/>
        <v>3626252.42</v>
      </c>
      <c r="AA19" s="575">
        <f t="shared" si="16"/>
        <v>3968031.16</v>
      </c>
      <c r="AB19" s="575">
        <f t="shared" si="16"/>
        <v>4374759.6400000006</v>
      </c>
      <c r="AC19" s="575">
        <f t="shared" si="16"/>
        <v>3989507.96</v>
      </c>
      <c r="AD19" s="575">
        <f t="shared" si="16"/>
        <v>4400773.63</v>
      </c>
      <c r="AE19" s="575">
        <f t="shared" si="16"/>
        <v>4432799.1399999997</v>
      </c>
      <c r="AF19" s="575">
        <f t="shared" si="16"/>
        <v>4149853.39</v>
      </c>
      <c r="AG19" s="575">
        <f t="shared" si="16"/>
        <v>4277283.0199999996</v>
      </c>
      <c r="AH19" s="575">
        <f t="shared" si="16"/>
        <v>4305580.8099999996</v>
      </c>
      <c r="AI19" s="575">
        <f t="shared" si="16"/>
        <v>4659944.46</v>
      </c>
      <c r="AJ19" s="575">
        <f t="shared" si="16"/>
        <v>4467040.8</v>
      </c>
      <c r="AK19" s="575">
        <f t="shared" si="16"/>
        <v>4218855.2299999995</v>
      </c>
      <c r="AL19" s="575">
        <f t="shared" si="16"/>
        <v>4618857.7699999996</v>
      </c>
      <c r="AM19" s="575">
        <f t="shared" si="16"/>
        <v>3363350.0100000002</v>
      </c>
      <c r="AN19" s="575">
        <f t="shared" si="16"/>
        <v>4169356.44</v>
      </c>
      <c r="AO19" s="575">
        <f t="shared" si="16"/>
        <v>3879831.31</v>
      </c>
      <c r="AP19" s="575">
        <f t="shared" si="15"/>
        <v>3958602.47</v>
      </c>
      <c r="AQ19" s="575">
        <f t="shared" si="15"/>
        <v>3930014.44</v>
      </c>
      <c r="AR19" s="575">
        <f t="shared" si="15"/>
        <v>4204805.08</v>
      </c>
      <c r="AS19" s="575">
        <f t="shared" si="15"/>
        <v>4178652.4299999997</v>
      </c>
      <c r="AT19" s="575">
        <f t="shared" si="15"/>
        <v>4419814.03</v>
      </c>
      <c r="AU19" s="575">
        <f t="shared" si="15"/>
        <v>4343675.6600000011</v>
      </c>
      <c r="AV19" s="575">
        <f t="shared" si="13"/>
        <v>4479150.2</v>
      </c>
      <c r="AW19" s="575">
        <f t="shared" si="13"/>
        <v>4283689.49</v>
      </c>
      <c r="AX19" s="575">
        <f t="shared" si="13"/>
        <v>4449735.4400000004</v>
      </c>
      <c r="AY19" s="575">
        <f t="shared" si="13"/>
        <v>3306710.09</v>
      </c>
      <c r="AZ19" s="575">
        <f t="shared" si="13"/>
        <v>4569583.2300000004</v>
      </c>
      <c r="BA19" s="575">
        <f t="shared" si="13"/>
        <v>5292347.33</v>
      </c>
      <c r="BB19" s="575">
        <f t="shared" si="13"/>
        <v>5806572.5299999993</v>
      </c>
      <c r="BC19" s="575">
        <f t="shared" si="13"/>
        <v>5520324.7800000003</v>
      </c>
      <c r="BD19" s="575">
        <f t="shared" si="13"/>
        <v>5841429.7699999977</v>
      </c>
      <c r="BE19" s="575">
        <f t="shared" si="13"/>
        <v>5804918.1600000001</v>
      </c>
      <c r="BF19" s="575">
        <f t="shared" si="13"/>
        <v>5539412.7599999998</v>
      </c>
      <c r="BG19" s="575">
        <f t="shared" si="13"/>
        <v>5430018.4900000002</v>
      </c>
      <c r="BH19" s="575">
        <f t="shared" si="13"/>
        <v>5816993.2699999996</v>
      </c>
      <c r="BI19" s="575">
        <f t="shared" si="13"/>
        <v>6077725.7500000009</v>
      </c>
      <c r="BJ19" s="575">
        <f t="shared" si="13"/>
        <v>5868905.7799999993</v>
      </c>
      <c r="BK19" s="575">
        <f t="shared" si="13"/>
        <v>5112564.5199999996</v>
      </c>
      <c r="BL19" s="575">
        <f t="shared" si="14"/>
        <v>6334081.96</v>
      </c>
      <c r="BM19" s="575">
        <f t="shared" si="14"/>
        <v>4830998.13</v>
      </c>
      <c r="BN19" s="575">
        <f t="shared" si="14"/>
        <v>6202944.3399999999</v>
      </c>
      <c r="BO19" s="575">
        <f t="shared" si="14"/>
        <v>6505568.0300000003</v>
      </c>
      <c r="BP19" s="576">
        <f t="shared" si="14"/>
        <v>7863613.5899999999</v>
      </c>
      <c r="BQ19" s="574">
        <f t="shared" si="14"/>
        <v>7946817.4400000004</v>
      </c>
      <c r="BR19" s="575">
        <f>+BR36+BR52</f>
        <v>7045941.5899999999</v>
      </c>
      <c r="BS19" s="575">
        <f t="shared" si="14"/>
        <v>7821853.9199999999</v>
      </c>
      <c r="BT19" s="575">
        <f t="shared" si="14"/>
        <v>7091781.71</v>
      </c>
      <c r="BU19" s="575">
        <f t="shared" si="14"/>
        <v>8005015.5599999996</v>
      </c>
      <c r="BV19" s="575">
        <f t="shared" si="14"/>
        <v>8837220.1900000013</v>
      </c>
      <c r="BW19" s="575">
        <f t="shared" si="14"/>
        <v>8111407.79</v>
      </c>
      <c r="BX19" s="575">
        <f t="shared" si="14"/>
        <v>8817419.8300000001</v>
      </c>
      <c r="BY19" s="575">
        <f t="shared" si="14"/>
        <v>8844713.3100000005</v>
      </c>
      <c r="BZ19" s="575">
        <f t="shared" si="14"/>
        <v>10980799.949999997</v>
      </c>
      <c r="CA19" s="575">
        <f t="shared" si="14"/>
        <v>11535524.98</v>
      </c>
      <c r="CB19" s="577">
        <f t="shared" si="14"/>
        <v>12989822.369999999</v>
      </c>
      <c r="CC19" s="575">
        <f t="shared" si="14"/>
        <v>12421526.029999999</v>
      </c>
      <c r="CD19" s="575">
        <f t="shared" si="14"/>
        <v>16778580.449999999</v>
      </c>
      <c r="CE19" s="575">
        <f t="shared" si="14"/>
        <v>11059893.439999999</v>
      </c>
      <c r="CF19" s="575">
        <f t="shared" si="14"/>
        <v>11910908.569999998</v>
      </c>
      <c r="CG19" s="575">
        <f t="shared" si="14"/>
        <v>13225165.43</v>
      </c>
      <c r="CH19" s="575">
        <f t="shared" si="14"/>
        <v>11016033.359999999</v>
      </c>
      <c r="CI19" s="575">
        <f t="shared" si="14"/>
        <v>9861260.2899999991</v>
      </c>
      <c r="CJ19" s="575">
        <f t="shared" si="14"/>
        <v>14765429.180000002</v>
      </c>
      <c r="CK19" s="575">
        <f t="shared" si="14"/>
        <v>14013362.479999999</v>
      </c>
      <c r="CL19" s="575">
        <f t="shared" si="14"/>
        <v>20027293.330000002</v>
      </c>
      <c r="CM19" s="575">
        <f t="shared" si="14"/>
        <v>22969634.840000004</v>
      </c>
      <c r="CN19" s="575">
        <f t="shared" si="14"/>
        <v>23017753.939999998</v>
      </c>
      <c r="CO19" s="575">
        <f t="shared" si="14"/>
        <v>23077256.869999997</v>
      </c>
      <c r="CP19" s="575">
        <f t="shared" si="14"/>
        <v>21012717.080000002</v>
      </c>
      <c r="CQ19" s="575">
        <f t="shared" si="14"/>
        <v>23000608.490000002</v>
      </c>
      <c r="CR19" s="575">
        <f t="shared" si="14"/>
        <v>23069900.559999999</v>
      </c>
      <c r="CS19" s="575">
        <f t="shared" si="14"/>
        <v>23157805.459999986</v>
      </c>
      <c r="CT19" s="575">
        <f t="shared" si="14"/>
        <v>22980320.839999996</v>
      </c>
      <c r="CU19" s="575">
        <f t="shared" si="14"/>
        <v>19438757.109999999</v>
      </c>
      <c r="CV19" s="575">
        <f t="shared" si="14"/>
        <v>23257963.199999969</v>
      </c>
      <c r="CW19" s="575">
        <f t="shared" si="14"/>
        <v>21680713.84</v>
      </c>
      <c r="CX19" s="575">
        <f t="shared" si="14"/>
        <v>19867719.509999976</v>
      </c>
      <c r="CY19" s="575">
        <f t="shared" si="14"/>
        <v>48718734.960000001</v>
      </c>
      <c r="CZ19" s="575">
        <f t="shared" si="14"/>
        <v>12453015.659999989</v>
      </c>
      <c r="DA19" s="575">
        <f t="shared" si="14"/>
        <v>22382314.169999946</v>
      </c>
      <c r="DB19" s="575">
        <f t="shared" si="14"/>
        <v>23246275.489999957</v>
      </c>
      <c r="DC19" s="575">
        <f t="shared" si="14"/>
        <v>21638327.659999963</v>
      </c>
      <c r="DD19" s="575">
        <f t="shared" si="14"/>
        <v>24483476.019999944</v>
      </c>
      <c r="DE19" s="575">
        <f>+DE36+DE52</f>
        <v>25821548.659999933</v>
      </c>
      <c r="DF19" s="575">
        <f t="shared" si="14"/>
        <v>25119993.649999943</v>
      </c>
      <c r="DG19" s="575">
        <f t="shared" si="14"/>
        <v>23902422.51999997</v>
      </c>
      <c r="DH19" s="575">
        <f t="shared" si="14"/>
        <v>24836580.339999955</v>
      </c>
      <c r="DI19" s="575">
        <f t="shared" si="14"/>
        <v>26274658.729999952</v>
      </c>
      <c r="DJ19" s="575">
        <f t="shared" si="14"/>
        <v>24078980.409999952</v>
      </c>
      <c r="DK19" s="575">
        <f t="shared" si="14"/>
        <v>25370397.769999951</v>
      </c>
      <c r="DL19" s="575">
        <f t="shared" si="14"/>
        <v>25097686.119999953</v>
      </c>
      <c r="DM19" s="575">
        <f t="shared" si="14"/>
        <v>23600648.919999968</v>
      </c>
      <c r="DN19" s="575">
        <f t="shared" si="14"/>
        <v>24050362.49999997</v>
      </c>
      <c r="DO19" s="575">
        <f t="shared" si="12"/>
        <v>24858792.529999968</v>
      </c>
      <c r="DP19" s="575">
        <f t="shared" si="12"/>
        <v>26077159.559999976</v>
      </c>
      <c r="DQ19" s="575">
        <f t="shared" si="12"/>
        <v>25944301.679999944</v>
      </c>
      <c r="DR19" s="575">
        <f t="shared" si="12"/>
        <v>26408784.009999987</v>
      </c>
      <c r="DS19" s="575">
        <f t="shared" si="12"/>
        <v>27663084.639999967</v>
      </c>
      <c r="DT19" s="575">
        <f t="shared" si="12"/>
        <v>29847558.939999968</v>
      </c>
      <c r="DU19" s="575">
        <f t="shared" si="12"/>
        <v>28681179.859999996</v>
      </c>
      <c r="DV19" s="575">
        <f t="shared" si="12"/>
        <v>28799945.22999993</v>
      </c>
      <c r="DW19" s="575">
        <f t="shared" si="12"/>
        <v>29787967.619999971</v>
      </c>
      <c r="DX19" s="575">
        <f t="shared" si="12"/>
        <v>29539279.639999982</v>
      </c>
      <c r="DY19" s="575">
        <f t="shared" si="12"/>
        <v>29066353.190000031</v>
      </c>
      <c r="DZ19" s="575">
        <f t="shared" si="12"/>
        <v>27311604.129999999</v>
      </c>
      <c r="EA19" s="575">
        <f t="shared" si="12"/>
        <v>28546751.129999992</v>
      </c>
      <c r="EB19" s="575">
        <f t="shared" si="12"/>
        <v>27005748.139999993</v>
      </c>
      <c r="EC19" s="575">
        <f t="shared" si="12"/>
        <v>26192763.660000004</v>
      </c>
      <c r="ED19" s="575">
        <f t="shared" si="12"/>
        <v>27797020.150000002</v>
      </c>
      <c r="EE19" s="575">
        <f t="shared" si="12"/>
        <v>29428581.549999997</v>
      </c>
      <c r="EF19" s="575">
        <f>+EF36+EF52</f>
        <v>29961997.99000001</v>
      </c>
      <c r="EG19" s="575">
        <f>+EG36+EG52</f>
        <v>27818498.449999999</v>
      </c>
      <c r="EH19" s="575">
        <f t="shared" si="12"/>
        <v>0</v>
      </c>
      <c r="EI19" s="575">
        <f t="shared" si="12"/>
        <v>0</v>
      </c>
      <c r="EJ19" s="575">
        <f t="shared" si="12"/>
        <v>0</v>
      </c>
    </row>
    <row r="20" spans="1:142" s="301" customFormat="1" ht="24" customHeight="1" thickBot="1">
      <c r="A20" s="871"/>
      <c r="B20" s="872"/>
      <c r="C20" s="879"/>
      <c r="D20" s="588" t="s">
        <v>49</v>
      </c>
      <c r="E20" s="609">
        <f t="shared" si="16"/>
        <v>267</v>
      </c>
      <c r="F20" s="610">
        <f t="shared" si="16"/>
        <v>268</v>
      </c>
      <c r="G20" s="610">
        <f t="shared" si="16"/>
        <v>248</v>
      </c>
      <c r="H20" s="611">
        <f t="shared" si="16"/>
        <v>285</v>
      </c>
      <c r="I20" s="612">
        <f t="shared" si="16"/>
        <v>1277</v>
      </c>
      <c r="J20" s="610">
        <f t="shared" si="16"/>
        <v>1284</v>
      </c>
      <c r="K20" s="610">
        <f t="shared" si="16"/>
        <v>1363</v>
      </c>
      <c r="L20" s="610">
        <f t="shared" si="16"/>
        <v>1405</v>
      </c>
      <c r="M20" s="610">
        <f t="shared" si="16"/>
        <v>1443</v>
      </c>
      <c r="N20" s="610">
        <f t="shared" si="16"/>
        <v>1257</v>
      </c>
      <c r="O20" s="610">
        <f t="shared" si="16"/>
        <v>1527</v>
      </c>
      <c r="P20" s="610">
        <f t="shared" si="16"/>
        <v>1396</v>
      </c>
      <c r="Q20" s="610">
        <f t="shared" si="16"/>
        <v>1484</v>
      </c>
      <c r="R20" s="610">
        <f t="shared" si="16"/>
        <v>1154</v>
      </c>
      <c r="S20" s="610">
        <f t="shared" si="16"/>
        <v>1596</v>
      </c>
      <c r="T20" s="611">
        <f t="shared" si="16"/>
        <v>2256</v>
      </c>
      <c r="U20" s="612">
        <f t="shared" si="16"/>
        <v>1965</v>
      </c>
      <c r="V20" s="609">
        <f t="shared" si="16"/>
        <v>1983</v>
      </c>
      <c r="W20" s="609">
        <f t="shared" si="16"/>
        <v>2639</v>
      </c>
      <c r="X20" s="609">
        <f t="shared" si="16"/>
        <v>2272</v>
      </c>
      <c r="Y20" s="609">
        <f t="shared" si="16"/>
        <v>2031</v>
      </c>
      <c r="Z20" s="609">
        <f t="shared" si="16"/>
        <v>1960</v>
      </c>
      <c r="AA20" s="609">
        <f t="shared" si="16"/>
        <v>1911</v>
      </c>
      <c r="AB20" s="609">
        <f t="shared" si="16"/>
        <v>2188</v>
      </c>
      <c r="AC20" s="609">
        <f t="shared" si="16"/>
        <v>1990</v>
      </c>
      <c r="AD20" s="609">
        <f t="shared" si="16"/>
        <v>2132</v>
      </c>
      <c r="AE20" s="609">
        <f t="shared" si="16"/>
        <v>1896</v>
      </c>
      <c r="AF20" s="609">
        <f t="shared" si="16"/>
        <v>1830</v>
      </c>
      <c r="AG20" s="609">
        <f t="shared" si="16"/>
        <v>1928</v>
      </c>
      <c r="AH20" s="609">
        <f t="shared" si="16"/>
        <v>1943</v>
      </c>
      <c r="AI20" s="609">
        <f t="shared" si="16"/>
        <v>2248</v>
      </c>
      <c r="AJ20" s="609">
        <f t="shared" si="16"/>
        <v>2250</v>
      </c>
      <c r="AK20" s="609">
        <f t="shared" si="16"/>
        <v>1943</v>
      </c>
      <c r="AL20" s="609">
        <f t="shared" si="16"/>
        <v>2268</v>
      </c>
      <c r="AM20" s="609">
        <f t="shared" si="16"/>
        <v>1645</v>
      </c>
      <c r="AN20" s="609">
        <f t="shared" si="16"/>
        <v>2179</v>
      </c>
      <c r="AO20" s="609">
        <f t="shared" si="16"/>
        <v>1986</v>
      </c>
      <c r="AP20" s="609">
        <f t="shared" si="15"/>
        <v>1954</v>
      </c>
      <c r="AQ20" s="609">
        <f t="shared" si="15"/>
        <v>1982</v>
      </c>
      <c r="AR20" s="609">
        <f t="shared" si="15"/>
        <v>2252</v>
      </c>
      <c r="AS20" s="609">
        <f t="shared" si="15"/>
        <v>2486</v>
      </c>
      <c r="AT20" s="609">
        <f t="shared" si="15"/>
        <v>2488</v>
      </c>
      <c r="AU20" s="609">
        <f t="shared" si="15"/>
        <v>2207</v>
      </c>
      <c r="AV20" s="609">
        <f t="shared" si="13"/>
        <v>2577</v>
      </c>
      <c r="AW20" s="609">
        <f t="shared" si="13"/>
        <v>2362</v>
      </c>
      <c r="AX20" s="609">
        <f t="shared" si="13"/>
        <v>2331</v>
      </c>
      <c r="AY20" s="609">
        <f t="shared" si="13"/>
        <v>1753</v>
      </c>
      <c r="AZ20" s="609">
        <f t="shared" si="13"/>
        <v>2014</v>
      </c>
      <c r="BA20" s="609">
        <f t="shared" si="13"/>
        <v>2544</v>
      </c>
      <c r="BB20" s="609">
        <f t="shared" si="13"/>
        <v>2957</v>
      </c>
      <c r="BC20" s="609">
        <f t="shared" si="13"/>
        <v>2645</v>
      </c>
      <c r="BD20" s="609">
        <f t="shared" si="13"/>
        <v>3901</v>
      </c>
      <c r="BE20" s="609">
        <f t="shared" si="13"/>
        <v>2575</v>
      </c>
      <c r="BF20" s="609">
        <f t="shared" si="13"/>
        <v>2711</v>
      </c>
      <c r="BG20" s="609">
        <f t="shared" si="13"/>
        <v>2702</v>
      </c>
      <c r="BH20" s="609">
        <f t="shared" si="13"/>
        <v>2421</v>
      </c>
      <c r="BI20" s="609">
        <f t="shared" si="13"/>
        <v>2718</v>
      </c>
      <c r="BJ20" s="609">
        <f t="shared" si="13"/>
        <v>2568</v>
      </c>
      <c r="BK20" s="609">
        <f t="shared" si="13"/>
        <v>2483</v>
      </c>
      <c r="BL20" s="609">
        <f t="shared" si="14"/>
        <v>2245</v>
      </c>
      <c r="BM20" s="609">
        <f t="shared" si="14"/>
        <v>1542</v>
      </c>
      <c r="BN20" s="609">
        <f t="shared" si="14"/>
        <v>3101</v>
      </c>
      <c r="BO20" s="609">
        <f t="shared" si="14"/>
        <v>2562</v>
      </c>
      <c r="BP20" s="613">
        <f t="shared" si="14"/>
        <v>3194</v>
      </c>
      <c r="BQ20" s="612">
        <f t="shared" si="14"/>
        <v>3267</v>
      </c>
      <c r="BR20" s="609">
        <f>+BR37+BR53</f>
        <v>3276</v>
      </c>
      <c r="BS20" s="609">
        <f t="shared" si="14"/>
        <v>2991</v>
      </c>
      <c r="BT20" s="609">
        <f t="shared" si="14"/>
        <v>2731</v>
      </c>
      <c r="BU20" s="609">
        <f t="shared" si="14"/>
        <v>2785</v>
      </c>
      <c r="BV20" s="609">
        <f t="shared" si="14"/>
        <v>3751</v>
      </c>
      <c r="BW20" s="609">
        <f t="shared" si="14"/>
        <v>2746</v>
      </c>
      <c r="BX20" s="609">
        <f t="shared" si="14"/>
        <v>3794</v>
      </c>
      <c r="BY20" s="609">
        <f t="shared" si="14"/>
        <v>3102</v>
      </c>
      <c r="BZ20" s="609">
        <f t="shared" si="14"/>
        <v>3272</v>
      </c>
      <c r="CA20" s="609">
        <f t="shared" si="14"/>
        <v>3771</v>
      </c>
      <c r="CB20" s="614">
        <f t="shared" si="14"/>
        <v>4249</v>
      </c>
      <c r="CC20" s="609">
        <f t="shared" si="14"/>
        <v>3936</v>
      </c>
      <c r="CD20" s="609">
        <f t="shared" si="14"/>
        <v>5535</v>
      </c>
      <c r="CE20" s="609">
        <f t="shared" si="14"/>
        <v>3503</v>
      </c>
      <c r="CF20" s="609">
        <f t="shared" si="14"/>
        <v>3845</v>
      </c>
      <c r="CG20" s="609">
        <f t="shared" si="14"/>
        <v>3751</v>
      </c>
      <c r="CH20" s="609">
        <f t="shared" si="14"/>
        <v>3180</v>
      </c>
      <c r="CI20" s="609">
        <f t="shared" si="14"/>
        <v>2853</v>
      </c>
      <c r="CJ20" s="609">
        <f t="shared" si="14"/>
        <v>4043</v>
      </c>
      <c r="CK20" s="609">
        <f t="shared" si="14"/>
        <v>3709</v>
      </c>
      <c r="CL20" s="609">
        <f t="shared" si="14"/>
        <v>5269</v>
      </c>
      <c r="CM20" s="609">
        <f t="shared" si="14"/>
        <v>12278</v>
      </c>
      <c r="CN20" s="609">
        <f t="shared" si="14"/>
        <v>9965</v>
      </c>
      <c r="CO20" s="609">
        <f t="shared" si="14"/>
        <v>7274</v>
      </c>
      <c r="CP20" s="609">
        <f t="shared" si="14"/>
        <v>6097</v>
      </c>
      <c r="CQ20" s="609">
        <f t="shared" si="14"/>
        <v>8517</v>
      </c>
      <c r="CR20" s="609">
        <f t="shared" si="14"/>
        <v>6703</v>
      </c>
      <c r="CS20" s="609">
        <f t="shared" si="14"/>
        <v>7112</v>
      </c>
      <c r="CT20" s="609">
        <f t="shared" si="14"/>
        <v>6072</v>
      </c>
      <c r="CU20" s="609">
        <f t="shared" si="14"/>
        <v>4918</v>
      </c>
      <c r="CV20" s="609">
        <f t="shared" si="14"/>
        <v>6093</v>
      </c>
      <c r="CW20" s="609">
        <f t="shared" si="14"/>
        <v>6080</v>
      </c>
      <c r="CX20" s="609">
        <f t="shared" si="14"/>
        <v>5056</v>
      </c>
      <c r="CY20" s="609">
        <f t="shared" si="14"/>
        <v>5464</v>
      </c>
      <c r="CZ20" s="609">
        <f t="shared" si="14"/>
        <v>12442</v>
      </c>
      <c r="DA20" s="609">
        <f t="shared" si="14"/>
        <v>6336</v>
      </c>
      <c r="DB20" s="609">
        <f t="shared" si="14"/>
        <v>7056</v>
      </c>
      <c r="DC20" s="609">
        <f t="shared" si="14"/>
        <v>5220</v>
      </c>
      <c r="DD20" s="609">
        <f t="shared" si="14"/>
        <v>5202</v>
      </c>
      <c r="DE20" s="609">
        <f>+DE37+DE53</f>
        <v>5976</v>
      </c>
      <c r="DF20" s="609">
        <f t="shared" si="14"/>
        <v>6025</v>
      </c>
      <c r="DG20" s="609">
        <f t="shared" si="14"/>
        <v>5235</v>
      </c>
      <c r="DH20" s="609">
        <f t="shared" si="14"/>
        <v>5397</v>
      </c>
      <c r="DI20" s="609">
        <f t="shared" si="14"/>
        <v>5576</v>
      </c>
      <c r="DJ20" s="609">
        <f t="shared" si="14"/>
        <v>5263</v>
      </c>
      <c r="DK20" s="609">
        <f t="shared" si="14"/>
        <v>5681</v>
      </c>
      <c r="DL20" s="609">
        <f t="shared" si="14"/>
        <v>5205</v>
      </c>
      <c r="DM20" s="609">
        <f t="shared" si="14"/>
        <v>4996</v>
      </c>
      <c r="DN20" s="609">
        <f t="shared" si="14"/>
        <v>5020</v>
      </c>
      <c r="DO20" s="609">
        <f t="shared" si="12"/>
        <v>5160</v>
      </c>
      <c r="DP20" s="609">
        <f t="shared" si="12"/>
        <v>4996</v>
      </c>
      <c r="DQ20" s="609">
        <f t="shared" si="12"/>
        <v>5040</v>
      </c>
      <c r="DR20" s="609">
        <f t="shared" si="12"/>
        <v>5225</v>
      </c>
      <c r="DS20" s="609">
        <f t="shared" si="12"/>
        <v>5358</v>
      </c>
      <c r="DT20" s="609">
        <f t="shared" si="12"/>
        <v>5909</v>
      </c>
      <c r="DU20" s="609">
        <f t="shared" si="12"/>
        <v>5564</v>
      </c>
      <c r="DV20" s="609">
        <f t="shared" si="12"/>
        <v>5484</v>
      </c>
      <c r="DW20" s="609">
        <f t="shared" si="12"/>
        <v>5599</v>
      </c>
      <c r="DX20" s="609">
        <f t="shared" si="12"/>
        <v>5463</v>
      </c>
      <c r="DY20" s="609">
        <f t="shared" si="12"/>
        <v>5332</v>
      </c>
      <c r="DZ20" s="609">
        <f t="shared" si="12"/>
        <v>4921</v>
      </c>
      <c r="EA20" s="609">
        <f t="shared" si="12"/>
        <v>5209</v>
      </c>
      <c r="EB20" s="609">
        <f t="shared" si="12"/>
        <v>4900</v>
      </c>
      <c r="EC20" s="609">
        <f t="shared" si="12"/>
        <v>4714</v>
      </c>
      <c r="ED20" s="609">
        <f t="shared" si="12"/>
        <v>5017</v>
      </c>
      <c r="EE20" s="609">
        <f t="shared" si="12"/>
        <v>5016</v>
      </c>
      <c r="EF20" s="609">
        <f t="shared" si="12"/>
        <v>5153</v>
      </c>
      <c r="EG20" s="609">
        <f t="shared" si="12"/>
        <v>5025</v>
      </c>
      <c r="EH20" s="609">
        <f t="shared" si="12"/>
        <v>0</v>
      </c>
      <c r="EI20" s="609">
        <f t="shared" si="12"/>
        <v>0</v>
      </c>
      <c r="EJ20" s="609">
        <f t="shared" si="12"/>
        <v>0</v>
      </c>
    </row>
    <row r="21" spans="1:142" s="300" customFormat="1" ht="24" customHeight="1" thickBot="1">
      <c r="A21" s="873"/>
      <c r="B21" s="874"/>
      <c r="C21" s="615" t="s">
        <v>57</v>
      </c>
      <c r="D21" s="616" t="s">
        <v>48</v>
      </c>
      <c r="E21" s="617">
        <f t="shared" si="16"/>
        <v>542153.89</v>
      </c>
      <c r="F21" s="618">
        <f t="shared" si="16"/>
        <v>717715.81000000052</v>
      </c>
      <c r="G21" s="618">
        <f t="shared" si="16"/>
        <v>1055651.419999999</v>
      </c>
      <c r="H21" s="619">
        <f t="shared" si="16"/>
        <v>976419.03000000026</v>
      </c>
      <c r="I21" s="620">
        <f t="shared" si="16"/>
        <v>2674015.0700000003</v>
      </c>
      <c r="J21" s="618">
        <f t="shared" si="16"/>
        <v>2127198.38</v>
      </c>
      <c r="K21" s="618">
        <f t="shared" si="16"/>
        <v>2245230.09</v>
      </c>
      <c r="L21" s="618">
        <f t="shared" si="16"/>
        <v>2106819.4600000014</v>
      </c>
      <c r="M21" s="618">
        <f t="shared" si="16"/>
        <v>2271680.2800000007</v>
      </c>
      <c r="N21" s="618">
        <f t="shared" si="16"/>
        <v>2318362.5299999989</v>
      </c>
      <c r="O21" s="618">
        <f t="shared" si="16"/>
        <v>2454700.8800000018</v>
      </c>
      <c r="P21" s="618">
        <f t="shared" si="16"/>
        <v>3097675.7599999974</v>
      </c>
      <c r="Q21" s="618">
        <f t="shared" si="16"/>
        <v>2690402.8600000008</v>
      </c>
      <c r="R21" s="618">
        <f t="shared" si="16"/>
        <v>3549598.5300000035</v>
      </c>
      <c r="S21" s="618">
        <f t="shared" si="16"/>
        <v>3529455.7500000014</v>
      </c>
      <c r="T21" s="619">
        <f t="shared" si="16"/>
        <v>3665398.4300000025</v>
      </c>
      <c r="U21" s="620">
        <f t="shared" si="16"/>
        <v>3841919.6200000006</v>
      </c>
      <c r="V21" s="617">
        <f t="shared" si="16"/>
        <v>3728287.3699999987</v>
      </c>
      <c r="W21" s="617">
        <f t="shared" si="16"/>
        <v>4671564.0799999945</v>
      </c>
      <c r="X21" s="617">
        <f t="shared" si="16"/>
        <v>4070076.5700000008</v>
      </c>
      <c r="Y21" s="617">
        <f t="shared" si="16"/>
        <v>3911163.76</v>
      </c>
      <c r="Z21" s="617">
        <f t="shared" si="16"/>
        <v>3950462.8899999987</v>
      </c>
      <c r="AA21" s="617">
        <f t="shared" si="16"/>
        <v>3819041.9000000004</v>
      </c>
      <c r="AB21" s="617">
        <f t="shared" si="16"/>
        <v>4193554.8100000015</v>
      </c>
      <c r="AC21" s="617">
        <f t="shared" si="16"/>
        <v>4084013.4999999991</v>
      </c>
      <c r="AD21" s="617">
        <f t="shared" si="16"/>
        <v>5023023.8600000022</v>
      </c>
      <c r="AE21" s="617">
        <f t="shared" si="16"/>
        <v>5130700.1999999974</v>
      </c>
      <c r="AF21" s="617">
        <f t="shared" si="16"/>
        <v>3429550.7000000067</v>
      </c>
      <c r="AG21" s="617">
        <f t="shared" si="16"/>
        <v>3806409.7600000063</v>
      </c>
      <c r="AH21" s="617">
        <f t="shared" si="16"/>
        <v>4803328.5399999851</v>
      </c>
      <c r="AI21" s="617">
        <f t="shared" si="16"/>
        <v>4293698.889999995</v>
      </c>
      <c r="AJ21" s="617">
        <f t="shared" si="16"/>
        <v>4263766.3600000059</v>
      </c>
      <c r="AK21" s="617">
        <f t="shared" si="16"/>
        <v>4845391.4699999802</v>
      </c>
      <c r="AL21" s="617">
        <f t="shared" si="16"/>
        <v>4004842.2500000056</v>
      </c>
      <c r="AM21" s="617">
        <f t="shared" si="16"/>
        <v>4451453.6800000165</v>
      </c>
      <c r="AN21" s="617">
        <f t="shared" si="16"/>
        <v>3917150.5199999954</v>
      </c>
      <c r="AO21" s="617">
        <f t="shared" si="16"/>
        <v>3709587.9500000007</v>
      </c>
      <c r="AP21" s="617">
        <f t="shared" si="15"/>
        <v>4712804.5299999993</v>
      </c>
      <c r="AQ21" s="617">
        <f t="shared" si="15"/>
        <v>5862559.4900000002</v>
      </c>
      <c r="AR21" s="617">
        <f t="shared" si="15"/>
        <v>4556777.129999998</v>
      </c>
      <c r="AS21" s="617">
        <f t="shared" si="15"/>
        <v>4354159.8199999984</v>
      </c>
      <c r="AT21" s="617">
        <f t="shared" si="15"/>
        <v>4516800.2099999962</v>
      </c>
      <c r="AU21" s="617">
        <f t="shared" si="15"/>
        <v>4908425.8000000035</v>
      </c>
      <c r="AV21" s="617">
        <f t="shared" si="13"/>
        <v>4575215.6800000062</v>
      </c>
      <c r="AW21" s="617">
        <f t="shared" si="13"/>
        <v>4384986.8199999919</v>
      </c>
      <c r="AX21" s="617">
        <f t="shared" si="13"/>
        <v>4746687.6399999987</v>
      </c>
      <c r="AY21" s="617">
        <f t="shared" si="13"/>
        <v>6195611.4300000006</v>
      </c>
      <c r="AZ21" s="617">
        <f t="shared" si="13"/>
        <v>5550097.7399999993</v>
      </c>
      <c r="BA21" s="617">
        <f t="shared" si="13"/>
        <v>7017385.2600000007</v>
      </c>
      <c r="BB21" s="617">
        <f t="shared" si="13"/>
        <v>5257911.0599999987</v>
      </c>
      <c r="BC21" s="617">
        <f t="shared" si="13"/>
        <v>6069552.8699999982</v>
      </c>
      <c r="BD21" s="617">
        <f t="shared" si="13"/>
        <v>5738115.5500000026</v>
      </c>
      <c r="BE21" s="617">
        <f t="shared" si="13"/>
        <v>5830687.6099999966</v>
      </c>
      <c r="BF21" s="617">
        <f t="shared" si="13"/>
        <v>5942063.9100000029</v>
      </c>
      <c r="BG21" s="617">
        <f t="shared" si="13"/>
        <v>5920335.9199999971</v>
      </c>
      <c r="BH21" s="617">
        <f t="shared" si="13"/>
        <v>5049995.4200000037</v>
      </c>
      <c r="BI21" s="617">
        <f t="shared" si="13"/>
        <v>6903189.820000005</v>
      </c>
      <c r="BJ21" s="617">
        <f>+BJ38+BJ54</f>
        <v>6480225.919999986</v>
      </c>
      <c r="BK21" s="617">
        <f t="shared" si="13"/>
        <v>8443770.6300000064</v>
      </c>
      <c r="BL21" s="617">
        <f t="shared" si="14"/>
        <v>7344827.9700000072</v>
      </c>
      <c r="BM21" s="617">
        <f t="shared" si="14"/>
        <v>10047917.849999893</v>
      </c>
      <c r="BN21" s="617">
        <f t="shared" si="14"/>
        <v>8019826.1800000919</v>
      </c>
      <c r="BO21" s="617">
        <f t="shared" si="14"/>
        <v>7878596.9000000078</v>
      </c>
      <c r="BP21" s="621">
        <f t="shared" si="14"/>
        <v>7585857.0299999919</v>
      </c>
      <c r="BQ21" s="620">
        <f t="shared" si="14"/>
        <v>7685188.2599999998</v>
      </c>
      <c r="BR21" s="617">
        <f t="shared" si="14"/>
        <v>7515833.630000012</v>
      </c>
      <c r="BS21" s="617">
        <f t="shared" si="14"/>
        <v>8524169.8799999915</v>
      </c>
      <c r="BT21" s="617">
        <f t="shared" si="14"/>
        <v>10113913.749999994</v>
      </c>
      <c r="BU21" s="617">
        <f t="shared" si="14"/>
        <v>10553422.709999984</v>
      </c>
      <c r="BV21" s="617">
        <f t="shared" si="14"/>
        <v>11334223.060000017</v>
      </c>
      <c r="BW21" s="617">
        <f t="shared" si="14"/>
        <v>12948926.659999972</v>
      </c>
      <c r="BX21" s="617">
        <f t="shared" si="14"/>
        <v>14724734.199999988</v>
      </c>
      <c r="BY21" s="617">
        <f t="shared" si="14"/>
        <v>15700263.820000038</v>
      </c>
      <c r="BZ21" s="617">
        <f t="shared" si="14"/>
        <v>16306308.169999963</v>
      </c>
      <c r="CA21" s="617">
        <f t="shared" si="14"/>
        <v>16025354.290000046</v>
      </c>
      <c r="CB21" s="622">
        <f t="shared" si="14"/>
        <v>12839242.939999999</v>
      </c>
      <c r="CC21" s="617">
        <f t="shared" si="14"/>
        <v>13529747.459999984</v>
      </c>
      <c r="CD21" s="617">
        <f t="shared" si="14"/>
        <v>16441966.759999998</v>
      </c>
      <c r="CE21" s="617">
        <f t="shared" si="14"/>
        <v>17851723.06000001</v>
      </c>
      <c r="CF21" s="617">
        <f t="shared" si="14"/>
        <v>21606697.479999974</v>
      </c>
      <c r="CG21" s="617">
        <f t="shared" si="14"/>
        <v>20392869.910000026</v>
      </c>
      <c r="CH21" s="617">
        <f t="shared" si="14"/>
        <v>21373960.329999983</v>
      </c>
      <c r="CI21" s="617">
        <f t="shared" si="14"/>
        <v>21026856.369999997</v>
      </c>
      <c r="CJ21" s="617">
        <f t="shared" si="14"/>
        <v>20574287.739999928</v>
      </c>
      <c r="CK21" s="617">
        <f t="shared" si="14"/>
        <v>22740534.780000098</v>
      </c>
      <c r="CL21" s="617">
        <f t="shared" ref="CL21:EI21" si="17">+CL38+CL54</f>
        <v>19259986.699999981</v>
      </c>
      <c r="CM21" s="617">
        <f t="shared" si="17"/>
        <v>19510412.569999985</v>
      </c>
      <c r="CN21" s="617">
        <f t="shared" si="17"/>
        <v>17560351.659999974</v>
      </c>
      <c r="CO21" s="617">
        <f t="shared" si="17"/>
        <v>19893585.540000029</v>
      </c>
      <c r="CP21" s="617">
        <f t="shared" si="17"/>
        <v>25917670.52</v>
      </c>
      <c r="CQ21" s="617">
        <f t="shared" si="17"/>
        <v>24577155.940000035</v>
      </c>
      <c r="CR21" s="617">
        <f t="shared" si="17"/>
        <v>21926210.209999967</v>
      </c>
      <c r="CS21" s="617">
        <f t="shared" si="17"/>
        <v>23057680.239999995</v>
      </c>
      <c r="CT21" s="617">
        <f t="shared" si="17"/>
        <v>23057985.810000025</v>
      </c>
      <c r="CU21" s="617">
        <f t="shared" si="17"/>
        <v>26700398.450000003</v>
      </c>
      <c r="CV21" s="617">
        <f t="shared" si="17"/>
        <v>24166071.399999931</v>
      </c>
      <c r="CW21" s="617">
        <f t="shared" si="17"/>
        <v>25271147.699999999</v>
      </c>
      <c r="CX21" s="617">
        <f t="shared" si="17"/>
        <v>27521307.890000001</v>
      </c>
      <c r="CY21" s="617">
        <f t="shared" si="17"/>
        <v>46719081.109999985</v>
      </c>
      <c r="CZ21" s="617">
        <f t="shared" si="17"/>
        <v>1311367.4200000092</v>
      </c>
      <c r="DA21" s="617">
        <f t="shared" si="17"/>
        <v>20718733.839999937</v>
      </c>
      <c r="DB21" s="617">
        <f t="shared" si="17"/>
        <v>27676188.949999981</v>
      </c>
      <c r="DC21" s="617">
        <f t="shared" si="17"/>
        <v>22788045.899999976</v>
      </c>
      <c r="DD21" s="617">
        <f t="shared" si="17"/>
        <v>27422602.949999914</v>
      </c>
      <c r="DE21" s="617">
        <f>+DE38+DE54</f>
        <v>31965810.599999912</v>
      </c>
      <c r="DF21" s="617">
        <f t="shared" ref="DF21:DN21" si="18">+DF38+DF54</f>
        <v>22954030.31000001</v>
      </c>
      <c r="DG21" s="617">
        <f t="shared" si="18"/>
        <v>29614295.139999975</v>
      </c>
      <c r="DH21" s="617">
        <f t="shared" si="18"/>
        <v>17103620.229999922</v>
      </c>
      <c r="DI21" s="617">
        <f t="shared" si="18"/>
        <v>28945305.919999965</v>
      </c>
      <c r="DJ21" s="617">
        <f t="shared" si="18"/>
        <v>25953429.129999887</v>
      </c>
      <c r="DK21" s="617">
        <f t="shared" si="18"/>
        <v>22242190.289999925</v>
      </c>
      <c r="DL21" s="617">
        <f t="shared" si="18"/>
        <v>28567625.130000003</v>
      </c>
      <c r="DM21" s="617">
        <f t="shared" si="18"/>
        <v>26069735.280000046</v>
      </c>
      <c r="DN21" s="617">
        <f t="shared" si="18"/>
        <v>27065156.679999895</v>
      </c>
      <c r="DO21" s="617">
        <f t="shared" si="12"/>
        <v>34929455.330000058</v>
      </c>
      <c r="DP21" s="617">
        <f t="shared" si="12"/>
        <v>25798579.569999985</v>
      </c>
      <c r="DQ21" s="617">
        <f t="shared" si="12"/>
        <v>35237702.85999985</v>
      </c>
      <c r="DR21" s="617">
        <f t="shared" si="12"/>
        <v>26213207.959999952</v>
      </c>
      <c r="DS21" s="617">
        <f t="shared" si="12"/>
        <v>30556462.710000031</v>
      </c>
      <c r="DT21" s="617">
        <f t="shared" si="12"/>
        <v>27588016.28999988</v>
      </c>
      <c r="DU21" s="617">
        <f t="shared" si="12"/>
        <v>31917061.970000029</v>
      </c>
      <c r="DV21" s="617">
        <f t="shared" si="12"/>
        <v>29736150.409999844</v>
      </c>
      <c r="DW21" s="617">
        <f t="shared" si="12"/>
        <v>29730763.240000054</v>
      </c>
      <c r="DX21" s="617">
        <f t="shared" si="12"/>
        <v>20090741.490000077</v>
      </c>
      <c r="DY21" s="617">
        <f t="shared" si="12"/>
        <v>20904543.169999983</v>
      </c>
      <c r="DZ21" s="617">
        <f t="shared" si="12"/>
        <v>28658557.569999997</v>
      </c>
      <c r="EA21" s="617">
        <f t="shared" si="12"/>
        <v>35030450.209999949</v>
      </c>
      <c r="EB21" s="617">
        <f t="shared" si="12"/>
        <v>29537436.000000082</v>
      </c>
      <c r="EC21" s="617">
        <f t="shared" si="12"/>
        <v>22523133.369999912</v>
      </c>
      <c r="ED21" s="617">
        <f t="shared" si="12"/>
        <v>21665474.859999947</v>
      </c>
      <c r="EE21" s="617">
        <f t="shared" si="12"/>
        <v>32744654.400000092</v>
      </c>
      <c r="EF21" s="617">
        <f t="shared" si="12"/>
        <v>24842134.960000075</v>
      </c>
      <c r="EG21" s="617">
        <f t="shared" si="12"/>
        <v>37364564.169999748</v>
      </c>
      <c r="EH21" s="617">
        <f t="shared" si="12"/>
        <v>-170337716.84999985</v>
      </c>
      <c r="EI21" s="617">
        <f t="shared" si="12"/>
        <v>0</v>
      </c>
      <c r="EJ21" s="617">
        <f t="shared" si="12"/>
        <v>0</v>
      </c>
      <c r="EL21" s="311"/>
    </row>
    <row r="22" spans="1:142" s="302" customFormat="1" ht="24" hidden="1" customHeight="1" thickTop="1">
      <c r="A22" s="904" t="s">
        <v>2</v>
      </c>
      <c r="B22" s="924"/>
      <c r="C22" s="928" t="s">
        <v>47</v>
      </c>
      <c r="D22" s="623" t="s">
        <v>48</v>
      </c>
      <c r="E22" s="624">
        <v>550832.77</v>
      </c>
      <c r="F22" s="625">
        <v>175201</v>
      </c>
      <c r="G22" s="625">
        <v>316229.21000000002</v>
      </c>
      <c r="H22" s="626">
        <v>0</v>
      </c>
      <c r="I22" s="627">
        <v>169460.65</v>
      </c>
      <c r="J22" s="628">
        <v>0</v>
      </c>
      <c r="K22" s="325">
        <v>151477.71</v>
      </c>
      <c r="L22" s="325">
        <v>160555.35999999999</v>
      </c>
      <c r="M22" s="325">
        <v>269561.89</v>
      </c>
      <c r="N22" s="325">
        <v>289943.26</v>
      </c>
      <c r="O22" s="325">
        <v>241196.91</v>
      </c>
      <c r="P22" s="325">
        <v>736090.83</v>
      </c>
      <c r="Q22" s="325">
        <v>263673.09999999998</v>
      </c>
      <c r="R22" s="325">
        <v>204632.81</v>
      </c>
      <c r="S22" s="325">
        <v>204475.25</v>
      </c>
      <c r="T22" s="326">
        <f>348287.27</f>
        <v>348287.27</v>
      </c>
      <c r="U22" s="327">
        <v>287141.84999999998</v>
      </c>
      <c r="V22" s="328">
        <v>309081.90999999997</v>
      </c>
      <c r="W22" s="328">
        <v>322033</v>
      </c>
      <c r="X22" s="328">
        <v>316120.89</v>
      </c>
      <c r="Y22" s="328">
        <v>316120.89</v>
      </c>
      <c r="Z22" s="328">
        <v>316120.89</v>
      </c>
      <c r="AA22" s="328">
        <v>316120.89</v>
      </c>
      <c r="AB22" s="328">
        <v>316120.89</v>
      </c>
      <c r="AC22" s="328">
        <v>316120.89</v>
      </c>
      <c r="AD22" s="328">
        <v>316120.89</v>
      </c>
      <c r="AE22" s="328">
        <v>316120.89</v>
      </c>
      <c r="AF22" s="328">
        <v>316120.89</v>
      </c>
      <c r="AG22" s="328">
        <v>316120.89</v>
      </c>
      <c r="AH22" s="328">
        <v>316120.89</v>
      </c>
      <c r="AI22" s="328">
        <v>316120.89</v>
      </c>
      <c r="AJ22" s="328">
        <v>316120.89</v>
      </c>
      <c r="AK22" s="328">
        <v>316120.89</v>
      </c>
      <c r="AL22" s="328">
        <v>316120.89</v>
      </c>
      <c r="AM22" s="328">
        <v>316120.89</v>
      </c>
      <c r="AN22" s="328">
        <v>316120.89</v>
      </c>
      <c r="AO22" s="328">
        <v>316120.89</v>
      </c>
      <c r="AP22" s="328">
        <v>316120.89</v>
      </c>
      <c r="AQ22" s="328">
        <v>316120.89</v>
      </c>
      <c r="AR22" s="328">
        <v>316120.89</v>
      </c>
      <c r="AS22" s="328">
        <v>316120.89</v>
      </c>
      <c r="AT22" s="328">
        <v>316120.89</v>
      </c>
      <c r="AU22" s="328">
        <v>316120.89</v>
      </c>
      <c r="AV22" s="328">
        <v>316120.89</v>
      </c>
      <c r="AW22" s="328">
        <v>316120.89</v>
      </c>
      <c r="AX22" s="328">
        <v>316120.89</v>
      </c>
      <c r="AY22" s="328">
        <v>316120.89</v>
      </c>
      <c r="AZ22" s="328">
        <v>316120.89</v>
      </c>
      <c r="BA22" s="328">
        <v>316120.89</v>
      </c>
      <c r="BB22" s="328">
        <v>316120.89</v>
      </c>
      <c r="BC22" s="328">
        <v>316120.89</v>
      </c>
      <c r="BD22" s="328">
        <v>316120.89</v>
      </c>
      <c r="BE22" s="328">
        <v>316120.89</v>
      </c>
      <c r="BF22" s="328">
        <v>316120.89</v>
      </c>
      <c r="BG22" s="328">
        <v>316120.89</v>
      </c>
      <c r="BH22" s="328">
        <v>316120.89</v>
      </c>
      <c r="BI22" s="328">
        <v>316120.89</v>
      </c>
      <c r="BJ22" s="328">
        <v>316120.89</v>
      </c>
      <c r="BK22" s="328">
        <v>316120.89</v>
      </c>
      <c r="BL22" s="328">
        <v>316120.89</v>
      </c>
      <c r="BM22" s="328">
        <v>316120.89</v>
      </c>
      <c r="BN22" s="328">
        <v>316120.89</v>
      </c>
      <c r="BO22" s="328">
        <v>316120.89</v>
      </c>
      <c r="BP22" s="329">
        <v>316120.89</v>
      </c>
      <c r="BQ22" s="327">
        <v>316120.89</v>
      </c>
      <c r="BR22" s="328">
        <v>316120.89</v>
      </c>
      <c r="BS22" s="328">
        <v>316120.89</v>
      </c>
      <c r="BT22" s="328">
        <v>316120.89</v>
      </c>
      <c r="BU22" s="328">
        <v>316120.89</v>
      </c>
      <c r="BV22" s="328">
        <v>316120.89</v>
      </c>
      <c r="BW22" s="328">
        <v>316120.89</v>
      </c>
      <c r="BX22" s="328">
        <v>316120.89</v>
      </c>
      <c r="BY22" s="328">
        <v>316120.89</v>
      </c>
      <c r="BZ22" s="328">
        <v>316120.89</v>
      </c>
      <c r="CA22" s="328">
        <v>316120.89</v>
      </c>
      <c r="CB22" s="330">
        <v>316120.89</v>
      </c>
      <c r="CC22" s="328">
        <v>316120.89</v>
      </c>
      <c r="CD22" s="328">
        <v>316120.89</v>
      </c>
      <c r="CE22" s="328">
        <v>316120.89</v>
      </c>
      <c r="CF22" s="328">
        <v>316120.89</v>
      </c>
      <c r="CG22" s="328">
        <v>316120.89</v>
      </c>
      <c r="CH22" s="328">
        <v>316120.89</v>
      </c>
      <c r="CI22" s="328">
        <v>316120.89</v>
      </c>
      <c r="CJ22" s="328">
        <v>316120.89</v>
      </c>
      <c r="CK22" s="328"/>
      <c r="CL22" s="328"/>
      <c r="CM22" s="328"/>
      <c r="CN22" s="328"/>
      <c r="CO22" s="328"/>
      <c r="CP22" s="328"/>
      <c r="CQ22" s="328"/>
      <c r="CR22" s="328"/>
      <c r="CS22" s="328"/>
      <c r="CT22" s="328"/>
      <c r="CU22" s="328"/>
      <c r="CV22" s="328"/>
      <c r="CW22" s="328"/>
      <c r="CX22" s="328"/>
      <c r="CY22" s="328"/>
      <c r="CZ22" s="328"/>
      <c r="DA22" s="328"/>
      <c r="DB22" s="328"/>
      <c r="DC22" s="328"/>
      <c r="DD22" s="328"/>
      <c r="DE22" s="328"/>
      <c r="DF22" s="328"/>
      <c r="DG22" s="328"/>
      <c r="DH22" s="328"/>
      <c r="DI22" s="328"/>
      <c r="DJ22" s="328"/>
      <c r="DK22" s="328"/>
      <c r="DL22" s="328"/>
      <c r="DM22" s="328"/>
      <c r="DN22" s="328"/>
      <c r="DO22" s="328"/>
      <c r="DP22" s="328"/>
      <c r="DQ22" s="328"/>
      <c r="DR22" s="328"/>
      <c r="DS22" s="328"/>
      <c r="DT22" s="328"/>
      <c r="DU22" s="328"/>
      <c r="DV22" s="328"/>
      <c r="DW22" s="328"/>
      <c r="DX22" s="328"/>
      <c r="DY22" s="328"/>
      <c r="DZ22" s="328"/>
      <c r="EA22" s="328"/>
      <c r="EB22" s="328"/>
      <c r="EC22" s="328"/>
      <c r="ED22" s="328"/>
      <c r="EE22" s="328"/>
      <c r="EF22" s="328"/>
      <c r="EG22" s="328"/>
      <c r="EH22" s="328"/>
      <c r="EI22" s="328"/>
      <c r="EJ22" s="328"/>
    </row>
    <row r="23" spans="1:142" s="303" customFormat="1" ht="24" hidden="1" customHeight="1">
      <c r="A23" s="906"/>
      <c r="B23" s="925"/>
      <c r="C23" s="929"/>
      <c r="D23" s="629" t="s">
        <v>49</v>
      </c>
      <c r="E23" s="630">
        <v>150</v>
      </c>
      <c r="F23" s="631">
        <v>46</v>
      </c>
      <c r="G23" s="631">
        <v>82</v>
      </c>
      <c r="H23" s="632">
        <v>0</v>
      </c>
      <c r="I23" s="633">
        <v>40</v>
      </c>
      <c r="J23" s="634">
        <v>0</v>
      </c>
      <c r="K23" s="331">
        <v>33</v>
      </c>
      <c r="L23" s="331">
        <v>48</v>
      </c>
      <c r="M23" s="331">
        <v>81</v>
      </c>
      <c r="N23" s="331">
        <v>86</v>
      </c>
      <c r="O23" s="331">
        <v>76</v>
      </c>
      <c r="P23" s="331">
        <v>220</v>
      </c>
      <c r="Q23" s="331">
        <v>73</v>
      </c>
      <c r="R23" s="331">
        <v>61</v>
      </c>
      <c r="S23" s="331">
        <v>59</v>
      </c>
      <c r="T23" s="332">
        <f>100</f>
        <v>100</v>
      </c>
      <c r="U23" s="333">
        <v>84</v>
      </c>
      <c r="V23" s="334">
        <v>85</v>
      </c>
      <c r="W23" s="334">
        <v>99</v>
      </c>
      <c r="X23" s="334">
        <v>95</v>
      </c>
      <c r="Y23" s="334">
        <v>95</v>
      </c>
      <c r="Z23" s="334">
        <v>95</v>
      </c>
      <c r="AA23" s="334">
        <v>95</v>
      </c>
      <c r="AB23" s="334">
        <v>95</v>
      </c>
      <c r="AC23" s="334">
        <v>95</v>
      </c>
      <c r="AD23" s="334">
        <v>95</v>
      </c>
      <c r="AE23" s="334">
        <v>95</v>
      </c>
      <c r="AF23" s="334">
        <v>95</v>
      </c>
      <c r="AG23" s="334">
        <v>95</v>
      </c>
      <c r="AH23" s="334">
        <v>95</v>
      </c>
      <c r="AI23" s="334">
        <v>95</v>
      </c>
      <c r="AJ23" s="334">
        <v>95</v>
      </c>
      <c r="AK23" s="334">
        <v>95</v>
      </c>
      <c r="AL23" s="334">
        <v>95</v>
      </c>
      <c r="AM23" s="334">
        <v>95</v>
      </c>
      <c r="AN23" s="334">
        <v>95</v>
      </c>
      <c r="AO23" s="334">
        <v>95</v>
      </c>
      <c r="AP23" s="334">
        <v>95</v>
      </c>
      <c r="AQ23" s="334">
        <v>95</v>
      </c>
      <c r="AR23" s="334">
        <v>95</v>
      </c>
      <c r="AS23" s="334">
        <v>95</v>
      </c>
      <c r="AT23" s="334">
        <v>95</v>
      </c>
      <c r="AU23" s="334">
        <v>95</v>
      </c>
      <c r="AV23" s="334">
        <v>95</v>
      </c>
      <c r="AW23" s="334">
        <v>95</v>
      </c>
      <c r="AX23" s="334">
        <v>95</v>
      </c>
      <c r="AY23" s="334">
        <v>95</v>
      </c>
      <c r="AZ23" s="334">
        <v>95</v>
      </c>
      <c r="BA23" s="334">
        <v>95</v>
      </c>
      <c r="BB23" s="334">
        <v>95</v>
      </c>
      <c r="BC23" s="334">
        <v>95</v>
      </c>
      <c r="BD23" s="334">
        <v>95</v>
      </c>
      <c r="BE23" s="334">
        <v>95</v>
      </c>
      <c r="BF23" s="334">
        <v>95</v>
      </c>
      <c r="BG23" s="334">
        <v>95</v>
      </c>
      <c r="BH23" s="334">
        <v>95</v>
      </c>
      <c r="BI23" s="334">
        <v>95</v>
      </c>
      <c r="BJ23" s="334">
        <v>95</v>
      </c>
      <c r="BK23" s="334">
        <v>95</v>
      </c>
      <c r="BL23" s="334">
        <v>95</v>
      </c>
      <c r="BM23" s="334">
        <v>95</v>
      </c>
      <c r="BN23" s="334">
        <v>95</v>
      </c>
      <c r="BO23" s="334">
        <v>95</v>
      </c>
      <c r="BP23" s="335">
        <v>95</v>
      </c>
      <c r="BQ23" s="333">
        <v>95</v>
      </c>
      <c r="BR23" s="334">
        <v>95</v>
      </c>
      <c r="BS23" s="334">
        <v>95</v>
      </c>
      <c r="BT23" s="334">
        <v>95</v>
      </c>
      <c r="BU23" s="334">
        <v>95</v>
      </c>
      <c r="BV23" s="334">
        <v>95</v>
      </c>
      <c r="BW23" s="334">
        <v>95</v>
      </c>
      <c r="BX23" s="334">
        <v>95</v>
      </c>
      <c r="BY23" s="334">
        <v>95</v>
      </c>
      <c r="BZ23" s="334">
        <v>95</v>
      </c>
      <c r="CA23" s="334">
        <v>95</v>
      </c>
      <c r="CB23" s="336">
        <v>95</v>
      </c>
      <c r="CC23" s="334">
        <v>95</v>
      </c>
      <c r="CD23" s="334">
        <v>95</v>
      </c>
      <c r="CE23" s="334">
        <v>95</v>
      </c>
      <c r="CF23" s="334">
        <v>95</v>
      </c>
      <c r="CG23" s="334">
        <v>95</v>
      </c>
      <c r="CH23" s="334">
        <v>95</v>
      </c>
      <c r="CI23" s="334">
        <v>95</v>
      </c>
      <c r="CJ23" s="334">
        <v>95</v>
      </c>
      <c r="CK23" s="334"/>
      <c r="CL23" s="334"/>
      <c r="CM23" s="334"/>
      <c r="CN23" s="334"/>
      <c r="CO23" s="334"/>
      <c r="CP23" s="334"/>
      <c r="CQ23" s="334"/>
      <c r="CR23" s="334"/>
      <c r="CS23" s="334"/>
      <c r="CT23" s="334"/>
      <c r="CU23" s="334"/>
      <c r="CV23" s="334"/>
      <c r="CW23" s="334"/>
      <c r="CX23" s="334"/>
      <c r="CY23" s="334"/>
      <c r="CZ23" s="334"/>
      <c r="DA23" s="334"/>
      <c r="DB23" s="334"/>
      <c r="DC23" s="334"/>
      <c r="DD23" s="334"/>
      <c r="DE23" s="334"/>
      <c r="DF23" s="334"/>
      <c r="DG23" s="334"/>
      <c r="DH23" s="334"/>
      <c r="DI23" s="334"/>
      <c r="DJ23" s="334"/>
      <c r="DK23" s="334"/>
      <c r="DL23" s="334"/>
      <c r="DM23" s="334"/>
      <c r="DN23" s="334"/>
      <c r="DO23" s="334"/>
      <c r="DP23" s="334"/>
      <c r="DQ23" s="334"/>
      <c r="DR23" s="334"/>
      <c r="DS23" s="334"/>
      <c r="DT23" s="334"/>
      <c r="DU23" s="334"/>
      <c r="DV23" s="334"/>
      <c r="DW23" s="334"/>
      <c r="DX23" s="334"/>
      <c r="DY23" s="334"/>
      <c r="DZ23" s="334"/>
      <c r="EA23" s="334"/>
      <c r="EB23" s="334"/>
      <c r="EC23" s="334"/>
      <c r="ED23" s="334"/>
      <c r="EE23" s="334"/>
      <c r="EF23" s="334"/>
      <c r="EG23" s="334"/>
      <c r="EH23" s="334"/>
      <c r="EI23" s="334"/>
      <c r="EJ23" s="334"/>
    </row>
    <row r="24" spans="1:142" s="302" customFormat="1" ht="24" hidden="1" customHeight="1">
      <c r="A24" s="906"/>
      <c r="B24" s="907"/>
      <c r="C24" s="930" t="s">
        <v>50</v>
      </c>
      <c r="D24" s="635" t="s">
        <v>48</v>
      </c>
      <c r="E24" s="636">
        <v>0</v>
      </c>
      <c r="F24" s="637">
        <v>28696.34</v>
      </c>
      <c r="G24" s="637">
        <v>36194</v>
      </c>
      <c r="H24" s="638">
        <v>6535.74</v>
      </c>
      <c r="I24" s="639">
        <v>17332.55</v>
      </c>
      <c r="J24" s="637">
        <v>34099.61</v>
      </c>
      <c r="K24" s="337">
        <v>2942.27</v>
      </c>
      <c r="L24" s="337">
        <v>31911.83</v>
      </c>
      <c r="M24" s="337">
        <v>21566.959999999999</v>
      </c>
      <c r="N24" s="337">
        <v>79987.33</v>
      </c>
      <c r="O24" s="337">
        <v>23631.63</v>
      </c>
      <c r="P24" s="337">
        <v>87889</v>
      </c>
      <c r="Q24" s="337">
        <v>54669.4</v>
      </c>
      <c r="R24" s="337">
        <v>10988.01</v>
      </c>
      <c r="S24" s="337">
        <v>51154.54</v>
      </c>
      <c r="T24" s="338">
        <v>4908.04</v>
      </c>
      <c r="U24" s="339">
        <v>28528.959999999999</v>
      </c>
      <c r="V24" s="340">
        <v>66622.259999999995</v>
      </c>
      <c r="W24" s="340">
        <v>175684.3799999957</v>
      </c>
      <c r="X24" s="340">
        <v>126814.73</v>
      </c>
      <c r="Y24" s="340">
        <v>126814.73</v>
      </c>
      <c r="Z24" s="340">
        <v>126814.73</v>
      </c>
      <c r="AA24" s="340">
        <v>126814.73</v>
      </c>
      <c r="AB24" s="340">
        <v>126814.73</v>
      </c>
      <c r="AC24" s="340">
        <v>126814.73</v>
      </c>
      <c r="AD24" s="340">
        <v>126814.73</v>
      </c>
      <c r="AE24" s="340">
        <v>126814.73</v>
      </c>
      <c r="AF24" s="340">
        <v>126814.73</v>
      </c>
      <c r="AG24" s="340">
        <v>126814.73</v>
      </c>
      <c r="AH24" s="340">
        <v>126814.73</v>
      </c>
      <c r="AI24" s="340">
        <v>126814.73</v>
      </c>
      <c r="AJ24" s="340">
        <v>126814.73</v>
      </c>
      <c r="AK24" s="340">
        <v>126814.73</v>
      </c>
      <c r="AL24" s="340">
        <v>126814.73</v>
      </c>
      <c r="AM24" s="340">
        <v>126814.73</v>
      </c>
      <c r="AN24" s="340">
        <v>126814.73</v>
      </c>
      <c r="AO24" s="340">
        <v>126814.73</v>
      </c>
      <c r="AP24" s="340">
        <v>126814.73</v>
      </c>
      <c r="AQ24" s="340">
        <v>126814.73</v>
      </c>
      <c r="AR24" s="340">
        <v>126814.73</v>
      </c>
      <c r="AS24" s="340">
        <v>126814.73</v>
      </c>
      <c r="AT24" s="340">
        <v>126814.73</v>
      </c>
      <c r="AU24" s="340">
        <v>126814.73</v>
      </c>
      <c r="AV24" s="340">
        <v>126814.73</v>
      </c>
      <c r="AW24" s="340">
        <v>126814.73</v>
      </c>
      <c r="AX24" s="340">
        <v>126814.73</v>
      </c>
      <c r="AY24" s="340">
        <v>126814.73</v>
      </c>
      <c r="AZ24" s="340">
        <v>126814.73</v>
      </c>
      <c r="BA24" s="340">
        <v>126814.73</v>
      </c>
      <c r="BB24" s="340">
        <v>126814.73</v>
      </c>
      <c r="BC24" s="340">
        <v>126814.73</v>
      </c>
      <c r="BD24" s="340">
        <v>126814.73</v>
      </c>
      <c r="BE24" s="340">
        <v>126814.73</v>
      </c>
      <c r="BF24" s="340">
        <v>126814.73</v>
      </c>
      <c r="BG24" s="340">
        <v>126814.73</v>
      </c>
      <c r="BH24" s="340">
        <v>126814.73</v>
      </c>
      <c r="BI24" s="340">
        <v>126814.73</v>
      </c>
      <c r="BJ24" s="340">
        <v>126814.73</v>
      </c>
      <c r="BK24" s="340">
        <v>126814.73</v>
      </c>
      <c r="BL24" s="340">
        <v>126814.73</v>
      </c>
      <c r="BM24" s="340">
        <v>126814.73</v>
      </c>
      <c r="BN24" s="340">
        <v>126814.73</v>
      </c>
      <c r="BO24" s="340">
        <v>126814.73</v>
      </c>
      <c r="BP24" s="341">
        <v>126814.73</v>
      </c>
      <c r="BQ24" s="339">
        <v>126814.73</v>
      </c>
      <c r="BR24" s="340">
        <v>126814.73</v>
      </c>
      <c r="BS24" s="340">
        <v>126814.73</v>
      </c>
      <c r="BT24" s="340">
        <v>126814.73</v>
      </c>
      <c r="BU24" s="340">
        <v>126814.73</v>
      </c>
      <c r="BV24" s="340">
        <v>126814.73</v>
      </c>
      <c r="BW24" s="340">
        <v>126814.73</v>
      </c>
      <c r="BX24" s="340">
        <v>126814.73</v>
      </c>
      <c r="BY24" s="340">
        <v>126814.73</v>
      </c>
      <c r="BZ24" s="340">
        <v>126814.73</v>
      </c>
      <c r="CA24" s="340">
        <v>126814.73</v>
      </c>
      <c r="CB24" s="342">
        <v>126814.73</v>
      </c>
      <c r="CC24" s="340">
        <v>126814.73</v>
      </c>
      <c r="CD24" s="340">
        <v>126814.73</v>
      </c>
      <c r="CE24" s="340">
        <v>126814.73</v>
      </c>
      <c r="CF24" s="340">
        <v>126814.73</v>
      </c>
      <c r="CG24" s="340">
        <v>126814.73</v>
      </c>
      <c r="CH24" s="340">
        <v>126814.73</v>
      </c>
      <c r="CI24" s="340">
        <v>126814.73</v>
      </c>
      <c r="CJ24" s="340">
        <v>126814.73</v>
      </c>
      <c r="CK24" s="340"/>
      <c r="CL24" s="340"/>
      <c r="CM24" s="340"/>
      <c r="CN24" s="340"/>
      <c r="CO24" s="340"/>
      <c r="CP24" s="340"/>
      <c r="CQ24" s="340"/>
      <c r="CR24" s="340"/>
      <c r="CS24" s="340"/>
      <c r="CT24" s="340"/>
      <c r="CU24" s="340"/>
      <c r="CV24" s="340"/>
      <c r="CW24" s="340"/>
      <c r="CX24" s="340"/>
      <c r="CY24" s="340"/>
      <c r="CZ24" s="340"/>
      <c r="DA24" s="340"/>
      <c r="DB24" s="340"/>
      <c r="DC24" s="340"/>
      <c r="DD24" s="340"/>
      <c r="DE24" s="340"/>
      <c r="DF24" s="340"/>
      <c r="DG24" s="340"/>
      <c r="DH24" s="340"/>
      <c r="DI24" s="340"/>
      <c r="DJ24" s="340"/>
      <c r="DK24" s="340"/>
      <c r="DL24" s="340"/>
      <c r="DM24" s="340"/>
      <c r="DN24" s="340"/>
      <c r="DO24" s="340"/>
      <c r="DP24" s="340"/>
      <c r="DQ24" s="340"/>
      <c r="DR24" s="340"/>
      <c r="DS24" s="340"/>
      <c r="DT24" s="340"/>
      <c r="DU24" s="340"/>
      <c r="DV24" s="340"/>
      <c r="DW24" s="340"/>
      <c r="DX24" s="340"/>
      <c r="DY24" s="340"/>
      <c r="DZ24" s="340"/>
      <c r="EA24" s="340"/>
      <c r="EB24" s="340"/>
      <c r="EC24" s="340"/>
      <c r="ED24" s="340"/>
      <c r="EE24" s="340"/>
      <c r="EF24" s="340"/>
      <c r="EG24" s="340"/>
      <c r="EH24" s="340"/>
      <c r="EI24" s="340"/>
      <c r="EJ24" s="340"/>
    </row>
    <row r="25" spans="1:142" s="303" customFormat="1" ht="24" hidden="1" customHeight="1">
      <c r="A25" s="906"/>
      <c r="B25" s="907"/>
      <c r="C25" s="929"/>
      <c r="D25" s="640" t="s">
        <v>49</v>
      </c>
      <c r="E25" s="641">
        <v>0</v>
      </c>
      <c r="F25" s="642">
        <v>9</v>
      </c>
      <c r="G25" s="642">
        <v>4</v>
      </c>
      <c r="H25" s="643">
        <v>1</v>
      </c>
      <c r="I25" s="644">
        <v>5</v>
      </c>
      <c r="J25" s="642">
        <v>5</v>
      </c>
      <c r="K25" s="343">
        <v>1</v>
      </c>
      <c r="L25" s="344">
        <v>7</v>
      </c>
      <c r="M25" s="344">
        <v>7</v>
      </c>
      <c r="N25" s="344">
        <v>23</v>
      </c>
      <c r="O25" s="344">
        <v>8</v>
      </c>
      <c r="P25" s="344">
        <v>25</v>
      </c>
      <c r="Q25" s="344">
        <v>18</v>
      </c>
      <c r="R25" s="344">
        <v>4</v>
      </c>
      <c r="S25" s="344">
        <v>15</v>
      </c>
      <c r="T25" s="345">
        <v>10</v>
      </c>
      <c r="U25" s="346">
        <v>13</v>
      </c>
      <c r="V25" s="347">
        <v>22</v>
      </c>
      <c r="W25" s="347">
        <v>59</v>
      </c>
      <c r="X25" s="347">
        <v>40</v>
      </c>
      <c r="Y25" s="347">
        <v>40</v>
      </c>
      <c r="Z25" s="347">
        <v>40</v>
      </c>
      <c r="AA25" s="347">
        <v>40</v>
      </c>
      <c r="AB25" s="347">
        <v>40</v>
      </c>
      <c r="AC25" s="347">
        <v>40</v>
      </c>
      <c r="AD25" s="347">
        <v>40</v>
      </c>
      <c r="AE25" s="347">
        <v>40</v>
      </c>
      <c r="AF25" s="347">
        <v>40</v>
      </c>
      <c r="AG25" s="347">
        <v>40</v>
      </c>
      <c r="AH25" s="347">
        <v>40</v>
      </c>
      <c r="AI25" s="347">
        <v>40</v>
      </c>
      <c r="AJ25" s="347">
        <v>40</v>
      </c>
      <c r="AK25" s="347">
        <v>40</v>
      </c>
      <c r="AL25" s="347">
        <v>40</v>
      </c>
      <c r="AM25" s="347">
        <v>40</v>
      </c>
      <c r="AN25" s="347">
        <v>40</v>
      </c>
      <c r="AO25" s="347">
        <v>40</v>
      </c>
      <c r="AP25" s="347">
        <v>40</v>
      </c>
      <c r="AQ25" s="347">
        <v>40</v>
      </c>
      <c r="AR25" s="347">
        <v>40</v>
      </c>
      <c r="AS25" s="347">
        <v>40</v>
      </c>
      <c r="AT25" s="347">
        <v>40</v>
      </c>
      <c r="AU25" s="347">
        <v>40</v>
      </c>
      <c r="AV25" s="347">
        <v>40</v>
      </c>
      <c r="AW25" s="347">
        <v>40</v>
      </c>
      <c r="AX25" s="347">
        <v>40</v>
      </c>
      <c r="AY25" s="347">
        <v>40</v>
      </c>
      <c r="AZ25" s="347">
        <v>40</v>
      </c>
      <c r="BA25" s="347">
        <v>40</v>
      </c>
      <c r="BB25" s="347">
        <v>40</v>
      </c>
      <c r="BC25" s="347">
        <v>40</v>
      </c>
      <c r="BD25" s="347">
        <v>40</v>
      </c>
      <c r="BE25" s="347">
        <v>40</v>
      </c>
      <c r="BF25" s="347">
        <v>40</v>
      </c>
      <c r="BG25" s="347">
        <v>40</v>
      </c>
      <c r="BH25" s="347">
        <v>40</v>
      </c>
      <c r="BI25" s="347">
        <v>40</v>
      </c>
      <c r="BJ25" s="347">
        <v>40</v>
      </c>
      <c r="BK25" s="347">
        <v>40</v>
      </c>
      <c r="BL25" s="347">
        <v>40</v>
      </c>
      <c r="BM25" s="347">
        <v>40</v>
      </c>
      <c r="BN25" s="347">
        <v>40</v>
      </c>
      <c r="BO25" s="347">
        <v>40</v>
      </c>
      <c r="BP25" s="348">
        <v>40</v>
      </c>
      <c r="BQ25" s="346">
        <v>40</v>
      </c>
      <c r="BR25" s="347">
        <v>40</v>
      </c>
      <c r="BS25" s="347">
        <v>40</v>
      </c>
      <c r="BT25" s="347">
        <v>40</v>
      </c>
      <c r="BU25" s="347">
        <v>40</v>
      </c>
      <c r="BV25" s="347">
        <v>40</v>
      </c>
      <c r="BW25" s="347">
        <v>40</v>
      </c>
      <c r="BX25" s="347">
        <v>40</v>
      </c>
      <c r="BY25" s="347">
        <v>40</v>
      </c>
      <c r="BZ25" s="347">
        <v>40</v>
      </c>
      <c r="CA25" s="347">
        <v>40</v>
      </c>
      <c r="CB25" s="349">
        <v>40</v>
      </c>
      <c r="CC25" s="347">
        <v>40</v>
      </c>
      <c r="CD25" s="347">
        <v>40</v>
      </c>
      <c r="CE25" s="347">
        <v>40</v>
      </c>
      <c r="CF25" s="347">
        <v>40</v>
      </c>
      <c r="CG25" s="347">
        <v>40</v>
      </c>
      <c r="CH25" s="347">
        <v>40</v>
      </c>
      <c r="CI25" s="347">
        <v>40</v>
      </c>
      <c r="CJ25" s="347">
        <v>40</v>
      </c>
      <c r="CK25" s="347"/>
      <c r="CL25" s="347"/>
      <c r="CM25" s="347"/>
      <c r="CN25" s="347"/>
      <c r="CO25" s="347"/>
      <c r="CP25" s="347"/>
      <c r="CQ25" s="347"/>
      <c r="CR25" s="347"/>
      <c r="CS25" s="347"/>
      <c r="CT25" s="347"/>
      <c r="CU25" s="347"/>
      <c r="CV25" s="347"/>
      <c r="CW25" s="347"/>
      <c r="CX25" s="347"/>
      <c r="CY25" s="347"/>
      <c r="CZ25" s="347"/>
      <c r="DA25" s="347"/>
      <c r="DB25" s="347"/>
      <c r="DC25" s="347"/>
      <c r="DD25" s="347"/>
      <c r="DE25" s="347"/>
      <c r="DF25" s="347"/>
      <c r="DG25" s="347"/>
      <c r="DH25" s="347"/>
      <c r="DI25" s="347"/>
      <c r="DJ25" s="347"/>
      <c r="DK25" s="347"/>
      <c r="DL25" s="347"/>
      <c r="DM25" s="347"/>
      <c r="DN25" s="347"/>
      <c r="DO25" s="347"/>
      <c r="DP25" s="347"/>
      <c r="DQ25" s="347"/>
      <c r="DR25" s="347"/>
      <c r="DS25" s="347"/>
      <c r="DT25" s="347"/>
      <c r="DU25" s="347"/>
      <c r="DV25" s="347"/>
      <c r="DW25" s="347"/>
      <c r="DX25" s="347"/>
      <c r="DY25" s="347"/>
      <c r="DZ25" s="347"/>
      <c r="EA25" s="347"/>
      <c r="EB25" s="347"/>
      <c r="EC25" s="347"/>
      <c r="ED25" s="347"/>
      <c r="EE25" s="347"/>
      <c r="EF25" s="347"/>
      <c r="EG25" s="347"/>
      <c r="EH25" s="347"/>
      <c r="EI25" s="347"/>
      <c r="EJ25" s="347"/>
    </row>
    <row r="26" spans="1:142" s="302" customFormat="1" ht="24" hidden="1" customHeight="1">
      <c r="A26" s="906"/>
      <c r="B26" s="907"/>
      <c r="C26" s="645" t="s">
        <v>51</v>
      </c>
      <c r="D26" s="646" t="s">
        <v>48</v>
      </c>
      <c r="E26" s="647"/>
      <c r="F26" s="648"/>
      <c r="G26" s="648"/>
      <c r="H26" s="649"/>
      <c r="I26" s="650"/>
      <c r="J26" s="648"/>
      <c r="K26" s="350"/>
      <c r="L26" s="351">
        <v>59988.82</v>
      </c>
      <c r="M26" s="351">
        <v>26305.500000000466</v>
      </c>
      <c r="N26" s="351">
        <v>18812.379999999655</v>
      </c>
      <c r="O26" s="351">
        <v>27889.300000001098</v>
      </c>
      <c r="P26" s="351">
        <v>9711.159999998752</v>
      </c>
      <c r="Q26" s="351">
        <v>61581.929999999702</v>
      </c>
      <c r="R26" s="351">
        <v>22255.240000003017</v>
      </c>
      <c r="S26" s="351">
        <v>58757.960000000428</v>
      </c>
      <c r="T26" s="352">
        <v>40902.600000002887</v>
      </c>
      <c r="U26" s="353">
        <f>41087.05+0.9</f>
        <v>41087.950000000004</v>
      </c>
      <c r="V26" s="354">
        <v>20495.709999998566</v>
      </c>
      <c r="W26" s="354">
        <f>47064.67+3674.25</f>
        <v>50738.92</v>
      </c>
      <c r="X26" s="354">
        <v>40118.720000000001</v>
      </c>
      <c r="Y26" s="354">
        <v>40118.720000000001</v>
      </c>
      <c r="Z26" s="354">
        <v>40118.720000000001</v>
      </c>
      <c r="AA26" s="354">
        <v>40118.720000000001</v>
      </c>
      <c r="AB26" s="354">
        <v>40118.720000000001</v>
      </c>
      <c r="AC26" s="354">
        <v>40118.720000000001</v>
      </c>
      <c r="AD26" s="354">
        <v>40118.720000000001</v>
      </c>
      <c r="AE26" s="354">
        <v>40118.720000000001</v>
      </c>
      <c r="AF26" s="354">
        <v>40118.720000000001</v>
      </c>
      <c r="AG26" s="354">
        <v>40118.720000000001</v>
      </c>
      <c r="AH26" s="354">
        <v>40118.720000000001</v>
      </c>
      <c r="AI26" s="354">
        <v>40118.720000000001</v>
      </c>
      <c r="AJ26" s="354">
        <v>40118.720000000001</v>
      </c>
      <c r="AK26" s="354">
        <v>40118.720000000001</v>
      </c>
      <c r="AL26" s="354">
        <v>40118.720000000001</v>
      </c>
      <c r="AM26" s="354">
        <v>40118.720000000001</v>
      </c>
      <c r="AN26" s="354">
        <v>40118.720000000001</v>
      </c>
      <c r="AO26" s="354">
        <v>40118.720000000001</v>
      </c>
      <c r="AP26" s="354">
        <v>40118.720000000001</v>
      </c>
      <c r="AQ26" s="354">
        <v>40118.720000000001</v>
      </c>
      <c r="AR26" s="354">
        <v>40118.720000000001</v>
      </c>
      <c r="AS26" s="354">
        <v>40118.720000000001</v>
      </c>
      <c r="AT26" s="354">
        <v>40118.720000000001</v>
      </c>
      <c r="AU26" s="354">
        <v>40118.720000000001</v>
      </c>
      <c r="AV26" s="354">
        <v>40118.720000000001</v>
      </c>
      <c r="AW26" s="354">
        <v>40118.720000000001</v>
      </c>
      <c r="AX26" s="354">
        <v>40118.720000000001</v>
      </c>
      <c r="AY26" s="354">
        <v>40118.720000000001</v>
      </c>
      <c r="AZ26" s="354">
        <v>40118.720000000001</v>
      </c>
      <c r="BA26" s="354">
        <v>40118.720000000001</v>
      </c>
      <c r="BB26" s="354">
        <v>40118.720000000001</v>
      </c>
      <c r="BC26" s="354">
        <v>40118.720000000001</v>
      </c>
      <c r="BD26" s="354">
        <v>40118.720000000001</v>
      </c>
      <c r="BE26" s="354">
        <v>40118.720000000001</v>
      </c>
      <c r="BF26" s="354">
        <v>40118.720000000001</v>
      </c>
      <c r="BG26" s="354">
        <v>40118.720000000001</v>
      </c>
      <c r="BH26" s="354">
        <v>40118.720000000001</v>
      </c>
      <c r="BI26" s="354">
        <v>40118.720000000001</v>
      </c>
      <c r="BJ26" s="354">
        <v>40118.720000000001</v>
      </c>
      <c r="BK26" s="354">
        <v>40118.720000000001</v>
      </c>
      <c r="BL26" s="354">
        <v>40118.720000000001</v>
      </c>
      <c r="BM26" s="354">
        <v>40118.720000000001</v>
      </c>
      <c r="BN26" s="354">
        <v>40118.720000000001</v>
      </c>
      <c r="BO26" s="354">
        <v>40118.720000000001</v>
      </c>
      <c r="BP26" s="355">
        <v>40118.720000000001</v>
      </c>
      <c r="BQ26" s="353">
        <v>40118.720000000001</v>
      </c>
      <c r="BR26" s="354">
        <v>40118.720000000001</v>
      </c>
      <c r="BS26" s="354">
        <v>40118.720000000001</v>
      </c>
      <c r="BT26" s="354">
        <v>40118.720000000001</v>
      </c>
      <c r="BU26" s="354">
        <v>40118.720000000001</v>
      </c>
      <c r="BV26" s="354">
        <v>40118.720000000001</v>
      </c>
      <c r="BW26" s="354">
        <v>40118.720000000001</v>
      </c>
      <c r="BX26" s="354">
        <v>40118.720000000001</v>
      </c>
      <c r="BY26" s="354">
        <v>40118.720000000001</v>
      </c>
      <c r="BZ26" s="354">
        <v>40118.720000000001</v>
      </c>
      <c r="CA26" s="354">
        <v>40118.720000000001</v>
      </c>
      <c r="CB26" s="356">
        <v>40118.720000000001</v>
      </c>
      <c r="CC26" s="354">
        <v>40118.720000000001</v>
      </c>
      <c r="CD26" s="354">
        <v>40118.720000000001</v>
      </c>
      <c r="CE26" s="354">
        <v>40118.720000000001</v>
      </c>
      <c r="CF26" s="354">
        <v>40118.720000000001</v>
      </c>
      <c r="CG26" s="354">
        <v>40118.720000000001</v>
      </c>
      <c r="CH26" s="354">
        <v>40118.720000000001</v>
      </c>
      <c r="CI26" s="354">
        <v>40118.720000000001</v>
      </c>
      <c r="CJ26" s="354">
        <v>40118.720000000001</v>
      </c>
      <c r="CK26" s="354"/>
      <c r="CL26" s="354"/>
      <c r="CM26" s="354"/>
      <c r="CN26" s="354"/>
      <c r="CO26" s="354"/>
      <c r="CP26" s="354"/>
      <c r="CQ26" s="354"/>
      <c r="CR26" s="354"/>
      <c r="CS26" s="354"/>
      <c r="CT26" s="354"/>
      <c r="CU26" s="354"/>
      <c r="CV26" s="354"/>
      <c r="CW26" s="354"/>
      <c r="CX26" s="354"/>
      <c r="CY26" s="354"/>
      <c r="CZ26" s="354"/>
      <c r="DA26" s="354"/>
      <c r="DB26" s="354"/>
      <c r="DC26" s="354"/>
      <c r="DD26" s="354"/>
      <c r="DE26" s="354"/>
      <c r="DF26" s="354"/>
      <c r="DG26" s="354"/>
      <c r="DH26" s="354"/>
      <c r="DI26" s="354"/>
      <c r="DJ26" s="354"/>
      <c r="DK26" s="354"/>
      <c r="DL26" s="354"/>
      <c r="DM26" s="354"/>
      <c r="DN26" s="354"/>
      <c r="DO26" s="354"/>
      <c r="DP26" s="354"/>
      <c r="DQ26" s="354"/>
      <c r="DR26" s="354"/>
      <c r="DS26" s="354"/>
      <c r="DT26" s="354"/>
      <c r="DU26" s="354"/>
      <c r="DV26" s="354"/>
      <c r="DW26" s="354"/>
      <c r="DX26" s="354"/>
      <c r="DY26" s="354"/>
      <c r="DZ26" s="354"/>
      <c r="EA26" s="354"/>
      <c r="EB26" s="354"/>
      <c r="EC26" s="354"/>
      <c r="ED26" s="354"/>
      <c r="EE26" s="354"/>
      <c r="EF26" s="354"/>
      <c r="EG26" s="354"/>
      <c r="EH26" s="354"/>
      <c r="EI26" s="354"/>
      <c r="EJ26" s="354"/>
    </row>
    <row r="27" spans="1:142" s="302" customFormat="1" ht="24" hidden="1" customHeight="1">
      <c r="A27" s="906"/>
      <c r="B27" s="907"/>
      <c r="C27" s="651"/>
      <c r="D27" s="652"/>
      <c r="E27" s="653"/>
      <c r="F27" s="654"/>
      <c r="G27" s="654"/>
      <c r="H27" s="655"/>
      <c r="I27" s="656"/>
      <c r="J27" s="654"/>
      <c r="K27" s="357"/>
      <c r="L27" s="357"/>
      <c r="M27" s="357"/>
      <c r="N27" s="357"/>
      <c r="O27" s="357"/>
      <c r="P27" s="357"/>
      <c r="Q27" s="357"/>
      <c r="R27" s="357"/>
      <c r="S27" s="357"/>
      <c r="T27" s="358"/>
      <c r="U27" s="359"/>
      <c r="V27" s="360"/>
      <c r="W27" s="360"/>
      <c r="X27" s="360"/>
      <c r="Y27" s="360"/>
      <c r="Z27" s="360"/>
      <c r="AA27" s="360"/>
      <c r="AB27" s="360"/>
      <c r="AC27" s="360"/>
      <c r="AD27" s="360"/>
      <c r="AE27" s="360"/>
      <c r="AF27" s="360"/>
      <c r="AG27" s="360"/>
      <c r="AH27" s="360"/>
      <c r="AI27" s="360"/>
      <c r="AJ27" s="360"/>
      <c r="AK27" s="360"/>
      <c r="AL27" s="360"/>
      <c r="AM27" s="360"/>
      <c r="AN27" s="360"/>
      <c r="AO27" s="360"/>
      <c r="AP27" s="360"/>
      <c r="AQ27" s="360"/>
      <c r="AR27" s="360"/>
      <c r="AS27" s="360"/>
      <c r="AT27" s="360"/>
      <c r="AU27" s="360"/>
      <c r="AV27" s="360"/>
      <c r="AW27" s="360"/>
      <c r="AX27" s="360"/>
      <c r="AY27" s="360"/>
      <c r="AZ27" s="360"/>
      <c r="BA27" s="360"/>
      <c r="BB27" s="360"/>
      <c r="BC27" s="360"/>
      <c r="BD27" s="360"/>
      <c r="BE27" s="360"/>
      <c r="BF27" s="360"/>
      <c r="BG27" s="360"/>
      <c r="BH27" s="360"/>
      <c r="BI27" s="360"/>
      <c r="BJ27" s="360"/>
      <c r="BK27" s="360"/>
      <c r="BL27" s="360"/>
      <c r="BM27" s="360"/>
      <c r="BN27" s="360"/>
      <c r="BO27" s="360"/>
      <c r="BP27" s="361"/>
      <c r="BQ27" s="359"/>
      <c r="BR27" s="360"/>
      <c r="BS27" s="360"/>
      <c r="BT27" s="360"/>
      <c r="BU27" s="360"/>
      <c r="BV27" s="360"/>
      <c r="BW27" s="360"/>
      <c r="BX27" s="360"/>
      <c r="BY27" s="360"/>
      <c r="BZ27" s="360"/>
      <c r="CA27" s="360"/>
      <c r="CB27" s="362"/>
      <c r="CC27" s="360"/>
      <c r="CD27" s="360"/>
      <c r="CE27" s="360"/>
      <c r="CF27" s="360"/>
      <c r="CG27" s="360"/>
      <c r="CH27" s="360"/>
      <c r="CI27" s="360"/>
      <c r="CJ27" s="360"/>
      <c r="CK27" s="360"/>
      <c r="CL27" s="360"/>
      <c r="CM27" s="360"/>
      <c r="CN27" s="360"/>
      <c r="CO27" s="360"/>
      <c r="CP27" s="360"/>
      <c r="CQ27" s="360"/>
      <c r="CR27" s="360"/>
      <c r="CS27" s="360"/>
      <c r="CT27" s="360"/>
      <c r="CU27" s="360"/>
      <c r="CV27" s="360"/>
      <c r="CW27" s="360"/>
      <c r="CX27" s="360"/>
      <c r="CY27" s="360"/>
      <c r="CZ27" s="360"/>
      <c r="DA27" s="360"/>
      <c r="DB27" s="360"/>
      <c r="DC27" s="360"/>
      <c r="DD27" s="360"/>
      <c r="DE27" s="360"/>
      <c r="DF27" s="360"/>
      <c r="DG27" s="360"/>
      <c r="DH27" s="360"/>
      <c r="DI27" s="360"/>
      <c r="DJ27" s="360"/>
      <c r="DK27" s="360"/>
      <c r="DL27" s="360"/>
      <c r="DM27" s="360"/>
      <c r="DN27" s="360"/>
      <c r="DO27" s="360"/>
      <c r="DP27" s="360"/>
      <c r="DQ27" s="360"/>
      <c r="DR27" s="360"/>
      <c r="DS27" s="360"/>
      <c r="DT27" s="360"/>
      <c r="DU27" s="360"/>
      <c r="DV27" s="360"/>
      <c r="DW27" s="360"/>
      <c r="DX27" s="360"/>
      <c r="DY27" s="360"/>
      <c r="DZ27" s="360"/>
      <c r="EA27" s="360"/>
      <c r="EB27" s="360"/>
      <c r="EC27" s="360"/>
      <c r="ED27" s="360"/>
      <c r="EE27" s="360"/>
      <c r="EF27" s="360"/>
      <c r="EG27" s="360"/>
      <c r="EH27" s="360"/>
      <c r="EI27" s="360"/>
      <c r="EJ27" s="360"/>
    </row>
    <row r="28" spans="1:142" s="302" customFormat="1" ht="24" customHeight="1" thickTop="1">
      <c r="A28" s="906"/>
      <c r="B28" s="907"/>
      <c r="C28" s="914" t="s">
        <v>52</v>
      </c>
      <c r="D28" s="657" t="s">
        <v>48</v>
      </c>
      <c r="E28" s="658">
        <f>+E30</f>
        <v>550832.77</v>
      </c>
      <c r="F28" s="659">
        <f>+F30-E30</f>
        <v>146504.66000000003</v>
      </c>
      <c r="G28" s="659">
        <f>+G30-F30</f>
        <v>280035.21000000008</v>
      </c>
      <c r="H28" s="660">
        <v>0</v>
      </c>
      <c r="I28" s="661">
        <f>+I30-H30</f>
        <v>152128.09999999986</v>
      </c>
      <c r="J28" s="662">
        <v>0</v>
      </c>
      <c r="K28" s="659">
        <f t="shared" ref="K28:BV29" si="19">+K30-J30</f>
        <v>148535.43999999994</v>
      </c>
      <c r="L28" s="659">
        <f t="shared" si="19"/>
        <v>68654.709999999963</v>
      </c>
      <c r="M28" s="659">
        <f t="shared" si="19"/>
        <v>221689.42999999947</v>
      </c>
      <c r="N28" s="659">
        <f t="shared" si="19"/>
        <v>191143.55000000028</v>
      </c>
      <c r="O28" s="659">
        <f t="shared" si="19"/>
        <v>189675.97999999882</v>
      </c>
      <c r="P28" s="659">
        <f t="shared" si="19"/>
        <v>638490.67000000109</v>
      </c>
      <c r="Q28" s="659">
        <f t="shared" si="19"/>
        <v>147421.77000000048</v>
      </c>
      <c r="R28" s="659">
        <f t="shared" si="19"/>
        <v>171389.55999999726</v>
      </c>
      <c r="S28" s="659">
        <f t="shared" si="19"/>
        <v>94562.749999999534</v>
      </c>
      <c r="T28" s="663">
        <f t="shared" si="19"/>
        <v>302476.62999999709</v>
      </c>
      <c r="U28" s="661">
        <f t="shared" si="19"/>
        <v>217524.93999999994</v>
      </c>
      <c r="V28" s="658">
        <f t="shared" si="19"/>
        <v>221963.94000000181</v>
      </c>
      <c r="W28" s="658">
        <f t="shared" si="19"/>
        <v>95609.700000004377</v>
      </c>
      <c r="X28" s="658">
        <f t="shared" si="19"/>
        <v>459979.86999999918</v>
      </c>
      <c r="Y28" s="658">
        <f t="shared" si="19"/>
        <v>357884.54000000097</v>
      </c>
      <c r="Z28" s="658">
        <f t="shared" si="19"/>
        <v>332719.5700000003</v>
      </c>
      <c r="AA28" s="658">
        <f t="shared" si="19"/>
        <v>269355.33999999985</v>
      </c>
      <c r="AB28" s="658">
        <f t="shared" si="19"/>
        <v>309557.93999999948</v>
      </c>
      <c r="AC28" s="658">
        <f t="shared" si="19"/>
        <v>76001.390000000596</v>
      </c>
      <c r="AD28" s="658">
        <f t="shared" si="19"/>
        <v>218753.16999999899</v>
      </c>
      <c r="AE28" s="658">
        <f t="shared" si="19"/>
        <v>204327.66000000108</v>
      </c>
      <c r="AF28" s="658">
        <f t="shared" si="19"/>
        <v>298715.90999999456</v>
      </c>
      <c r="AG28" s="658">
        <f t="shared" si="19"/>
        <v>-74.770000008866191</v>
      </c>
      <c r="AH28" s="658">
        <f t="shared" si="19"/>
        <v>116812.53000001516</v>
      </c>
      <c r="AI28" s="658">
        <f t="shared" si="19"/>
        <v>22559.6200000057</v>
      </c>
      <c r="AJ28" s="658">
        <f t="shared" si="19"/>
        <v>126115.58999999333</v>
      </c>
      <c r="AK28" s="658">
        <f t="shared" si="19"/>
        <v>-52691.959999982268</v>
      </c>
      <c r="AL28" s="658">
        <f t="shared" si="19"/>
        <v>189202.64999998361</v>
      </c>
      <c r="AM28" s="658">
        <f t="shared" si="19"/>
        <v>111604.46999999601</v>
      </c>
      <c r="AN28" s="658">
        <f t="shared" si="19"/>
        <v>93574.700000002049</v>
      </c>
      <c r="AO28" s="658">
        <f t="shared" si="19"/>
        <v>44050.910000000149</v>
      </c>
      <c r="AP28" s="658">
        <f t="shared" si="19"/>
        <v>162913.1099999994</v>
      </c>
      <c r="AQ28" s="658">
        <f t="shared" si="19"/>
        <v>118469.60000000056</v>
      </c>
      <c r="AR28" s="658">
        <f t="shared" si="19"/>
        <v>201201.28000000026</v>
      </c>
      <c r="AS28" s="658">
        <f t="shared" si="19"/>
        <v>67377.11999999918</v>
      </c>
      <c r="AT28" s="658">
        <f t="shared" si="19"/>
        <v>60894.550000002608</v>
      </c>
      <c r="AU28" s="658">
        <f t="shared" si="19"/>
        <v>95371.329999996349</v>
      </c>
      <c r="AV28" s="658">
        <f t="shared" si="19"/>
        <v>114925.65999999363</v>
      </c>
      <c r="AW28" s="658">
        <f t="shared" si="19"/>
        <v>220720.83000000846</v>
      </c>
      <c r="AX28" s="658">
        <f t="shared" si="19"/>
        <v>168561.0700000003</v>
      </c>
      <c r="AY28" s="658">
        <f t="shared" si="19"/>
        <v>203449.76999999955</v>
      </c>
      <c r="AZ28" s="658">
        <f t="shared" si="19"/>
        <v>-47322.049999999814</v>
      </c>
      <c r="BA28" s="658">
        <f t="shared" si="19"/>
        <v>269672.88999999966</v>
      </c>
      <c r="BB28" s="658">
        <f t="shared" si="19"/>
        <v>232787.9299999997</v>
      </c>
      <c r="BC28" s="658">
        <f t="shared" si="19"/>
        <v>145113.01000000164</v>
      </c>
      <c r="BD28" s="658">
        <f t="shared" si="19"/>
        <v>158732.20999999717</v>
      </c>
      <c r="BE28" s="658">
        <f t="shared" si="19"/>
        <v>238611.22000000067</v>
      </c>
      <c r="BF28" s="658">
        <f t="shared" si="19"/>
        <v>250315.08000000007</v>
      </c>
      <c r="BG28" s="658">
        <f t="shared" si="19"/>
        <v>231095.04000000097</v>
      </c>
      <c r="BH28" s="658">
        <f t="shared" si="19"/>
        <v>318090.48999999836</v>
      </c>
      <c r="BI28" s="658">
        <f t="shared" si="19"/>
        <v>238745.40999999456</v>
      </c>
      <c r="BJ28" s="658">
        <f t="shared" si="19"/>
        <v>228277.1700000111</v>
      </c>
      <c r="BK28" s="658">
        <f t="shared" si="19"/>
        <v>211040.49999999627</v>
      </c>
      <c r="BL28" s="658">
        <f t="shared" si="19"/>
        <v>24946.929999992251</v>
      </c>
      <c r="BM28" s="658">
        <f t="shared" si="19"/>
        <v>214871.92000000738</v>
      </c>
      <c r="BN28" s="658">
        <f t="shared" si="19"/>
        <v>204037.58000000007</v>
      </c>
      <c r="BO28" s="658">
        <f t="shared" si="19"/>
        <v>227361.05000000075</v>
      </c>
      <c r="BP28" s="664">
        <f t="shared" si="19"/>
        <v>187117.37999999896</v>
      </c>
      <c r="BQ28" s="661">
        <f t="shared" si="19"/>
        <v>168656.29000000097</v>
      </c>
      <c r="BR28" s="658">
        <f t="shared" si="19"/>
        <v>196611.72999999672</v>
      </c>
      <c r="BS28" s="658">
        <f t="shared" si="19"/>
        <v>156591.85000000522</v>
      </c>
      <c r="BT28" s="658">
        <f t="shared" si="19"/>
        <v>182065.13000001013</v>
      </c>
      <c r="BU28" s="658">
        <f t="shared" si="19"/>
        <v>148904.40000000596</v>
      </c>
      <c r="BV28" s="658">
        <f t="shared" si="19"/>
        <v>190087.35999999009</v>
      </c>
      <c r="BW28" s="658">
        <f t="shared" ref="BW28:EH29" si="20">+BW30-BV30</f>
        <v>200097.1800000146</v>
      </c>
      <c r="BX28" s="658">
        <f t="shared" si="20"/>
        <v>187328.64000001177</v>
      </c>
      <c r="BY28" s="658">
        <f t="shared" si="20"/>
        <v>271895.75999996439</v>
      </c>
      <c r="BZ28" s="658">
        <f t="shared" si="20"/>
        <v>298359.30000002868</v>
      </c>
      <c r="CA28" s="658">
        <f t="shared" si="20"/>
        <v>270145.73999995738</v>
      </c>
      <c r="CB28" s="665">
        <f t="shared" si="20"/>
        <v>353325.88000001386</v>
      </c>
      <c r="CC28" s="658">
        <f t="shared" si="20"/>
        <v>1051577.1100000013</v>
      </c>
      <c r="CD28" s="658">
        <f t="shared" si="20"/>
        <v>497406.65000000037</v>
      </c>
      <c r="CE28" s="658">
        <f t="shared" si="20"/>
        <v>233467.29999999888</v>
      </c>
      <c r="CF28" s="658">
        <f t="shared" si="20"/>
        <v>304576.1099999994</v>
      </c>
      <c r="CG28" s="658">
        <f t="shared" si="20"/>
        <v>333912.33999999985</v>
      </c>
      <c r="CH28" s="658">
        <f t="shared" si="20"/>
        <v>431587.24000000022</v>
      </c>
      <c r="CI28" s="658">
        <f t="shared" si="20"/>
        <v>238412.21000000089</v>
      </c>
      <c r="CJ28" s="658">
        <f t="shared" si="20"/>
        <v>348206.75999999791</v>
      </c>
      <c r="CK28" s="658">
        <f t="shared" si="20"/>
        <v>4820.8500000014901</v>
      </c>
      <c r="CL28" s="658">
        <f t="shared" si="20"/>
        <v>291125.6099999994</v>
      </c>
      <c r="CM28" s="658">
        <f t="shared" si="20"/>
        <v>10919.879999998957</v>
      </c>
      <c r="CN28" s="658">
        <f t="shared" si="20"/>
        <v>347343.81000004709</v>
      </c>
      <c r="CO28" s="658">
        <f t="shared" si="20"/>
        <v>-1107101.7200000696</v>
      </c>
      <c r="CP28" s="658">
        <f t="shared" si="20"/>
        <v>-93746.069999974221</v>
      </c>
      <c r="CQ28" s="658">
        <f t="shared" si="20"/>
        <v>298704.79999999702</v>
      </c>
      <c r="CR28" s="658">
        <f t="shared" si="20"/>
        <v>-69628.869999997318</v>
      </c>
      <c r="CS28" s="658">
        <f t="shared" si="20"/>
        <v>162698.04999999702</v>
      </c>
      <c r="CT28" s="658">
        <f t="shared" si="20"/>
        <v>693259.68000000343</v>
      </c>
      <c r="CU28" s="658">
        <f t="shared" si="20"/>
        <v>242105.82999999821</v>
      </c>
      <c r="CV28" s="658">
        <f t="shared" si="20"/>
        <v>99579.969999998808</v>
      </c>
      <c r="CW28" s="658">
        <f t="shared" si="20"/>
        <v>9351.429999999702</v>
      </c>
      <c r="CX28" s="658">
        <f t="shared" si="20"/>
        <v>521100.03000000119</v>
      </c>
      <c r="CY28" s="658">
        <f t="shared" si="20"/>
        <v>-22543.009999997914</v>
      </c>
      <c r="CZ28" s="658">
        <f t="shared" si="20"/>
        <v>211814.82999999449</v>
      </c>
      <c r="DA28" s="658">
        <f t="shared" si="20"/>
        <v>-135791.81999999285</v>
      </c>
      <c r="DB28" s="658">
        <f t="shared" si="20"/>
        <v>-464372.23000001535</v>
      </c>
      <c r="DC28" s="658">
        <f t="shared" si="20"/>
        <v>-69211.740000005811</v>
      </c>
      <c r="DD28" s="658">
        <f t="shared" si="20"/>
        <v>125932.00000001118</v>
      </c>
      <c r="DE28" s="658">
        <f t="shared" si="20"/>
        <v>-54938.549999963492</v>
      </c>
      <c r="DF28" s="658">
        <f t="shared" si="20"/>
        <v>113473.43999994174</v>
      </c>
      <c r="DG28" s="658">
        <f t="shared" si="20"/>
        <v>195158.75</v>
      </c>
      <c r="DH28" s="658">
        <f t="shared" si="20"/>
        <v>320844.91000001878</v>
      </c>
      <c r="DI28" s="658">
        <f t="shared" si="20"/>
        <v>539507.4099999927</v>
      </c>
      <c r="DJ28" s="658">
        <f t="shared" si="20"/>
        <v>84459.200000047684</v>
      </c>
      <c r="DK28" s="658">
        <f t="shared" si="20"/>
        <v>-188850.12000001222</v>
      </c>
      <c r="DL28" s="658">
        <f t="shared" si="20"/>
        <v>674534.00999999419</v>
      </c>
      <c r="DM28" s="658">
        <f t="shared" si="20"/>
        <v>234371.33999996632</v>
      </c>
      <c r="DN28" s="658">
        <f t="shared" si="20"/>
        <v>603897.03000001982</v>
      </c>
      <c r="DO28" s="658">
        <f t="shared" si="20"/>
        <v>553898.10999993235</v>
      </c>
      <c r="DP28" s="658">
        <f t="shared" si="20"/>
        <v>313662.04000001773</v>
      </c>
      <c r="DQ28" s="658">
        <f t="shared" si="20"/>
        <v>489507.17000008747</v>
      </c>
      <c r="DR28" s="658">
        <f t="shared" si="20"/>
        <v>845366.48000000045</v>
      </c>
      <c r="DS28" s="658">
        <f t="shared" si="20"/>
        <v>678671.4099999778</v>
      </c>
      <c r="DT28" s="658">
        <f t="shared" si="20"/>
        <v>677224.95000005886</v>
      </c>
      <c r="DU28" s="658">
        <f t="shared" si="20"/>
        <v>636400.07999992743</v>
      </c>
      <c r="DV28" s="658">
        <f t="shared" si="20"/>
        <v>853462.2300000675</v>
      </c>
      <c r="DW28" s="658">
        <f t="shared" si="20"/>
        <v>1086825.4499999695</v>
      </c>
      <c r="DX28" s="658">
        <f t="shared" si="20"/>
        <v>501930.01999988034</v>
      </c>
      <c r="DY28" s="658">
        <f t="shared" si="20"/>
        <v>622860.35000004992</v>
      </c>
      <c r="DZ28" s="658">
        <f t="shared" si="20"/>
        <v>245191.20000001788</v>
      </c>
      <c r="EA28" s="658">
        <f t="shared" si="20"/>
        <v>477940.86000002176</v>
      </c>
      <c r="EB28" s="658">
        <f t="shared" si="20"/>
        <v>72812.819999944419</v>
      </c>
      <c r="EC28" s="658">
        <f t="shared" si="20"/>
        <v>304197.65000001714</v>
      </c>
      <c r="ED28" s="658">
        <f t="shared" si="20"/>
        <v>85046.730000067502</v>
      </c>
      <c r="EE28" s="658">
        <f t="shared" si="20"/>
        <v>446641.62999995425</v>
      </c>
      <c r="EF28" s="658">
        <f t="shared" si="20"/>
        <v>401428.18999996036</v>
      </c>
      <c r="EG28" s="658">
        <f t="shared" si="20"/>
        <v>-906679.26999997348</v>
      </c>
      <c r="EH28" s="658">
        <f t="shared" si="20"/>
        <v>-29752253.479999978</v>
      </c>
      <c r="EI28" s="658">
        <f t="shared" ref="EI28:EJ29" si="21">+EI30-EH30</f>
        <v>0</v>
      </c>
      <c r="EJ28" s="658">
        <f t="shared" si="21"/>
        <v>0</v>
      </c>
    </row>
    <row r="29" spans="1:142" s="303" customFormat="1" ht="24" customHeight="1" thickBot="1">
      <c r="A29" s="906"/>
      <c r="B29" s="907"/>
      <c r="C29" s="915"/>
      <c r="D29" s="666" t="s">
        <v>49</v>
      </c>
      <c r="E29" s="667">
        <f>+E31</f>
        <v>150</v>
      </c>
      <c r="F29" s="668">
        <f>+F31-E31</f>
        <v>37</v>
      </c>
      <c r="G29" s="668">
        <f>+G31-F31</f>
        <v>78</v>
      </c>
      <c r="H29" s="669">
        <v>0</v>
      </c>
      <c r="I29" s="670">
        <f>+I31-H31</f>
        <v>35</v>
      </c>
      <c r="J29" s="671">
        <v>0</v>
      </c>
      <c r="K29" s="668">
        <f t="shared" si="19"/>
        <v>32</v>
      </c>
      <c r="L29" s="668">
        <f t="shared" si="19"/>
        <v>41</v>
      </c>
      <c r="M29" s="668">
        <f t="shared" si="19"/>
        <v>74</v>
      </c>
      <c r="N29" s="668">
        <f t="shared" si="19"/>
        <v>63</v>
      </c>
      <c r="O29" s="668">
        <f t="shared" si="19"/>
        <v>68</v>
      </c>
      <c r="P29" s="668">
        <f t="shared" si="19"/>
        <v>195</v>
      </c>
      <c r="Q29" s="668">
        <f t="shared" si="19"/>
        <v>55</v>
      </c>
      <c r="R29" s="668">
        <f t="shared" si="19"/>
        <v>57</v>
      </c>
      <c r="S29" s="668">
        <f t="shared" si="19"/>
        <v>44</v>
      </c>
      <c r="T29" s="672">
        <f t="shared" si="19"/>
        <v>90</v>
      </c>
      <c r="U29" s="670">
        <f t="shared" si="19"/>
        <v>71</v>
      </c>
      <c r="V29" s="667">
        <f t="shared" si="19"/>
        <v>63</v>
      </c>
      <c r="W29" s="667">
        <f t="shared" si="19"/>
        <v>40</v>
      </c>
      <c r="X29" s="667">
        <f t="shared" si="19"/>
        <v>151</v>
      </c>
      <c r="Y29" s="667">
        <f t="shared" si="19"/>
        <v>123</v>
      </c>
      <c r="Z29" s="667">
        <f t="shared" si="19"/>
        <v>121</v>
      </c>
      <c r="AA29" s="667">
        <f t="shared" si="19"/>
        <v>95</v>
      </c>
      <c r="AB29" s="667">
        <f t="shared" si="19"/>
        <v>111</v>
      </c>
      <c r="AC29" s="667">
        <f t="shared" si="19"/>
        <v>36</v>
      </c>
      <c r="AD29" s="667">
        <f t="shared" si="19"/>
        <v>77</v>
      </c>
      <c r="AE29" s="667">
        <f t="shared" si="19"/>
        <v>74</v>
      </c>
      <c r="AF29" s="667">
        <f t="shared" si="19"/>
        <v>112</v>
      </c>
      <c r="AG29" s="667">
        <f t="shared" si="19"/>
        <v>15</v>
      </c>
      <c r="AH29" s="667">
        <f t="shared" si="19"/>
        <v>38</v>
      </c>
      <c r="AI29" s="667">
        <f t="shared" si="19"/>
        <v>32</v>
      </c>
      <c r="AJ29" s="667">
        <f t="shared" si="19"/>
        <v>44</v>
      </c>
      <c r="AK29" s="667">
        <f t="shared" si="19"/>
        <v>-14</v>
      </c>
      <c r="AL29" s="667">
        <f t="shared" si="19"/>
        <v>72</v>
      </c>
      <c r="AM29" s="667">
        <f t="shared" si="19"/>
        <v>43</v>
      </c>
      <c r="AN29" s="667">
        <f t="shared" si="19"/>
        <v>49</v>
      </c>
      <c r="AO29" s="667">
        <f t="shared" si="19"/>
        <v>51</v>
      </c>
      <c r="AP29" s="667">
        <f t="shared" si="19"/>
        <v>59</v>
      </c>
      <c r="AQ29" s="667">
        <f t="shared" si="19"/>
        <v>58</v>
      </c>
      <c r="AR29" s="667">
        <f t="shared" si="19"/>
        <v>77</v>
      </c>
      <c r="AS29" s="667">
        <f t="shared" si="19"/>
        <v>21</v>
      </c>
      <c r="AT29" s="667">
        <f t="shared" si="19"/>
        <v>56</v>
      </c>
      <c r="AU29" s="667">
        <f t="shared" si="19"/>
        <v>42</v>
      </c>
      <c r="AV29" s="667">
        <f t="shared" si="19"/>
        <v>54</v>
      </c>
      <c r="AW29" s="667">
        <f t="shared" si="19"/>
        <v>68</v>
      </c>
      <c r="AX29" s="667">
        <f t="shared" si="19"/>
        <v>64</v>
      </c>
      <c r="AY29" s="667">
        <f t="shared" si="19"/>
        <v>68</v>
      </c>
      <c r="AZ29" s="667">
        <f t="shared" si="19"/>
        <v>-10</v>
      </c>
      <c r="BA29" s="667">
        <f t="shared" si="19"/>
        <v>91</v>
      </c>
      <c r="BB29" s="667">
        <f t="shared" si="19"/>
        <v>44</v>
      </c>
      <c r="BC29" s="667">
        <f t="shared" si="19"/>
        <v>31</v>
      </c>
      <c r="BD29" s="667">
        <f t="shared" si="19"/>
        <v>40</v>
      </c>
      <c r="BE29" s="667">
        <f t="shared" si="19"/>
        <v>62</v>
      </c>
      <c r="BF29" s="667">
        <f t="shared" si="19"/>
        <v>50</v>
      </c>
      <c r="BG29" s="667">
        <f t="shared" si="19"/>
        <v>67</v>
      </c>
      <c r="BH29" s="667">
        <f t="shared" si="19"/>
        <v>72</v>
      </c>
      <c r="BI29" s="667">
        <f t="shared" si="19"/>
        <v>47</v>
      </c>
      <c r="BJ29" s="667">
        <f t="shared" si="19"/>
        <v>57</v>
      </c>
      <c r="BK29" s="667">
        <f t="shared" si="19"/>
        <v>47</v>
      </c>
      <c r="BL29" s="667">
        <f t="shared" si="19"/>
        <v>23</v>
      </c>
      <c r="BM29" s="667">
        <f t="shared" si="19"/>
        <v>41</v>
      </c>
      <c r="BN29" s="667">
        <f t="shared" si="19"/>
        <v>28</v>
      </c>
      <c r="BO29" s="667">
        <f t="shared" si="19"/>
        <v>49</v>
      </c>
      <c r="BP29" s="673">
        <f t="shared" si="19"/>
        <v>44</v>
      </c>
      <c r="BQ29" s="670">
        <f t="shared" si="19"/>
        <v>43</v>
      </c>
      <c r="BR29" s="667">
        <f t="shared" si="19"/>
        <v>31</v>
      </c>
      <c r="BS29" s="667">
        <f t="shared" si="19"/>
        <v>49</v>
      </c>
      <c r="BT29" s="667">
        <f t="shared" si="19"/>
        <v>37</v>
      </c>
      <c r="BU29" s="667">
        <f t="shared" si="19"/>
        <v>22</v>
      </c>
      <c r="BV29" s="667">
        <f t="shared" si="19"/>
        <v>43</v>
      </c>
      <c r="BW29" s="667">
        <f t="shared" si="20"/>
        <v>34</v>
      </c>
      <c r="BX29" s="667">
        <f t="shared" si="20"/>
        <v>4</v>
      </c>
      <c r="BY29" s="667">
        <f t="shared" si="20"/>
        <v>55</v>
      </c>
      <c r="BZ29" s="667">
        <f t="shared" si="20"/>
        <v>59</v>
      </c>
      <c r="CA29" s="667">
        <f t="shared" si="20"/>
        <v>45</v>
      </c>
      <c r="CB29" s="674">
        <f t="shared" si="20"/>
        <v>70</v>
      </c>
      <c r="CC29" s="667">
        <f t="shared" si="20"/>
        <v>221</v>
      </c>
      <c r="CD29" s="667">
        <f t="shared" si="20"/>
        <v>69</v>
      </c>
      <c r="CE29" s="667">
        <f t="shared" si="20"/>
        <v>38</v>
      </c>
      <c r="CF29" s="667">
        <f t="shared" si="20"/>
        <v>49</v>
      </c>
      <c r="CG29" s="667">
        <f t="shared" si="20"/>
        <v>67</v>
      </c>
      <c r="CH29" s="667">
        <f t="shared" si="20"/>
        <v>89</v>
      </c>
      <c r="CI29" s="667">
        <f t="shared" si="20"/>
        <v>29</v>
      </c>
      <c r="CJ29" s="667">
        <f t="shared" si="20"/>
        <v>55</v>
      </c>
      <c r="CK29" s="667">
        <f t="shared" si="20"/>
        <v>-27</v>
      </c>
      <c r="CL29" s="667">
        <f t="shared" si="20"/>
        <v>32</v>
      </c>
      <c r="CM29" s="667">
        <f t="shared" si="20"/>
        <v>-111</v>
      </c>
      <c r="CN29" s="667">
        <f t="shared" si="20"/>
        <v>43</v>
      </c>
      <c r="CO29" s="667">
        <f t="shared" si="20"/>
        <v>-301</v>
      </c>
      <c r="CP29" s="667">
        <f t="shared" si="20"/>
        <v>-42</v>
      </c>
      <c r="CQ29" s="667">
        <f t="shared" si="20"/>
        <v>93</v>
      </c>
      <c r="CR29" s="667">
        <f t="shared" si="20"/>
        <v>2</v>
      </c>
      <c r="CS29" s="667">
        <f t="shared" si="20"/>
        <v>31</v>
      </c>
      <c r="CT29" s="667">
        <f t="shared" si="20"/>
        <v>124</v>
      </c>
      <c r="CU29" s="667">
        <f t="shared" si="20"/>
        <v>31</v>
      </c>
      <c r="CV29" s="667">
        <f t="shared" si="20"/>
        <v>35</v>
      </c>
      <c r="CW29" s="667">
        <f t="shared" si="20"/>
        <v>-4</v>
      </c>
      <c r="CX29" s="667">
        <f t="shared" si="20"/>
        <v>129</v>
      </c>
      <c r="CY29" s="667">
        <f t="shared" si="20"/>
        <v>60</v>
      </c>
      <c r="CZ29" s="667">
        <f t="shared" si="20"/>
        <v>63</v>
      </c>
      <c r="DA29" s="667">
        <f t="shared" si="20"/>
        <v>-10</v>
      </c>
      <c r="DB29" s="667">
        <f t="shared" si="20"/>
        <v>-80</v>
      </c>
      <c r="DC29" s="667">
        <f t="shared" si="20"/>
        <v>-7</v>
      </c>
      <c r="DD29" s="667">
        <f t="shared" si="20"/>
        <v>31</v>
      </c>
      <c r="DE29" s="667">
        <f t="shared" si="20"/>
        <v>25</v>
      </c>
      <c r="DF29" s="667">
        <f t="shared" si="20"/>
        <v>20</v>
      </c>
      <c r="DG29" s="667">
        <f t="shared" si="20"/>
        <v>43</v>
      </c>
      <c r="DH29" s="667">
        <f t="shared" si="20"/>
        <v>58</v>
      </c>
      <c r="DI29" s="667">
        <f t="shared" si="20"/>
        <v>103</v>
      </c>
      <c r="DJ29" s="667">
        <f t="shared" si="20"/>
        <v>2</v>
      </c>
      <c r="DK29" s="667">
        <f t="shared" si="20"/>
        <v>-53</v>
      </c>
      <c r="DL29" s="667">
        <f t="shared" si="20"/>
        <v>156</v>
      </c>
      <c r="DM29" s="667">
        <f t="shared" si="20"/>
        <v>35</v>
      </c>
      <c r="DN29" s="667">
        <f t="shared" si="20"/>
        <v>69</v>
      </c>
      <c r="DO29" s="667">
        <f t="shared" si="20"/>
        <v>102</v>
      </c>
      <c r="DP29" s="667">
        <f t="shared" si="20"/>
        <v>42</v>
      </c>
      <c r="DQ29" s="667">
        <f t="shared" si="20"/>
        <v>71</v>
      </c>
      <c r="DR29" s="667">
        <f t="shared" si="20"/>
        <v>112</v>
      </c>
      <c r="DS29" s="667">
        <f t="shared" si="20"/>
        <v>92</v>
      </c>
      <c r="DT29" s="667">
        <f t="shared" si="20"/>
        <v>120</v>
      </c>
      <c r="DU29" s="667">
        <f t="shared" si="20"/>
        <v>109</v>
      </c>
      <c r="DV29" s="667">
        <f t="shared" si="20"/>
        <v>151</v>
      </c>
      <c r="DW29" s="667">
        <f t="shared" si="20"/>
        <v>179</v>
      </c>
      <c r="DX29" s="667">
        <f t="shared" si="20"/>
        <v>77</v>
      </c>
      <c r="DY29" s="667">
        <f t="shared" si="20"/>
        <v>57</v>
      </c>
      <c r="DZ29" s="667">
        <f t="shared" si="20"/>
        <v>68</v>
      </c>
      <c r="EA29" s="667">
        <f t="shared" si="20"/>
        <v>111</v>
      </c>
      <c r="EB29" s="667">
        <f t="shared" si="20"/>
        <v>13</v>
      </c>
      <c r="EC29" s="667">
        <f t="shared" si="20"/>
        <v>43</v>
      </c>
      <c r="ED29" s="667">
        <f t="shared" si="20"/>
        <v>56</v>
      </c>
      <c r="EE29" s="667">
        <f t="shared" si="20"/>
        <v>107</v>
      </c>
      <c r="EF29" s="667">
        <f t="shared" si="20"/>
        <v>122</v>
      </c>
      <c r="EG29" s="667">
        <f t="shared" si="20"/>
        <v>-82</v>
      </c>
      <c r="EH29" s="667">
        <f t="shared" si="20"/>
        <v>-6976</v>
      </c>
      <c r="EI29" s="667">
        <f t="shared" si="21"/>
        <v>0</v>
      </c>
      <c r="EJ29" s="667">
        <f t="shared" si="21"/>
        <v>0</v>
      </c>
    </row>
    <row r="30" spans="1:142" s="304" customFormat="1" ht="24" customHeight="1">
      <c r="A30" s="906"/>
      <c r="B30" s="907"/>
      <c r="C30" s="916" t="s">
        <v>53</v>
      </c>
      <c r="D30" s="675" t="s">
        <v>48</v>
      </c>
      <c r="E30" s="596">
        <f>+E22-E24</f>
        <v>550832.77</v>
      </c>
      <c r="F30" s="597">
        <f t="shared" ref="F30:W30" si="22">+E30+F22-F24-F26</f>
        <v>697337.43</v>
      </c>
      <c r="G30" s="363">
        <f t="shared" si="22"/>
        <v>977372.64000000013</v>
      </c>
      <c r="H30" s="364">
        <f t="shared" si="22"/>
        <v>970836.90000000014</v>
      </c>
      <c r="I30" s="365">
        <f t="shared" si="22"/>
        <v>1122965</v>
      </c>
      <c r="J30" s="363">
        <f t="shared" si="22"/>
        <v>1088865.3899999999</v>
      </c>
      <c r="K30" s="363">
        <f t="shared" si="22"/>
        <v>1237400.8299999998</v>
      </c>
      <c r="L30" s="363">
        <f t="shared" si="22"/>
        <v>1306055.5399999998</v>
      </c>
      <c r="M30" s="363">
        <f t="shared" si="22"/>
        <v>1527744.9699999993</v>
      </c>
      <c r="N30" s="363">
        <f t="shared" si="22"/>
        <v>1718888.5199999996</v>
      </c>
      <c r="O30" s="363">
        <f t="shared" si="22"/>
        <v>1908564.4999999984</v>
      </c>
      <c r="P30" s="363">
        <f t="shared" si="22"/>
        <v>2547055.1699999995</v>
      </c>
      <c r="Q30" s="363">
        <f t="shared" si="22"/>
        <v>2694476.94</v>
      </c>
      <c r="R30" s="363">
        <f t="shared" si="22"/>
        <v>2865866.4999999972</v>
      </c>
      <c r="S30" s="363">
        <f t="shared" si="22"/>
        <v>2960429.2499999967</v>
      </c>
      <c r="T30" s="364">
        <f t="shared" si="22"/>
        <v>3262905.8799999938</v>
      </c>
      <c r="U30" s="365">
        <f t="shared" si="22"/>
        <v>3480430.8199999938</v>
      </c>
      <c r="V30" s="366">
        <f t="shared" si="22"/>
        <v>3702394.7599999956</v>
      </c>
      <c r="W30" s="366">
        <f t="shared" si="22"/>
        <v>3798004.46</v>
      </c>
      <c r="X30" s="366">
        <f>4384799.06-X24</f>
        <v>4257984.3299999991</v>
      </c>
      <c r="Y30" s="366">
        <v>4615868.87</v>
      </c>
      <c r="Z30" s="366">
        <f>4948588.44</f>
        <v>4948588.4400000004</v>
      </c>
      <c r="AA30" s="366">
        <v>5217943.78</v>
      </c>
      <c r="AB30" s="366">
        <f>5527501.72</f>
        <v>5527501.7199999997</v>
      </c>
      <c r="AC30" s="366">
        <v>5603503.1100000003</v>
      </c>
      <c r="AD30" s="366">
        <f>5860955.89-38699.61</f>
        <v>5822256.2799999993</v>
      </c>
      <c r="AE30" s="366">
        <f>6026583.94</f>
        <v>6026583.9400000004</v>
      </c>
      <c r="AF30" s="366">
        <v>6325299.849999995</v>
      </c>
      <c r="AG30" s="366">
        <v>6325225.0799999861</v>
      </c>
      <c r="AH30" s="366">
        <v>6442037.6100000013</v>
      </c>
      <c r="AI30" s="366">
        <v>6464597.230000007</v>
      </c>
      <c r="AJ30" s="366">
        <v>6590712.8200000003</v>
      </c>
      <c r="AK30" s="366">
        <v>6538020.860000018</v>
      </c>
      <c r="AL30" s="366">
        <v>6727223.5100000016</v>
      </c>
      <c r="AM30" s="366">
        <v>6838827.9799999977</v>
      </c>
      <c r="AN30" s="366">
        <v>6932402.6799999997</v>
      </c>
      <c r="AO30" s="366">
        <v>6976453.5899999999</v>
      </c>
      <c r="AP30" s="366">
        <v>7139366.6999999993</v>
      </c>
      <c r="AQ30" s="366">
        <v>7257836.2999999998</v>
      </c>
      <c r="AR30" s="366">
        <v>7459037.5800000001</v>
      </c>
      <c r="AS30" s="366">
        <v>7526414.6999999993</v>
      </c>
      <c r="AT30" s="366">
        <v>7587309.2500000019</v>
      </c>
      <c r="AU30" s="366">
        <v>7682680.5799999982</v>
      </c>
      <c r="AV30" s="366">
        <v>7797606.2399999918</v>
      </c>
      <c r="AW30" s="366">
        <v>8018327.0700000003</v>
      </c>
      <c r="AX30" s="366">
        <v>8186888.1400000006</v>
      </c>
      <c r="AY30" s="366">
        <f>778452.37+849600.55+6762284.99</f>
        <v>8390337.9100000001</v>
      </c>
      <c r="AZ30" s="366">
        <v>8343015.8600000003</v>
      </c>
      <c r="BA30" s="366">
        <v>8612688.75</v>
      </c>
      <c r="BB30" s="366">
        <v>8845476.6799999997</v>
      </c>
      <c r="BC30" s="366">
        <v>8990589.6900000013</v>
      </c>
      <c r="BD30" s="366">
        <v>9149321.8999999985</v>
      </c>
      <c r="BE30" s="366">
        <v>9387933.1199999992</v>
      </c>
      <c r="BF30" s="366">
        <v>9638248.1999999993</v>
      </c>
      <c r="BG30" s="366">
        <f>370116.26+470746.02+9028480.96</f>
        <v>9869343.2400000002</v>
      </c>
      <c r="BH30" s="366">
        <v>10187433.729999999</v>
      </c>
      <c r="BI30" s="366">
        <v>10426179.139999993</v>
      </c>
      <c r="BJ30" s="366">
        <v>10654456.310000004</v>
      </c>
      <c r="BK30" s="366">
        <v>10865496.810000001</v>
      </c>
      <c r="BL30" s="366">
        <v>10890443.739999993</v>
      </c>
      <c r="BM30" s="367">
        <v>11105315.66</v>
      </c>
      <c r="BN30" s="367">
        <v>11309353.24</v>
      </c>
      <c r="BO30" s="367">
        <v>11536714.290000001</v>
      </c>
      <c r="BP30" s="368">
        <v>11723831.67</v>
      </c>
      <c r="BQ30" s="369">
        <v>11892487.960000001</v>
      </c>
      <c r="BR30" s="367">
        <v>12089099.689999998</v>
      </c>
      <c r="BS30" s="367">
        <v>12245691.540000003</v>
      </c>
      <c r="BT30" s="367">
        <v>12427756.670000013</v>
      </c>
      <c r="BU30" s="367">
        <v>12576661.070000019</v>
      </c>
      <c r="BV30" s="367">
        <v>12766748.430000009</v>
      </c>
      <c r="BW30" s="367">
        <v>12966845.610000024</v>
      </c>
      <c r="BX30" s="367">
        <v>13154174.250000035</v>
      </c>
      <c r="BY30" s="367">
        <v>13426070.01</v>
      </c>
      <c r="BZ30" s="367">
        <v>13724429.310000028</v>
      </c>
      <c r="CA30" s="367">
        <v>13994575.049999986</v>
      </c>
      <c r="CB30" s="370">
        <v>14347900.93</v>
      </c>
      <c r="CC30" s="367">
        <v>15399478.040000001</v>
      </c>
      <c r="CD30" s="367">
        <v>15896884.690000001</v>
      </c>
      <c r="CE30" s="367">
        <v>16130351.99</v>
      </c>
      <c r="CF30" s="367">
        <v>16434928.1</v>
      </c>
      <c r="CG30" s="367">
        <v>16768840.439999999</v>
      </c>
      <c r="CH30" s="367">
        <v>17200427.68</v>
      </c>
      <c r="CI30" s="367">
        <v>17438839.890000001</v>
      </c>
      <c r="CJ30" s="367">
        <v>17787046.649999999</v>
      </c>
      <c r="CK30" s="367">
        <v>17791867.5</v>
      </c>
      <c r="CL30" s="367">
        <v>18082993.109999999</v>
      </c>
      <c r="CM30" s="367">
        <v>18093912.989999998</v>
      </c>
      <c r="CN30" s="367">
        <v>18441256.800000045</v>
      </c>
      <c r="CO30" s="367">
        <v>17334155.079999976</v>
      </c>
      <c r="CP30" s="367">
        <v>17240409.010000002</v>
      </c>
      <c r="CQ30" s="367">
        <v>17539113.809999999</v>
      </c>
      <c r="CR30" s="367">
        <v>17469484.940000001</v>
      </c>
      <c r="CS30" s="367">
        <v>17632182.989999998</v>
      </c>
      <c r="CT30" s="367">
        <v>18325442.670000002</v>
      </c>
      <c r="CU30" s="367">
        <v>18567548.5</v>
      </c>
      <c r="CV30" s="367">
        <v>18667128.469999999</v>
      </c>
      <c r="CW30" s="367">
        <v>18676479.899999999</v>
      </c>
      <c r="CX30" s="367">
        <v>19197579.93</v>
      </c>
      <c r="CY30" s="367">
        <v>19175036.920000002</v>
      </c>
      <c r="CZ30" s="367">
        <v>19386851.749999996</v>
      </c>
      <c r="DA30" s="367">
        <v>19251059.930000003</v>
      </c>
      <c r="DB30" s="367">
        <v>18786687.699999988</v>
      </c>
      <c r="DC30" s="367">
        <v>18717475.959999982</v>
      </c>
      <c r="DD30" s="367">
        <v>18843407.959999993</v>
      </c>
      <c r="DE30" s="367">
        <v>18788469.41000003</v>
      </c>
      <c r="DF30" s="367">
        <v>18901942.849999972</v>
      </c>
      <c r="DG30" s="367">
        <v>19097101.599999972</v>
      </c>
      <c r="DH30" s="367">
        <v>19417946.50999999</v>
      </c>
      <c r="DI30" s="367">
        <v>19957453.919999983</v>
      </c>
      <c r="DJ30" s="367">
        <v>20041913.120000031</v>
      </c>
      <c r="DK30" s="367">
        <v>19853063.000000019</v>
      </c>
      <c r="DL30" s="367">
        <v>20527597.010000013</v>
      </c>
      <c r="DM30" s="367">
        <v>20761968.349999979</v>
      </c>
      <c r="DN30" s="367">
        <v>21365865.379999999</v>
      </c>
      <c r="DO30" s="367">
        <v>21919763.489999931</v>
      </c>
      <c r="DP30" s="367">
        <v>22233425.529999949</v>
      </c>
      <c r="DQ30" s="367">
        <v>22722932.700000037</v>
      </c>
      <c r="DR30" s="367">
        <v>23568299.180000037</v>
      </c>
      <c r="DS30" s="367">
        <v>24246970.590000015</v>
      </c>
      <c r="DT30" s="367">
        <v>24924195.540000074</v>
      </c>
      <c r="DU30" s="367">
        <v>25560595.620000001</v>
      </c>
      <c r="DV30" s="367">
        <v>26414057.850000069</v>
      </c>
      <c r="DW30" s="367">
        <v>27500883.300000038</v>
      </c>
      <c r="DX30" s="367">
        <v>28002813.319999918</v>
      </c>
      <c r="DY30" s="367">
        <v>28625673.669999968</v>
      </c>
      <c r="DZ30" s="367">
        <v>28870864.869999986</v>
      </c>
      <c r="EA30" s="367">
        <v>29348805.730000008</v>
      </c>
      <c r="EB30" s="367">
        <v>29421618.549999952</v>
      </c>
      <c r="EC30" s="367">
        <v>29725816.199999969</v>
      </c>
      <c r="ED30" s="367">
        <v>29810862.930000037</v>
      </c>
      <c r="EE30" s="367">
        <v>30257504.559999991</v>
      </c>
      <c r="EF30" s="367">
        <v>30658932.749999952</v>
      </c>
      <c r="EG30" s="367">
        <v>29752253.479999978</v>
      </c>
      <c r="EH30" s="367"/>
      <c r="EI30" s="367"/>
      <c r="EJ30" s="367"/>
    </row>
    <row r="31" spans="1:142" s="305" customFormat="1" ht="24" customHeight="1" thickBot="1">
      <c r="A31" s="906"/>
      <c r="B31" s="907"/>
      <c r="C31" s="917"/>
      <c r="D31" s="676" t="s">
        <v>49</v>
      </c>
      <c r="E31" s="603">
        <f>+E23</f>
        <v>150</v>
      </c>
      <c r="F31" s="604">
        <f t="shared" ref="F31:W31" si="23">+E31+F23-F25</f>
        <v>187</v>
      </c>
      <c r="G31" s="371">
        <f t="shared" si="23"/>
        <v>265</v>
      </c>
      <c r="H31" s="372">
        <f t="shared" si="23"/>
        <v>264</v>
      </c>
      <c r="I31" s="373">
        <f t="shared" si="23"/>
        <v>299</v>
      </c>
      <c r="J31" s="371">
        <f t="shared" si="23"/>
        <v>294</v>
      </c>
      <c r="K31" s="371">
        <f t="shared" si="23"/>
        <v>326</v>
      </c>
      <c r="L31" s="371">
        <f t="shared" si="23"/>
        <v>367</v>
      </c>
      <c r="M31" s="371">
        <f t="shared" si="23"/>
        <v>441</v>
      </c>
      <c r="N31" s="371">
        <f t="shared" si="23"/>
        <v>504</v>
      </c>
      <c r="O31" s="371">
        <f t="shared" si="23"/>
        <v>572</v>
      </c>
      <c r="P31" s="371">
        <f t="shared" si="23"/>
        <v>767</v>
      </c>
      <c r="Q31" s="371">
        <f t="shared" si="23"/>
        <v>822</v>
      </c>
      <c r="R31" s="371">
        <f t="shared" si="23"/>
        <v>879</v>
      </c>
      <c r="S31" s="374">
        <f t="shared" si="23"/>
        <v>923</v>
      </c>
      <c r="T31" s="375">
        <f t="shared" si="23"/>
        <v>1013</v>
      </c>
      <c r="U31" s="376">
        <f t="shared" si="23"/>
        <v>1084</v>
      </c>
      <c r="V31" s="377">
        <f t="shared" si="23"/>
        <v>1147</v>
      </c>
      <c r="W31" s="377">
        <f t="shared" si="23"/>
        <v>1187</v>
      </c>
      <c r="X31" s="377">
        <v>1338</v>
      </c>
      <c r="Y31" s="377">
        <v>1461</v>
      </c>
      <c r="Z31" s="377">
        <f>1582</f>
        <v>1582</v>
      </c>
      <c r="AA31" s="377">
        <v>1677</v>
      </c>
      <c r="AB31" s="377">
        <v>1788</v>
      </c>
      <c r="AC31" s="377">
        <v>1824</v>
      </c>
      <c r="AD31" s="377">
        <v>1901</v>
      </c>
      <c r="AE31" s="377">
        <v>1975</v>
      </c>
      <c r="AF31" s="377">
        <v>2087</v>
      </c>
      <c r="AG31" s="377">
        <v>2102</v>
      </c>
      <c r="AH31" s="377">
        <v>2140</v>
      </c>
      <c r="AI31" s="377">
        <v>2172</v>
      </c>
      <c r="AJ31" s="377">
        <v>2216</v>
      </c>
      <c r="AK31" s="377">
        <v>2202</v>
      </c>
      <c r="AL31" s="377">
        <v>2274</v>
      </c>
      <c r="AM31" s="377">
        <v>2317</v>
      </c>
      <c r="AN31" s="377">
        <v>2366</v>
      </c>
      <c r="AO31" s="377">
        <v>2417</v>
      </c>
      <c r="AP31" s="377">
        <v>2476</v>
      </c>
      <c r="AQ31" s="377">
        <v>2534</v>
      </c>
      <c r="AR31" s="377">
        <v>2611</v>
      </c>
      <c r="AS31" s="377">
        <v>2632</v>
      </c>
      <c r="AT31" s="377">
        <v>2688</v>
      </c>
      <c r="AU31" s="377">
        <v>2730</v>
      </c>
      <c r="AV31" s="377">
        <v>2784</v>
      </c>
      <c r="AW31" s="377">
        <v>2852</v>
      </c>
      <c r="AX31" s="377">
        <f>258+270+2388</f>
        <v>2916</v>
      </c>
      <c r="AY31" s="377">
        <f>267+280+2437</f>
        <v>2984</v>
      </c>
      <c r="AZ31" s="377">
        <v>2974</v>
      </c>
      <c r="BA31" s="377">
        <f>301+316+2448</f>
        <v>3065</v>
      </c>
      <c r="BB31" s="377">
        <v>3109</v>
      </c>
      <c r="BC31" s="377">
        <v>3140</v>
      </c>
      <c r="BD31" s="377">
        <v>3180</v>
      </c>
      <c r="BE31" s="377">
        <v>3242</v>
      </c>
      <c r="BF31" s="377">
        <v>3292</v>
      </c>
      <c r="BG31" s="377">
        <f>91+118+3150</f>
        <v>3359</v>
      </c>
      <c r="BH31" s="377">
        <f>94+100+3237</f>
        <v>3431</v>
      </c>
      <c r="BI31" s="377">
        <v>3478</v>
      </c>
      <c r="BJ31" s="377">
        <v>3535</v>
      </c>
      <c r="BK31" s="377">
        <v>3582</v>
      </c>
      <c r="BL31" s="377">
        <v>3605</v>
      </c>
      <c r="BM31" s="378">
        <v>3646</v>
      </c>
      <c r="BN31" s="378">
        <v>3674</v>
      </c>
      <c r="BO31" s="378">
        <v>3723</v>
      </c>
      <c r="BP31" s="379">
        <v>3767</v>
      </c>
      <c r="BQ31" s="380">
        <v>3810</v>
      </c>
      <c r="BR31" s="378">
        <v>3841</v>
      </c>
      <c r="BS31" s="378">
        <v>3890</v>
      </c>
      <c r="BT31" s="378">
        <v>3927</v>
      </c>
      <c r="BU31" s="378">
        <v>3949</v>
      </c>
      <c r="BV31" s="378">
        <v>3992</v>
      </c>
      <c r="BW31" s="378">
        <v>4026</v>
      </c>
      <c r="BX31" s="378">
        <v>4030</v>
      </c>
      <c r="BY31" s="378">
        <v>4085</v>
      </c>
      <c r="BZ31" s="378">
        <v>4144</v>
      </c>
      <c r="CA31" s="378">
        <v>4189</v>
      </c>
      <c r="CB31" s="381">
        <v>4259</v>
      </c>
      <c r="CC31" s="378">
        <v>4480</v>
      </c>
      <c r="CD31" s="378">
        <v>4549</v>
      </c>
      <c r="CE31" s="378">
        <v>4587</v>
      </c>
      <c r="CF31" s="378">
        <v>4636</v>
      </c>
      <c r="CG31" s="378">
        <v>4703</v>
      </c>
      <c r="CH31" s="378">
        <v>4792</v>
      </c>
      <c r="CI31" s="378">
        <v>4821</v>
      </c>
      <c r="CJ31" s="378">
        <v>4876</v>
      </c>
      <c r="CK31" s="378">
        <v>4849</v>
      </c>
      <c r="CL31" s="378">
        <v>4881</v>
      </c>
      <c r="CM31" s="378">
        <v>4770</v>
      </c>
      <c r="CN31" s="378">
        <v>4813</v>
      </c>
      <c r="CO31" s="378">
        <v>4512</v>
      </c>
      <c r="CP31" s="378">
        <v>4470</v>
      </c>
      <c r="CQ31" s="378">
        <v>4563</v>
      </c>
      <c r="CR31" s="378">
        <v>4565</v>
      </c>
      <c r="CS31" s="378">
        <v>4596</v>
      </c>
      <c r="CT31" s="378">
        <v>4720</v>
      </c>
      <c r="CU31" s="378">
        <v>4751</v>
      </c>
      <c r="CV31" s="378">
        <v>4786</v>
      </c>
      <c r="CW31" s="378">
        <v>4782</v>
      </c>
      <c r="CX31" s="378">
        <v>4911</v>
      </c>
      <c r="CY31" s="378">
        <v>4971</v>
      </c>
      <c r="CZ31" s="378">
        <v>5034</v>
      </c>
      <c r="DA31" s="378">
        <v>5024</v>
      </c>
      <c r="DB31" s="378">
        <v>4944</v>
      </c>
      <c r="DC31" s="378">
        <v>4937</v>
      </c>
      <c r="DD31" s="378">
        <v>4968</v>
      </c>
      <c r="DE31" s="378">
        <v>4993</v>
      </c>
      <c r="DF31" s="378">
        <v>5013</v>
      </c>
      <c r="DG31" s="378">
        <v>5056</v>
      </c>
      <c r="DH31" s="378">
        <v>5114</v>
      </c>
      <c r="DI31" s="378">
        <v>5217</v>
      </c>
      <c r="DJ31" s="378">
        <v>5219</v>
      </c>
      <c r="DK31" s="378">
        <v>5166</v>
      </c>
      <c r="DL31" s="378">
        <v>5322</v>
      </c>
      <c r="DM31" s="378">
        <v>5357</v>
      </c>
      <c r="DN31" s="378">
        <v>5426</v>
      </c>
      <c r="DO31" s="378">
        <v>5528</v>
      </c>
      <c r="DP31" s="378">
        <v>5570</v>
      </c>
      <c r="DQ31" s="378">
        <v>5641</v>
      </c>
      <c r="DR31" s="378">
        <v>5753</v>
      </c>
      <c r="DS31" s="378">
        <v>5845</v>
      </c>
      <c r="DT31" s="378">
        <v>5965</v>
      </c>
      <c r="DU31" s="378">
        <v>6074</v>
      </c>
      <c r="DV31" s="378">
        <v>6225</v>
      </c>
      <c r="DW31" s="378">
        <v>6404</v>
      </c>
      <c r="DX31" s="378">
        <v>6481</v>
      </c>
      <c r="DY31" s="378">
        <v>6538</v>
      </c>
      <c r="DZ31" s="378">
        <v>6606</v>
      </c>
      <c r="EA31" s="378">
        <v>6717</v>
      </c>
      <c r="EB31" s="378">
        <v>6730</v>
      </c>
      <c r="EC31" s="378">
        <v>6773</v>
      </c>
      <c r="ED31" s="378">
        <v>6829</v>
      </c>
      <c r="EE31" s="378">
        <v>6936</v>
      </c>
      <c r="EF31" s="378">
        <v>7058</v>
      </c>
      <c r="EG31" s="378">
        <v>6976</v>
      </c>
      <c r="EH31" s="378"/>
      <c r="EI31" s="378"/>
      <c r="EJ31" s="378"/>
    </row>
    <row r="32" spans="1:142" s="306" customFormat="1" ht="24" customHeight="1">
      <c r="A32" s="906"/>
      <c r="B32" s="907"/>
      <c r="C32" s="918" t="s">
        <v>54</v>
      </c>
      <c r="D32" s="677" t="s">
        <v>48</v>
      </c>
      <c r="E32" s="678">
        <v>5193259.72</v>
      </c>
      <c r="F32" s="679">
        <v>5260950.3899999997</v>
      </c>
      <c r="G32" s="679">
        <v>5850948.3300000001</v>
      </c>
      <c r="H32" s="680">
        <v>6001545.4500000002</v>
      </c>
      <c r="I32" s="681">
        <v>6088308.1699999999</v>
      </c>
      <c r="J32" s="679">
        <v>5920589.5999999996</v>
      </c>
      <c r="K32" s="382">
        <v>5924414.3099999996</v>
      </c>
      <c r="L32" s="383">
        <v>5805536.3200000003</v>
      </c>
      <c r="M32" s="383">
        <v>5977610.0099999998</v>
      </c>
      <c r="N32" s="383">
        <v>5899542.5499999998</v>
      </c>
      <c r="O32" s="383">
        <v>5866033.5300000003</v>
      </c>
      <c r="P32" s="383">
        <v>6170778.0599999996</v>
      </c>
      <c r="Q32" s="383">
        <v>6083895.2699999996</v>
      </c>
      <c r="R32" s="383">
        <v>6901434.4400000004</v>
      </c>
      <c r="S32" s="383">
        <v>7019910.9000000004</v>
      </c>
      <c r="T32" s="352">
        <v>7206893.3499999996</v>
      </c>
      <c r="U32" s="353">
        <v>7192458.79</v>
      </c>
      <c r="V32" s="354">
        <v>7265135.2000000002</v>
      </c>
      <c r="W32" s="354">
        <v>7439746.29</v>
      </c>
      <c r="X32" s="354">
        <v>7930228.3399999999</v>
      </c>
      <c r="Y32" s="354">
        <v>8523727.1300000008</v>
      </c>
      <c r="Z32" s="354">
        <v>9092906.7100000009</v>
      </c>
      <c r="AA32" s="354">
        <v>9479700.7400000002</v>
      </c>
      <c r="AB32" s="354">
        <v>9935669.8000000007</v>
      </c>
      <c r="AC32" s="354">
        <v>9968177.3000000007</v>
      </c>
      <c r="AD32" s="354">
        <v>10464633.550000001</v>
      </c>
      <c r="AE32" s="354">
        <v>10561629.18</v>
      </c>
      <c r="AF32" s="354">
        <v>10639867.32</v>
      </c>
      <c r="AG32" s="354">
        <v>10610241.98</v>
      </c>
      <c r="AH32" s="354">
        <v>10552592.279999999</v>
      </c>
      <c r="AI32" s="354">
        <v>10357636.74</v>
      </c>
      <c r="AJ32" s="354">
        <v>10410613.470000001</v>
      </c>
      <c r="AK32" s="354">
        <v>10294323.369999999</v>
      </c>
      <c r="AL32" s="354">
        <v>10253308.869999999</v>
      </c>
      <c r="AM32" s="354">
        <v>10398459.619999999</v>
      </c>
      <c r="AN32" s="354">
        <v>10225863.27</v>
      </c>
      <c r="AO32" s="384">
        <f>10536633.37-140671.46</f>
        <v>10395961.909999998</v>
      </c>
      <c r="AP32" s="384">
        <f>10919480.14-162514.3</f>
        <v>10756965.84</v>
      </c>
      <c r="AQ32" s="384">
        <f>11286283.62-188858.73</f>
        <v>11097424.889999999</v>
      </c>
      <c r="AR32" s="384">
        <f>11808095.27-56456.43-112230.85</f>
        <v>11639407.99</v>
      </c>
      <c r="AS32" s="384">
        <f>11985141.47-58577.11-96914.49</f>
        <v>11829649.870000001</v>
      </c>
      <c r="AT32" s="384">
        <f>11859582.85-94543.87</f>
        <v>11765038.98</v>
      </c>
      <c r="AU32" s="384">
        <f>11870897.37-91095.19</f>
        <v>11779802.18</v>
      </c>
      <c r="AV32" s="384">
        <f>11650383.56-96149.17</f>
        <v>11554234.390000001</v>
      </c>
      <c r="AW32" s="384">
        <f>11688349.7-104467.05</f>
        <v>11583882.649999999</v>
      </c>
      <c r="AX32" s="384">
        <f>11812091.32-108572.91</f>
        <v>11703518.41</v>
      </c>
      <c r="AY32" s="384">
        <f>2639523.39+1972949.33+8186651.05-8307.79-5326.88-102712.86</f>
        <v>12682776.24</v>
      </c>
      <c r="AZ32" s="384">
        <f>13595010.87-131671.72</f>
        <v>13463339.149999999</v>
      </c>
      <c r="BA32" s="384">
        <f>14578862.55-170312.36</f>
        <v>14408550.190000001</v>
      </c>
      <c r="BB32" s="384">
        <f>14788870.37-213488.67</f>
        <v>14575381.699999999</v>
      </c>
      <c r="BC32" s="384">
        <f>15237164.85-263306.41</f>
        <v>14973858.439999999</v>
      </c>
      <c r="BD32" s="384">
        <v>15332761.949999999</v>
      </c>
      <c r="BE32" s="384">
        <v>15413886.48</v>
      </c>
      <c r="BF32" s="384">
        <v>15793824.960000001</v>
      </c>
      <c r="BG32" s="384">
        <v>16118545.050000001</v>
      </c>
      <c r="BH32" s="384">
        <v>15548969.380000001</v>
      </c>
      <c r="BI32" s="384">
        <v>15300737.310000001</v>
      </c>
      <c r="BJ32" s="384">
        <v>15360317.66</v>
      </c>
      <c r="BK32" s="384">
        <v>15964824.390000002</v>
      </c>
      <c r="BL32" s="384">
        <v>16109120.49</v>
      </c>
      <c r="BM32" s="384">
        <v>16815840.089999899</v>
      </c>
      <c r="BN32" s="384">
        <v>17284854.100000001</v>
      </c>
      <c r="BO32" s="384">
        <v>17172915.629999999</v>
      </c>
      <c r="BP32" s="385">
        <v>17132805.739999998</v>
      </c>
      <c r="BQ32" s="386">
        <v>17253796.890000001</v>
      </c>
      <c r="BR32" s="384">
        <v>17337251.190000001</v>
      </c>
      <c r="BS32" s="384">
        <v>17640732.059999999</v>
      </c>
      <c r="BT32" s="384">
        <v>18016324.420000002</v>
      </c>
      <c r="BU32" s="384">
        <v>18002740.379999999</v>
      </c>
      <c r="BV32" s="384">
        <v>18362504.539999999</v>
      </c>
      <c r="BW32" s="384">
        <v>18758224.890000001</v>
      </c>
      <c r="BX32" s="384">
        <v>19270771.66</v>
      </c>
      <c r="BY32" s="384">
        <v>19604479.68</v>
      </c>
      <c r="BZ32" s="384">
        <v>20593944.049999997</v>
      </c>
      <c r="CA32" s="384">
        <v>21644828.050000001</v>
      </c>
      <c r="CB32" s="387">
        <v>21982148.32</v>
      </c>
      <c r="CC32" s="384">
        <v>22277835.469999999</v>
      </c>
      <c r="CD32" s="384">
        <v>22926345.09</v>
      </c>
      <c r="CE32" s="384">
        <v>23254951.699999999</v>
      </c>
      <c r="CF32" s="384">
        <v>24559558.559999999</v>
      </c>
      <c r="CG32" s="384">
        <v>24339742.260000002</v>
      </c>
      <c r="CH32" s="384">
        <v>24748690.82</v>
      </c>
      <c r="CI32" s="384">
        <v>26176261.5</v>
      </c>
      <c r="CJ32" s="384">
        <v>25674843.4799999</v>
      </c>
      <c r="CK32" s="384">
        <v>26510341.239999998</v>
      </c>
      <c r="CL32" s="384">
        <v>25812750.390000001</v>
      </c>
      <c r="CM32" s="384">
        <v>25545084.719999999</v>
      </c>
      <c r="CN32" s="384">
        <v>25455655.100000001</v>
      </c>
      <c r="CO32" s="384">
        <v>25960394.66</v>
      </c>
      <c r="CP32" s="384">
        <v>26433972.879999995</v>
      </c>
      <c r="CQ32" s="384">
        <v>27340357.140000001</v>
      </c>
      <c r="CR32" s="384">
        <v>27507058.140000001</v>
      </c>
      <c r="CS32" s="384">
        <v>27353522.07</v>
      </c>
      <c r="CT32" s="384">
        <v>28558257.749999996</v>
      </c>
      <c r="CU32" s="384">
        <v>28196402.23</v>
      </c>
      <c r="CV32" s="384">
        <v>29182217.220000003</v>
      </c>
      <c r="CW32" s="384">
        <v>29192242.93</v>
      </c>
      <c r="CX32" s="384">
        <v>29680090.539999999</v>
      </c>
      <c r="CY32" s="384">
        <v>28811432.829999998</v>
      </c>
      <c r="CZ32" s="384">
        <v>26337350.809999999</v>
      </c>
      <c r="DA32" s="384">
        <v>25915270.420000002</v>
      </c>
      <c r="DB32" s="384">
        <v>25633277.77</v>
      </c>
      <c r="DC32" s="384">
        <v>25399114.039999999</v>
      </c>
      <c r="DD32" s="384">
        <v>25370938.929999996</v>
      </c>
      <c r="DE32" s="384">
        <v>26317177.260000002</v>
      </c>
      <c r="DF32" s="384">
        <v>26371147.959999997</v>
      </c>
      <c r="DG32" s="384">
        <v>27193836.629999999</v>
      </c>
      <c r="DH32" s="384">
        <v>28146754.530000001</v>
      </c>
      <c r="DI32" s="384">
        <v>28080130.690000001</v>
      </c>
      <c r="DJ32" s="384">
        <v>28645064.619999997</v>
      </c>
      <c r="DK32" s="384">
        <v>28796871.489999998</v>
      </c>
      <c r="DL32" s="384">
        <v>29389878.300000001</v>
      </c>
      <c r="DM32" s="384">
        <v>29752098.110000003</v>
      </c>
      <c r="DN32" s="384">
        <v>30421857.649999999</v>
      </c>
      <c r="DO32" s="384">
        <v>30468882.129999999</v>
      </c>
      <c r="DP32" s="384">
        <v>30697717.640000004</v>
      </c>
      <c r="DQ32" s="384">
        <v>31319876.830000002</v>
      </c>
      <c r="DR32" s="384">
        <v>32636178.170000002</v>
      </c>
      <c r="DS32" s="384">
        <v>33535439.450000007</v>
      </c>
      <c r="DT32" s="384">
        <v>34246457.439999998</v>
      </c>
      <c r="DU32" s="384">
        <v>33926746.279999994</v>
      </c>
      <c r="DV32" s="384">
        <v>34390708.109999999</v>
      </c>
      <c r="DW32" s="384">
        <v>35211778.350000001</v>
      </c>
      <c r="DX32" s="384">
        <v>35483511.759999998</v>
      </c>
      <c r="DY32" s="384">
        <v>35697633.059999995</v>
      </c>
      <c r="DZ32" s="384">
        <v>35689287.479999989</v>
      </c>
      <c r="EA32" s="384">
        <v>35861276.369999997</v>
      </c>
      <c r="EB32" s="384">
        <v>35788885.309999995</v>
      </c>
      <c r="EC32" s="384">
        <v>35486732.440000005</v>
      </c>
      <c r="ED32" s="384">
        <v>35005595.149999999</v>
      </c>
      <c r="EE32" s="384">
        <v>35817988.689999998</v>
      </c>
      <c r="EF32" s="384">
        <v>35950838.990000002</v>
      </c>
      <c r="EG32" s="384">
        <v>34609509.839999996</v>
      </c>
      <c r="EH32" s="384"/>
      <c r="EI32" s="384"/>
      <c r="EJ32" s="384"/>
    </row>
    <row r="33" spans="1:140" s="307" customFormat="1" ht="24" customHeight="1">
      <c r="A33" s="906"/>
      <c r="B33" s="907"/>
      <c r="C33" s="919"/>
      <c r="D33" s="640" t="s">
        <v>49</v>
      </c>
      <c r="E33" s="682">
        <v>2213</v>
      </c>
      <c r="F33" s="642">
        <v>2302</v>
      </c>
      <c r="G33" s="642">
        <v>2628</v>
      </c>
      <c r="H33" s="643">
        <v>2654</v>
      </c>
      <c r="I33" s="644">
        <v>2693</v>
      </c>
      <c r="J33" s="642">
        <v>2731</v>
      </c>
      <c r="K33" s="343">
        <v>2875</v>
      </c>
      <c r="L33" s="344">
        <v>2883</v>
      </c>
      <c r="M33" s="344">
        <v>2911</v>
      </c>
      <c r="N33" s="344">
        <v>2888</v>
      </c>
      <c r="O33" s="344">
        <v>2730</v>
      </c>
      <c r="P33" s="344">
        <v>2855</v>
      </c>
      <c r="Q33" s="344">
        <v>2808</v>
      </c>
      <c r="R33" s="344">
        <v>3157</v>
      </c>
      <c r="S33" s="344">
        <v>3221</v>
      </c>
      <c r="T33" s="345">
        <v>3363</v>
      </c>
      <c r="U33" s="346">
        <v>3234</v>
      </c>
      <c r="V33" s="347">
        <v>3259</v>
      </c>
      <c r="W33" s="347">
        <v>3282</v>
      </c>
      <c r="X33" s="347">
        <v>3409</v>
      </c>
      <c r="Y33" s="347">
        <v>3720</v>
      </c>
      <c r="Z33" s="347">
        <v>3873</v>
      </c>
      <c r="AA33" s="347">
        <v>4088</v>
      </c>
      <c r="AB33" s="347">
        <v>4193</v>
      </c>
      <c r="AC33" s="347">
        <v>4250</v>
      </c>
      <c r="AD33" s="347">
        <v>4317</v>
      </c>
      <c r="AE33" s="347">
        <v>4454</v>
      </c>
      <c r="AF33" s="347">
        <v>4497</v>
      </c>
      <c r="AG33" s="347">
        <v>4616</v>
      </c>
      <c r="AH33" s="347">
        <v>4692</v>
      </c>
      <c r="AI33" s="347">
        <v>5158</v>
      </c>
      <c r="AJ33" s="347">
        <v>5602</v>
      </c>
      <c r="AK33" s="347">
        <v>6101</v>
      </c>
      <c r="AL33" s="347">
        <v>6453</v>
      </c>
      <c r="AM33" s="347">
        <v>7108</v>
      </c>
      <c r="AN33" s="347">
        <v>7503</v>
      </c>
      <c r="AO33" s="388">
        <f>7186-1954</f>
        <v>5232</v>
      </c>
      <c r="AP33" s="388">
        <v>7927</v>
      </c>
      <c r="AQ33" s="388">
        <f>7733-1907</f>
        <v>5826</v>
      </c>
      <c r="AR33" s="388">
        <f>8212-670-1287</f>
        <v>6255</v>
      </c>
      <c r="AS33" s="388">
        <f>9430-694-838</f>
        <v>7898</v>
      </c>
      <c r="AT33" s="388">
        <f>10482-1344</f>
        <v>9138</v>
      </c>
      <c r="AU33" s="388">
        <f>11251-1312</f>
        <v>9939</v>
      </c>
      <c r="AV33" s="388">
        <f>11395-1402</f>
        <v>9993</v>
      </c>
      <c r="AW33" s="388">
        <f>11784-1550</f>
        <v>10234</v>
      </c>
      <c r="AX33" s="388">
        <f>11722-1628</f>
        <v>10094</v>
      </c>
      <c r="AY33" s="388">
        <f>1551+1033+9718-177-110-1489</f>
        <v>10526</v>
      </c>
      <c r="AZ33" s="388">
        <f>12914-368-136-1571</f>
        <v>10839</v>
      </c>
      <c r="BA33" s="388">
        <f>14158-895-326-1637</f>
        <v>11300</v>
      </c>
      <c r="BB33" s="388">
        <f>14719-3722</f>
        <v>10997</v>
      </c>
      <c r="BC33" s="388">
        <f>15765-1258-1036-2432</f>
        <v>11039</v>
      </c>
      <c r="BD33" s="388">
        <v>16351</v>
      </c>
      <c r="BE33" s="388">
        <v>17969</v>
      </c>
      <c r="BF33" s="388">
        <v>15627</v>
      </c>
      <c r="BG33" s="388">
        <v>15307</v>
      </c>
      <c r="BH33" s="388">
        <v>14659</v>
      </c>
      <c r="BI33" s="388">
        <v>14218</v>
      </c>
      <c r="BJ33" s="388">
        <v>11470</v>
      </c>
      <c r="BK33" s="388">
        <v>11615</v>
      </c>
      <c r="BL33" s="388">
        <v>11559</v>
      </c>
      <c r="BM33" s="388">
        <v>11718</v>
      </c>
      <c r="BN33" s="388">
        <v>11589</v>
      </c>
      <c r="BO33" s="388">
        <v>11505</v>
      </c>
      <c r="BP33" s="389">
        <v>11375</v>
      </c>
      <c r="BQ33" s="390">
        <v>11292</v>
      </c>
      <c r="BR33" s="388">
        <v>10970</v>
      </c>
      <c r="BS33" s="388">
        <v>10983</v>
      </c>
      <c r="BT33" s="388">
        <v>10916</v>
      </c>
      <c r="BU33" s="388">
        <v>10864</v>
      </c>
      <c r="BV33" s="388">
        <v>10881</v>
      </c>
      <c r="BW33" s="388">
        <v>10914</v>
      </c>
      <c r="BX33" s="388">
        <v>10968</v>
      </c>
      <c r="BY33" s="388">
        <v>11002</v>
      </c>
      <c r="BZ33" s="388">
        <v>11217</v>
      </c>
      <c r="CA33" s="388">
        <v>11510</v>
      </c>
      <c r="CB33" s="391">
        <v>11612</v>
      </c>
      <c r="CC33" s="388">
        <v>11735</v>
      </c>
      <c r="CD33" s="388">
        <v>11755</v>
      </c>
      <c r="CE33" s="388">
        <v>11755</v>
      </c>
      <c r="CF33" s="388">
        <v>12277</v>
      </c>
      <c r="CG33" s="388">
        <v>12256</v>
      </c>
      <c r="CH33" s="388">
        <v>12344</v>
      </c>
      <c r="CI33" s="388">
        <v>12785</v>
      </c>
      <c r="CJ33" s="388">
        <v>12617</v>
      </c>
      <c r="CK33" s="388">
        <v>12885</v>
      </c>
      <c r="CL33" s="388">
        <v>12858</v>
      </c>
      <c r="CM33" s="388">
        <v>11498</v>
      </c>
      <c r="CN33" s="388">
        <v>11125</v>
      </c>
      <c r="CO33" s="388">
        <v>11210</v>
      </c>
      <c r="CP33" s="388">
        <v>11189</v>
      </c>
      <c r="CQ33" s="388">
        <v>10899</v>
      </c>
      <c r="CR33" s="388">
        <v>10915</v>
      </c>
      <c r="CS33" s="388">
        <v>10520</v>
      </c>
      <c r="CT33" s="388">
        <v>10635</v>
      </c>
      <c r="CU33" s="388">
        <v>10630</v>
      </c>
      <c r="CV33" s="388">
        <v>10894</v>
      </c>
      <c r="CW33" s="388">
        <v>10534</v>
      </c>
      <c r="CX33" s="388">
        <v>10610</v>
      </c>
      <c r="CY33" s="388">
        <v>10443</v>
      </c>
      <c r="CZ33" s="388">
        <v>9074</v>
      </c>
      <c r="DA33" s="388">
        <v>8621</v>
      </c>
      <c r="DB33" s="388">
        <v>7079</v>
      </c>
      <c r="DC33" s="388">
        <v>7034</v>
      </c>
      <c r="DD33" s="388">
        <v>7093</v>
      </c>
      <c r="DE33" s="388">
        <v>7453</v>
      </c>
      <c r="DF33" s="388">
        <v>7425</v>
      </c>
      <c r="DG33" s="388">
        <v>7670</v>
      </c>
      <c r="DH33" s="388">
        <v>7872</v>
      </c>
      <c r="DI33" s="388">
        <v>7795</v>
      </c>
      <c r="DJ33" s="388">
        <v>7987</v>
      </c>
      <c r="DK33" s="388">
        <v>7995</v>
      </c>
      <c r="DL33" s="388">
        <v>8174</v>
      </c>
      <c r="DM33" s="388">
        <v>8292</v>
      </c>
      <c r="DN33" s="388">
        <v>8595</v>
      </c>
      <c r="DO33" s="388">
        <v>8487</v>
      </c>
      <c r="DP33" s="388">
        <v>8581</v>
      </c>
      <c r="DQ33" s="388">
        <v>8779</v>
      </c>
      <c r="DR33" s="388">
        <v>9126</v>
      </c>
      <c r="DS33" s="388">
        <v>9268</v>
      </c>
      <c r="DT33" s="388">
        <v>9359</v>
      </c>
      <c r="DU33" s="388">
        <v>9212</v>
      </c>
      <c r="DV33" s="388">
        <v>9290</v>
      </c>
      <c r="DW33" s="388">
        <v>9373</v>
      </c>
      <c r="DX33" s="388">
        <v>9097</v>
      </c>
      <c r="DY33" s="388">
        <v>9180</v>
      </c>
      <c r="DZ33" s="388">
        <v>9350</v>
      </c>
      <c r="EA33" s="388">
        <v>9571</v>
      </c>
      <c r="EB33" s="388">
        <v>9605</v>
      </c>
      <c r="EC33" s="388">
        <v>9289</v>
      </c>
      <c r="ED33" s="388">
        <v>9293</v>
      </c>
      <c r="EE33" s="388">
        <v>9392</v>
      </c>
      <c r="EF33" s="388">
        <v>9416</v>
      </c>
      <c r="EG33" s="388">
        <v>9742</v>
      </c>
      <c r="EH33" s="388"/>
      <c r="EI33" s="388"/>
      <c r="EJ33" s="388"/>
    </row>
    <row r="34" spans="1:140" s="306" customFormat="1" ht="24" customHeight="1">
      <c r="A34" s="906"/>
      <c r="B34" s="907"/>
      <c r="C34" s="920" t="s">
        <v>55</v>
      </c>
      <c r="D34" s="657" t="s">
        <v>48</v>
      </c>
      <c r="E34" s="658">
        <f t="shared" ref="E34:BP35" si="24">+E32-E30</f>
        <v>4642426.9499999993</v>
      </c>
      <c r="F34" s="659">
        <f t="shared" si="24"/>
        <v>4563612.96</v>
      </c>
      <c r="G34" s="659">
        <f t="shared" si="24"/>
        <v>4873575.6899999995</v>
      </c>
      <c r="H34" s="663">
        <f t="shared" si="24"/>
        <v>5030708.55</v>
      </c>
      <c r="I34" s="661">
        <f t="shared" si="24"/>
        <v>4965343.17</v>
      </c>
      <c r="J34" s="659">
        <f t="shared" si="24"/>
        <v>4831724.21</v>
      </c>
      <c r="K34" s="659">
        <f t="shared" si="24"/>
        <v>4687013.4799999995</v>
      </c>
      <c r="L34" s="659">
        <f t="shared" si="24"/>
        <v>4499480.78</v>
      </c>
      <c r="M34" s="659">
        <f t="shared" si="24"/>
        <v>4449865.040000001</v>
      </c>
      <c r="N34" s="659">
        <f t="shared" si="24"/>
        <v>4180654.0300000003</v>
      </c>
      <c r="O34" s="659">
        <f t="shared" si="24"/>
        <v>3957469.0300000021</v>
      </c>
      <c r="P34" s="659">
        <f t="shared" si="24"/>
        <v>3623722.89</v>
      </c>
      <c r="Q34" s="659">
        <f t="shared" si="24"/>
        <v>3389418.3299999996</v>
      </c>
      <c r="R34" s="659">
        <f t="shared" si="24"/>
        <v>4035567.9400000032</v>
      </c>
      <c r="S34" s="659">
        <f t="shared" si="24"/>
        <v>4059481.6500000036</v>
      </c>
      <c r="T34" s="663">
        <f t="shared" si="24"/>
        <v>3943987.4700000058</v>
      </c>
      <c r="U34" s="661">
        <f t="shared" si="24"/>
        <v>3712027.9700000063</v>
      </c>
      <c r="V34" s="658">
        <f t="shared" si="24"/>
        <v>3562740.4400000046</v>
      </c>
      <c r="W34" s="658">
        <f t="shared" si="24"/>
        <v>3641741.83</v>
      </c>
      <c r="X34" s="658">
        <f t="shared" si="24"/>
        <v>3672244.0100000007</v>
      </c>
      <c r="Y34" s="658">
        <f t="shared" si="24"/>
        <v>3907858.2600000007</v>
      </c>
      <c r="Z34" s="658">
        <f t="shared" si="24"/>
        <v>4144318.2700000005</v>
      </c>
      <c r="AA34" s="658">
        <f t="shared" si="24"/>
        <v>4261756.96</v>
      </c>
      <c r="AB34" s="658">
        <f t="shared" si="24"/>
        <v>4408168.080000001</v>
      </c>
      <c r="AC34" s="658">
        <f t="shared" si="24"/>
        <v>4364674.1900000004</v>
      </c>
      <c r="AD34" s="658">
        <f t="shared" si="24"/>
        <v>4642377.2700000014</v>
      </c>
      <c r="AE34" s="658">
        <f t="shared" si="24"/>
        <v>4535045.2399999993</v>
      </c>
      <c r="AF34" s="658">
        <f t="shared" si="24"/>
        <v>4314567.4700000053</v>
      </c>
      <c r="AG34" s="658">
        <f t="shared" si="24"/>
        <v>4285016.9000000143</v>
      </c>
      <c r="AH34" s="658">
        <f t="shared" si="24"/>
        <v>4110554.6699999981</v>
      </c>
      <c r="AI34" s="658">
        <f t="shared" si="24"/>
        <v>3893039.5099999933</v>
      </c>
      <c r="AJ34" s="658">
        <f t="shared" si="24"/>
        <v>3819900.6500000004</v>
      </c>
      <c r="AK34" s="658">
        <f t="shared" si="24"/>
        <v>3756302.5099999812</v>
      </c>
      <c r="AL34" s="658">
        <f t="shared" si="24"/>
        <v>3526085.3599999975</v>
      </c>
      <c r="AM34" s="658">
        <f t="shared" si="24"/>
        <v>3559631.6400000015</v>
      </c>
      <c r="AN34" s="658">
        <f t="shared" si="24"/>
        <v>3293460.59</v>
      </c>
      <c r="AO34" s="658">
        <f t="shared" si="24"/>
        <v>3419508.3199999984</v>
      </c>
      <c r="AP34" s="658">
        <f t="shared" si="24"/>
        <v>3617599.1400000006</v>
      </c>
      <c r="AQ34" s="658">
        <f t="shared" si="24"/>
        <v>3839588.5899999989</v>
      </c>
      <c r="AR34" s="658">
        <f t="shared" si="24"/>
        <v>4180370.41</v>
      </c>
      <c r="AS34" s="658">
        <f t="shared" si="24"/>
        <v>4303235.1700000018</v>
      </c>
      <c r="AT34" s="658">
        <f t="shared" si="24"/>
        <v>4177729.7299999986</v>
      </c>
      <c r="AU34" s="658">
        <f t="shared" si="24"/>
        <v>4097121.6000000015</v>
      </c>
      <c r="AV34" s="658">
        <f t="shared" si="24"/>
        <v>3756628.1500000088</v>
      </c>
      <c r="AW34" s="658">
        <f t="shared" si="24"/>
        <v>3565555.5799999982</v>
      </c>
      <c r="AX34" s="658">
        <f t="shared" si="24"/>
        <v>3516630.2699999996</v>
      </c>
      <c r="AY34" s="658">
        <f t="shared" si="24"/>
        <v>4292438.33</v>
      </c>
      <c r="AZ34" s="658">
        <f t="shared" si="24"/>
        <v>5120323.2899999982</v>
      </c>
      <c r="BA34" s="658">
        <f t="shared" si="24"/>
        <v>5795861.4400000013</v>
      </c>
      <c r="BB34" s="658">
        <f t="shared" si="24"/>
        <v>5729905.0199999996</v>
      </c>
      <c r="BC34" s="658">
        <f t="shared" si="24"/>
        <v>5983268.7499999981</v>
      </c>
      <c r="BD34" s="658">
        <f t="shared" si="24"/>
        <v>6183440.0500000007</v>
      </c>
      <c r="BE34" s="658">
        <f t="shared" si="24"/>
        <v>6025953.3600000013</v>
      </c>
      <c r="BF34" s="658">
        <f t="shared" si="24"/>
        <v>6155576.7600000016</v>
      </c>
      <c r="BG34" s="658">
        <f t="shared" si="24"/>
        <v>6249201.8100000005</v>
      </c>
      <c r="BH34" s="658">
        <f t="shared" si="24"/>
        <v>5361535.6500000022</v>
      </c>
      <c r="BI34" s="658">
        <f t="shared" si="24"/>
        <v>4874558.1700000074</v>
      </c>
      <c r="BJ34" s="658">
        <f t="shared" si="24"/>
        <v>4705861.3499999959</v>
      </c>
      <c r="BK34" s="658">
        <f t="shared" si="24"/>
        <v>5099327.5800000019</v>
      </c>
      <c r="BL34" s="658">
        <f t="shared" si="24"/>
        <v>5218676.7500000075</v>
      </c>
      <c r="BM34" s="658">
        <f t="shared" si="24"/>
        <v>5710524.4299998991</v>
      </c>
      <c r="BN34" s="658">
        <f t="shared" si="24"/>
        <v>5975500.8600000013</v>
      </c>
      <c r="BO34" s="658">
        <f t="shared" si="24"/>
        <v>5636201.339999998</v>
      </c>
      <c r="BP34" s="664">
        <f t="shared" si="24"/>
        <v>5408974.0699999984</v>
      </c>
      <c r="BQ34" s="661">
        <f t="shared" ref="BQ34:EB35" si="25">+BQ32-BQ30</f>
        <v>5361308.93</v>
      </c>
      <c r="BR34" s="658">
        <f t="shared" si="25"/>
        <v>5248151.5000000037</v>
      </c>
      <c r="BS34" s="658">
        <f t="shared" si="25"/>
        <v>5395040.5199999958</v>
      </c>
      <c r="BT34" s="658">
        <f t="shared" si="25"/>
        <v>5588567.7499999888</v>
      </c>
      <c r="BU34" s="658">
        <f t="shared" si="25"/>
        <v>5426079.30999998</v>
      </c>
      <c r="BV34" s="658">
        <f t="shared" si="25"/>
        <v>5595756.1099999901</v>
      </c>
      <c r="BW34" s="658">
        <f t="shared" si="25"/>
        <v>5791379.279999977</v>
      </c>
      <c r="BX34" s="658">
        <f t="shared" si="25"/>
        <v>6116597.4099999648</v>
      </c>
      <c r="BY34" s="658">
        <f t="shared" si="25"/>
        <v>6178409.6699999999</v>
      </c>
      <c r="BZ34" s="658">
        <f t="shared" si="25"/>
        <v>6869514.7399999686</v>
      </c>
      <c r="CA34" s="658">
        <f t="shared" si="25"/>
        <v>7650253.0000000149</v>
      </c>
      <c r="CB34" s="665">
        <f t="shared" si="25"/>
        <v>7634247.3900000006</v>
      </c>
      <c r="CC34" s="658">
        <f t="shared" si="25"/>
        <v>6878357.4299999978</v>
      </c>
      <c r="CD34" s="658">
        <f t="shared" si="25"/>
        <v>7029460.3999999985</v>
      </c>
      <c r="CE34" s="658">
        <f t="shared" si="25"/>
        <v>7124599.709999999</v>
      </c>
      <c r="CF34" s="658">
        <f t="shared" si="25"/>
        <v>8124630.459999999</v>
      </c>
      <c r="CG34" s="658">
        <f t="shared" si="25"/>
        <v>7570901.8200000022</v>
      </c>
      <c r="CH34" s="658">
        <f t="shared" si="25"/>
        <v>7548263.1400000006</v>
      </c>
      <c r="CI34" s="658">
        <f t="shared" si="25"/>
        <v>8737421.6099999994</v>
      </c>
      <c r="CJ34" s="658">
        <f t="shared" si="25"/>
        <v>7887796.8299999014</v>
      </c>
      <c r="CK34" s="658">
        <f t="shared" si="25"/>
        <v>8718473.7399999984</v>
      </c>
      <c r="CL34" s="658">
        <f t="shared" si="25"/>
        <v>7729757.2800000012</v>
      </c>
      <c r="CM34" s="658">
        <f t="shared" si="25"/>
        <v>7451171.7300000004</v>
      </c>
      <c r="CN34" s="658">
        <f t="shared" si="25"/>
        <v>7014398.299999956</v>
      </c>
      <c r="CO34" s="658">
        <f t="shared" si="25"/>
        <v>8626239.5800000243</v>
      </c>
      <c r="CP34" s="658">
        <f t="shared" si="25"/>
        <v>9193563.8699999936</v>
      </c>
      <c r="CQ34" s="658">
        <f t="shared" si="25"/>
        <v>9801243.3300000019</v>
      </c>
      <c r="CR34" s="658">
        <f t="shared" si="25"/>
        <v>10037573.199999999</v>
      </c>
      <c r="CS34" s="658">
        <f t="shared" si="25"/>
        <v>9721339.0800000019</v>
      </c>
      <c r="CT34" s="658">
        <f t="shared" si="25"/>
        <v>10232815.079999994</v>
      </c>
      <c r="CU34" s="658">
        <f t="shared" si="25"/>
        <v>9628853.7300000004</v>
      </c>
      <c r="CV34" s="658">
        <f t="shared" si="25"/>
        <v>10515088.750000004</v>
      </c>
      <c r="CW34" s="658">
        <f t="shared" si="25"/>
        <v>10515763.030000001</v>
      </c>
      <c r="CX34" s="658">
        <f t="shared" si="25"/>
        <v>10482510.609999999</v>
      </c>
      <c r="CY34" s="658">
        <f t="shared" si="25"/>
        <v>9636395.9099999964</v>
      </c>
      <c r="CZ34" s="658">
        <f t="shared" si="25"/>
        <v>6950499.0600000024</v>
      </c>
      <c r="DA34" s="658">
        <f t="shared" si="25"/>
        <v>6664210.4899999984</v>
      </c>
      <c r="DB34" s="658">
        <f t="shared" si="25"/>
        <v>6846590.0700000115</v>
      </c>
      <c r="DC34" s="658">
        <f t="shared" si="25"/>
        <v>6681638.0800000168</v>
      </c>
      <c r="DD34" s="658">
        <f t="shared" si="25"/>
        <v>6527530.9700000025</v>
      </c>
      <c r="DE34" s="658">
        <f t="shared" si="25"/>
        <v>7528707.8499999717</v>
      </c>
      <c r="DF34" s="658">
        <f t="shared" si="25"/>
        <v>7469205.1100000255</v>
      </c>
      <c r="DG34" s="658">
        <f t="shared" si="25"/>
        <v>8096735.0300000273</v>
      </c>
      <c r="DH34" s="658">
        <f t="shared" si="25"/>
        <v>8728808.0200000107</v>
      </c>
      <c r="DI34" s="658">
        <f t="shared" si="25"/>
        <v>8122676.7700000182</v>
      </c>
      <c r="DJ34" s="658">
        <f t="shared" si="25"/>
        <v>8603151.4999999665</v>
      </c>
      <c r="DK34" s="658">
        <f t="shared" si="25"/>
        <v>8943808.4899999797</v>
      </c>
      <c r="DL34" s="658">
        <f t="shared" si="25"/>
        <v>8862281.2899999879</v>
      </c>
      <c r="DM34" s="658">
        <f t="shared" si="25"/>
        <v>8990129.760000024</v>
      </c>
      <c r="DN34" s="658">
        <f t="shared" si="25"/>
        <v>9055992.2699999996</v>
      </c>
      <c r="DO34" s="658">
        <f t="shared" si="25"/>
        <v>8549118.6400000677</v>
      </c>
      <c r="DP34" s="658">
        <f t="shared" si="25"/>
        <v>8464292.1100000553</v>
      </c>
      <c r="DQ34" s="658">
        <f t="shared" si="25"/>
        <v>8596944.1299999654</v>
      </c>
      <c r="DR34" s="658">
        <f t="shared" si="25"/>
        <v>9067878.9899999648</v>
      </c>
      <c r="DS34" s="658">
        <f t="shared" si="25"/>
        <v>9288468.859999992</v>
      </c>
      <c r="DT34" s="658">
        <f t="shared" si="25"/>
        <v>9322261.899999924</v>
      </c>
      <c r="DU34" s="658">
        <f t="shared" si="25"/>
        <v>8366150.6599999927</v>
      </c>
      <c r="DV34" s="658">
        <f t="shared" si="25"/>
        <v>7976650.2599999309</v>
      </c>
      <c r="DW34" s="658">
        <f t="shared" si="25"/>
        <v>7710895.0499999635</v>
      </c>
      <c r="DX34" s="658">
        <f t="shared" si="25"/>
        <v>7480698.4400000796</v>
      </c>
      <c r="DY34" s="658">
        <f t="shared" si="25"/>
        <v>7071959.3900000267</v>
      </c>
      <c r="DZ34" s="658">
        <f t="shared" si="25"/>
        <v>6818422.6100000031</v>
      </c>
      <c r="EA34" s="658">
        <f t="shared" si="25"/>
        <v>6512470.6399999894</v>
      </c>
      <c r="EB34" s="658">
        <f t="shared" si="25"/>
        <v>6367266.7600000426</v>
      </c>
      <c r="EC34" s="658">
        <f t="shared" ref="EC34:EN35" si="26">+EC32-EC30</f>
        <v>5760916.2400000356</v>
      </c>
      <c r="ED34" s="658">
        <f t="shared" si="26"/>
        <v>5194732.2199999616</v>
      </c>
      <c r="EE34" s="658">
        <f t="shared" si="26"/>
        <v>5560484.1300000064</v>
      </c>
      <c r="EF34" s="658">
        <f t="shared" si="26"/>
        <v>5291906.2400000505</v>
      </c>
      <c r="EG34" s="658">
        <f t="shared" si="26"/>
        <v>4857256.360000018</v>
      </c>
      <c r="EH34" s="658">
        <f t="shared" si="26"/>
        <v>0</v>
      </c>
      <c r="EI34" s="658">
        <f t="shared" si="26"/>
        <v>0</v>
      </c>
      <c r="EJ34" s="658">
        <f t="shared" si="26"/>
        <v>0</v>
      </c>
    </row>
    <row r="35" spans="1:140" s="307" customFormat="1" ht="24" customHeight="1" thickBot="1">
      <c r="A35" s="906"/>
      <c r="B35" s="907"/>
      <c r="C35" s="921"/>
      <c r="D35" s="666" t="s">
        <v>49</v>
      </c>
      <c r="E35" s="683">
        <f t="shared" si="24"/>
        <v>2063</v>
      </c>
      <c r="F35" s="684">
        <f t="shared" si="24"/>
        <v>2115</v>
      </c>
      <c r="G35" s="684">
        <f t="shared" si="24"/>
        <v>2363</v>
      </c>
      <c r="H35" s="685">
        <f t="shared" si="24"/>
        <v>2390</v>
      </c>
      <c r="I35" s="686">
        <f t="shared" si="24"/>
        <v>2394</v>
      </c>
      <c r="J35" s="684">
        <f t="shared" si="24"/>
        <v>2437</v>
      </c>
      <c r="K35" s="684">
        <f t="shared" si="24"/>
        <v>2549</v>
      </c>
      <c r="L35" s="684">
        <f t="shared" si="24"/>
        <v>2516</v>
      </c>
      <c r="M35" s="684">
        <f t="shared" si="24"/>
        <v>2470</v>
      </c>
      <c r="N35" s="684">
        <f t="shared" si="24"/>
        <v>2384</v>
      </c>
      <c r="O35" s="684">
        <f t="shared" si="24"/>
        <v>2158</v>
      </c>
      <c r="P35" s="684">
        <f t="shared" si="24"/>
        <v>2088</v>
      </c>
      <c r="Q35" s="684">
        <f t="shared" si="24"/>
        <v>1986</v>
      </c>
      <c r="R35" s="684">
        <f t="shared" si="24"/>
        <v>2278</v>
      </c>
      <c r="S35" s="684">
        <f t="shared" si="24"/>
        <v>2298</v>
      </c>
      <c r="T35" s="685">
        <f t="shared" si="24"/>
        <v>2350</v>
      </c>
      <c r="U35" s="686">
        <f t="shared" si="24"/>
        <v>2150</v>
      </c>
      <c r="V35" s="683">
        <f t="shared" si="24"/>
        <v>2112</v>
      </c>
      <c r="W35" s="683">
        <f t="shared" si="24"/>
        <v>2095</v>
      </c>
      <c r="X35" s="683">
        <f t="shared" si="24"/>
        <v>2071</v>
      </c>
      <c r="Y35" s="683">
        <f t="shared" si="24"/>
        <v>2259</v>
      </c>
      <c r="Z35" s="683">
        <f t="shared" si="24"/>
        <v>2291</v>
      </c>
      <c r="AA35" s="683">
        <f t="shared" si="24"/>
        <v>2411</v>
      </c>
      <c r="AB35" s="683">
        <f t="shared" si="24"/>
        <v>2405</v>
      </c>
      <c r="AC35" s="683">
        <f t="shared" si="24"/>
        <v>2426</v>
      </c>
      <c r="AD35" s="683">
        <f t="shared" si="24"/>
        <v>2416</v>
      </c>
      <c r="AE35" s="683">
        <f t="shared" si="24"/>
        <v>2479</v>
      </c>
      <c r="AF35" s="683">
        <f t="shared" si="24"/>
        <v>2410</v>
      </c>
      <c r="AG35" s="683">
        <f t="shared" si="24"/>
        <v>2514</v>
      </c>
      <c r="AH35" s="683">
        <f t="shared" si="24"/>
        <v>2552</v>
      </c>
      <c r="AI35" s="683">
        <f t="shared" si="24"/>
        <v>2986</v>
      </c>
      <c r="AJ35" s="683">
        <f t="shared" si="24"/>
        <v>3386</v>
      </c>
      <c r="AK35" s="683">
        <f t="shared" si="24"/>
        <v>3899</v>
      </c>
      <c r="AL35" s="683">
        <f t="shared" si="24"/>
        <v>4179</v>
      </c>
      <c r="AM35" s="683">
        <f t="shared" si="24"/>
        <v>4791</v>
      </c>
      <c r="AN35" s="683">
        <f t="shared" si="24"/>
        <v>5137</v>
      </c>
      <c r="AO35" s="683">
        <f t="shared" si="24"/>
        <v>2815</v>
      </c>
      <c r="AP35" s="683">
        <f t="shared" si="24"/>
        <v>5451</v>
      </c>
      <c r="AQ35" s="683">
        <f t="shared" si="24"/>
        <v>3292</v>
      </c>
      <c r="AR35" s="683">
        <f t="shared" si="24"/>
        <v>3644</v>
      </c>
      <c r="AS35" s="683">
        <f t="shared" si="24"/>
        <v>5266</v>
      </c>
      <c r="AT35" s="683">
        <f t="shared" si="24"/>
        <v>6450</v>
      </c>
      <c r="AU35" s="683">
        <f t="shared" si="24"/>
        <v>7209</v>
      </c>
      <c r="AV35" s="683">
        <f t="shared" si="24"/>
        <v>7209</v>
      </c>
      <c r="AW35" s="683">
        <f t="shared" si="24"/>
        <v>7382</v>
      </c>
      <c r="AX35" s="683">
        <f t="shared" si="24"/>
        <v>7178</v>
      </c>
      <c r="AY35" s="683">
        <f t="shared" si="24"/>
        <v>7542</v>
      </c>
      <c r="AZ35" s="683">
        <f t="shared" si="24"/>
        <v>7865</v>
      </c>
      <c r="BA35" s="683">
        <f t="shared" si="24"/>
        <v>8235</v>
      </c>
      <c r="BB35" s="683">
        <f t="shared" si="24"/>
        <v>7888</v>
      </c>
      <c r="BC35" s="683">
        <f t="shared" si="24"/>
        <v>7899</v>
      </c>
      <c r="BD35" s="683">
        <f t="shared" si="24"/>
        <v>13171</v>
      </c>
      <c r="BE35" s="683">
        <f t="shared" si="24"/>
        <v>14727</v>
      </c>
      <c r="BF35" s="683">
        <f t="shared" si="24"/>
        <v>12335</v>
      </c>
      <c r="BG35" s="683">
        <f t="shared" si="24"/>
        <v>11948</v>
      </c>
      <c r="BH35" s="683">
        <f t="shared" si="24"/>
        <v>11228</v>
      </c>
      <c r="BI35" s="683">
        <f t="shared" si="24"/>
        <v>10740</v>
      </c>
      <c r="BJ35" s="683">
        <f t="shared" si="24"/>
        <v>7935</v>
      </c>
      <c r="BK35" s="683">
        <f t="shared" si="24"/>
        <v>8033</v>
      </c>
      <c r="BL35" s="683">
        <f t="shared" si="24"/>
        <v>7954</v>
      </c>
      <c r="BM35" s="683">
        <f t="shared" si="24"/>
        <v>8072</v>
      </c>
      <c r="BN35" s="683">
        <f t="shared" si="24"/>
        <v>7915</v>
      </c>
      <c r="BO35" s="683">
        <f t="shared" si="24"/>
        <v>7782</v>
      </c>
      <c r="BP35" s="687">
        <f t="shared" si="24"/>
        <v>7608</v>
      </c>
      <c r="BQ35" s="686">
        <f t="shared" si="25"/>
        <v>7482</v>
      </c>
      <c r="BR35" s="683">
        <f t="shared" si="25"/>
        <v>7129</v>
      </c>
      <c r="BS35" s="683">
        <f t="shared" si="25"/>
        <v>7093</v>
      </c>
      <c r="BT35" s="683">
        <f t="shared" si="25"/>
        <v>6989</v>
      </c>
      <c r="BU35" s="683">
        <f t="shared" si="25"/>
        <v>6915</v>
      </c>
      <c r="BV35" s="683">
        <f t="shared" si="25"/>
        <v>6889</v>
      </c>
      <c r="BW35" s="683">
        <f t="shared" si="25"/>
        <v>6888</v>
      </c>
      <c r="BX35" s="683">
        <f t="shared" si="25"/>
        <v>6938</v>
      </c>
      <c r="BY35" s="683">
        <f t="shared" si="25"/>
        <v>6917</v>
      </c>
      <c r="BZ35" s="683">
        <f t="shared" si="25"/>
        <v>7073</v>
      </c>
      <c r="CA35" s="683">
        <f t="shared" si="25"/>
        <v>7321</v>
      </c>
      <c r="CB35" s="688">
        <f t="shared" si="25"/>
        <v>7353</v>
      </c>
      <c r="CC35" s="683">
        <f t="shared" si="25"/>
        <v>7255</v>
      </c>
      <c r="CD35" s="683">
        <f t="shared" si="25"/>
        <v>7206</v>
      </c>
      <c r="CE35" s="683">
        <f t="shared" si="25"/>
        <v>7168</v>
      </c>
      <c r="CF35" s="683">
        <f t="shared" si="25"/>
        <v>7641</v>
      </c>
      <c r="CG35" s="683">
        <f t="shared" si="25"/>
        <v>7553</v>
      </c>
      <c r="CH35" s="683">
        <f t="shared" si="25"/>
        <v>7552</v>
      </c>
      <c r="CI35" s="683">
        <f t="shared" si="25"/>
        <v>7964</v>
      </c>
      <c r="CJ35" s="683">
        <f t="shared" si="25"/>
        <v>7741</v>
      </c>
      <c r="CK35" s="683">
        <f t="shared" si="25"/>
        <v>8036</v>
      </c>
      <c r="CL35" s="683">
        <f t="shared" si="25"/>
        <v>7977</v>
      </c>
      <c r="CM35" s="683">
        <f t="shared" si="25"/>
        <v>6728</v>
      </c>
      <c r="CN35" s="683">
        <f t="shared" si="25"/>
        <v>6312</v>
      </c>
      <c r="CO35" s="683">
        <f t="shared" si="25"/>
        <v>6698</v>
      </c>
      <c r="CP35" s="683">
        <f t="shared" si="25"/>
        <v>6719</v>
      </c>
      <c r="CQ35" s="683">
        <f t="shared" si="25"/>
        <v>6336</v>
      </c>
      <c r="CR35" s="683">
        <f t="shared" si="25"/>
        <v>6350</v>
      </c>
      <c r="CS35" s="683">
        <f t="shared" si="25"/>
        <v>5924</v>
      </c>
      <c r="CT35" s="683">
        <f t="shared" si="25"/>
        <v>5915</v>
      </c>
      <c r="CU35" s="683">
        <f t="shared" si="25"/>
        <v>5879</v>
      </c>
      <c r="CV35" s="683">
        <f t="shared" si="25"/>
        <v>6108</v>
      </c>
      <c r="CW35" s="683">
        <f t="shared" si="25"/>
        <v>5752</v>
      </c>
      <c r="CX35" s="683">
        <f t="shared" si="25"/>
        <v>5699</v>
      </c>
      <c r="CY35" s="683">
        <f t="shared" si="25"/>
        <v>5472</v>
      </c>
      <c r="CZ35" s="683">
        <f t="shared" si="25"/>
        <v>4040</v>
      </c>
      <c r="DA35" s="683">
        <f t="shared" si="25"/>
        <v>3597</v>
      </c>
      <c r="DB35" s="683">
        <f t="shared" si="25"/>
        <v>2135</v>
      </c>
      <c r="DC35" s="683">
        <f t="shared" si="25"/>
        <v>2097</v>
      </c>
      <c r="DD35" s="683">
        <f t="shared" si="25"/>
        <v>2125</v>
      </c>
      <c r="DE35" s="683">
        <f t="shared" si="25"/>
        <v>2460</v>
      </c>
      <c r="DF35" s="683">
        <f t="shared" si="25"/>
        <v>2412</v>
      </c>
      <c r="DG35" s="683">
        <f t="shared" si="25"/>
        <v>2614</v>
      </c>
      <c r="DH35" s="683">
        <f t="shared" si="25"/>
        <v>2758</v>
      </c>
      <c r="DI35" s="683">
        <f t="shared" si="25"/>
        <v>2578</v>
      </c>
      <c r="DJ35" s="683">
        <f t="shared" si="25"/>
        <v>2768</v>
      </c>
      <c r="DK35" s="683">
        <f t="shared" si="25"/>
        <v>2829</v>
      </c>
      <c r="DL35" s="683">
        <f t="shared" si="25"/>
        <v>2852</v>
      </c>
      <c r="DM35" s="683">
        <f t="shared" si="25"/>
        <v>2935</v>
      </c>
      <c r="DN35" s="683">
        <f t="shared" si="25"/>
        <v>3169</v>
      </c>
      <c r="DO35" s="683">
        <f t="shared" si="25"/>
        <v>2959</v>
      </c>
      <c r="DP35" s="683">
        <f t="shared" si="25"/>
        <v>3011</v>
      </c>
      <c r="DQ35" s="683">
        <f t="shared" si="25"/>
        <v>3138</v>
      </c>
      <c r="DR35" s="683">
        <f t="shared" si="25"/>
        <v>3373</v>
      </c>
      <c r="DS35" s="683">
        <f t="shared" si="25"/>
        <v>3423</v>
      </c>
      <c r="DT35" s="683">
        <f t="shared" si="25"/>
        <v>3394</v>
      </c>
      <c r="DU35" s="683">
        <f t="shared" si="25"/>
        <v>3138</v>
      </c>
      <c r="DV35" s="683">
        <f t="shared" si="25"/>
        <v>3065</v>
      </c>
      <c r="DW35" s="683">
        <f t="shared" si="25"/>
        <v>2969</v>
      </c>
      <c r="DX35" s="683">
        <f t="shared" si="25"/>
        <v>2616</v>
      </c>
      <c r="DY35" s="683">
        <f t="shared" si="25"/>
        <v>2642</v>
      </c>
      <c r="DZ35" s="683">
        <f t="shared" si="25"/>
        <v>2744</v>
      </c>
      <c r="EA35" s="683">
        <f t="shared" si="25"/>
        <v>2854</v>
      </c>
      <c r="EB35" s="683">
        <f t="shared" si="25"/>
        <v>2875</v>
      </c>
      <c r="EC35" s="683">
        <f t="shared" si="26"/>
        <v>2516</v>
      </c>
      <c r="ED35" s="683">
        <f t="shared" si="26"/>
        <v>2464</v>
      </c>
      <c r="EE35" s="683">
        <f t="shared" si="26"/>
        <v>2456</v>
      </c>
      <c r="EF35" s="683">
        <f t="shared" si="26"/>
        <v>2358</v>
      </c>
      <c r="EG35" s="683">
        <f t="shared" si="26"/>
        <v>2766</v>
      </c>
      <c r="EH35" s="683">
        <f t="shared" si="26"/>
        <v>0</v>
      </c>
      <c r="EI35" s="683">
        <f t="shared" si="26"/>
        <v>0</v>
      </c>
      <c r="EJ35" s="683">
        <f t="shared" si="26"/>
        <v>0</v>
      </c>
    </row>
    <row r="36" spans="1:140" s="306" customFormat="1" ht="24" customHeight="1">
      <c r="A36" s="906"/>
      <c r="B36" s="907"/>
      <c r="C36" s="922" t="s">
        <v>56</v>
      </c>
      <c r="D36" s="677" t="s">
        <v>48</v>
      </c>
      <c r="E36" s="678">
        <v>815677.62</v>
      </c>
      <c r="F36" s="679">
        <v>796529.8</v>
      </c>
      <c r="G36" s="679">
        <v>745688.69</v>
      </c>
      <c r="H36" s="680">
        <v>819286.17</v>
      </c>
      <c r="I36" s="681">
        <v>848172.95</v>
      </c>
      <c r="J36" s="679">
        <v>921314.67</v>
      </c>
      <c r="K36" s="382">
        <v>880049.02</v>
      </c>
      <c r="L36" s="383">
        <v>896122.68</v>
      </c>
      <c r="M36" s="383">
        <v>899830.25</v>
      </c>
      <c r="N36" s="383">
        <v>855452.18</v>
      </c>
      <c r="O36" s="383">
        <v>878191.85</v>
      </c>
      <c r="P36" s="383">
        <v>913488.41</v>
      </c>
      <c r="Q36" s="383">
        <v>815917.38</v>
      </c>
      <c r="R36" s="383">
        <v>533471.29</v>
      </c>
      <c r="S36" s="383">
        <v>956018.81000000087</v>
      </c>
      <c r="T36" s="352">
        <v>1150548.92</v>
      </c>
      <c r="U36" s="353">
        <v>1004016.81</v>
      </c>
      <c r="V36" s="354">
        <v>1080681.8700000001</v>
      </c>
      <c r="W36" s="354">
        <v>1338979.44</v>
      </c>
      <c r="X36" s="354">
        <v>947158.36</v>
      </c>
      <c r="Y36" s="354">
        <v>760030.42</v>
      </c>
      <c r="Z36" s="354">
        <v>705341.24</v>
      </c>
      <c r="AA36" s="354">
        <v>870671</v>
      </c>
      <c r="AB36" s="354">
        <v>999529.19</v>
      </c>
      <c r="AC36" s="354">
        <v>1251888.69</v>
      </c>
      <c r="AD36" s="354">
        <v>1150936.3400000001</v>
      </c>
      <c r="AE36" s="354">
        <v>1257032.22</v>
      </c>
      <c r="AF36" s="354">
        <v>1356407.5</v>
      </c>
      <c r="AG36" s="354">
        <v>1151165.98</v>
      </c>
      <c r="AH36" s="354">
        <v>1102060.6599999999</v>
      </c>
      <c r="AI36" s="354">
        <v>1150815.3999999999</v>
      </c>
      <c r="AJ36" s="354">
        <v>1200045.25</v>
      </c>
      <c r="AK36" s="354">
        <v>995496.59999999928</v>
      </c>
      <c r="AL36" s="354">
        <v>998823.19</v>
      </c>
      <c r="AM36" s="354">
        <v>621703.64</v>
      </c>
      <c r="AN36" s="354">
        <v>742473.43</v>
      </c>
      <c r="AO36" s="354">
        <v>599989.65</v>
      </c>
      <c r="AP36" s="354">
        <v>599999.68000000005</v>
      </c>
      <c r="AQ36" s="354">
        <v>600051.43999999994</v>
      </c>
      <c r="AR36" s="354">
        <v>500330.16</v>
      </c>
      <c r="AS36" s="354">
        <v>758383.34</v>
      </c>
      <c r="AT36" s="354">
        <v>954719.63</v>
      </c>
      <c r="AU36" s="354">
        <v>960582.61000000057</v>
      </c>
      <c r="AV36" s="354">
        <v>1000423.5700000002</v>
      </c>
      <c r="AW36" s="392">
        <v>897718.35</v>
      </c>
      <c r="AX36" s="392">
        <v>877867.56000000017</v>
      </c>
      <c r="AY36" s="392">
        <v>599569.38999999978</v>
      </c>
      <c r="AZ36" s="392">
        <v>809865.25000000012</v>
      </c>
      <c r="BA36" s="392">
        <v>1289524.58</v>
      </c>
      <c r="BB36" s="392">
        <v>1466564.399999999</v>
      </c>
      <c r="BC36" s="392">
        <v>1462981.3699999999</v>
      </c>
      <c r="BD36" s="392">
        <v>1644792.3699999971</v>
      </c>
      <c r="BE36" s="392">
        <v>1623179.1000000003</v>
      </c>
      <c r="BF36" s="392">
        <v>1328744.2899999998</v>
      </c>
      <c r="BG36" s="392">
        <v>1298305.0599999996</v>
      </c>
      <c r="BH36" s="392">
        <v>1508936.5199999996</v>
      </c>
      <c r="BI36" s="392">
        <v>1551209.8300000012</v>
      </c>
      <c r="BJ36" s="392">
        <v>1247260.7299999995</v>
      </c>
      <c r="BK36" s="392">
        <v>1004041.46</v>
      </c>
      <c r="BL36" s="392">
        <v>1339555.3600000001</v>
      </c>
      <c r="BM36" s="392">
        <v>999325.27000000014</v>
      </c>
      <c r="BN36" s="392">
        <v>1422830.4500000004</v>
      </c>
      <c r="BO36" s="392">
        <v>1497577.4000000001</v>
      </c>
      <c r="BP36" s="393">
        <v>1322833.1899999992</v>
      </c>
      <c r="BQ36" s="386">
        <v>1427581.57</v>
      </c>
      <c r="BR36" s="384">
        <v>1247758.06</v>
      </c>
      <c r="BS36" s="384">
        <v>1311790.2100000002</v>
      </c>
      <c r="BT36" s="384">
        <v>1178351.9900000005</v>
      </c>
      <c r="BU36" s="384">
        <v>1417554.01</v>
      </c>
      <c r="BV36" s="384">
        <v>1263242.0800000003</v>
      </c>
      <c r="BW36" s="384">
        <v>1099834.7400000002</v>
      </c>
      <c r="BX36" s="384">
        <v>1313430.7499999995</v>
      </c>
      <c r="BY36" s="384">
        <v>1292508.0700000008</v>
      </c>
      <c r="BZ36" s="384">
        <v>1279221.8200000008</v>
      </c>
      <c r="CA36" s="384">
        <v>1498289.1300000004</v>
      </c>
      <c r="CB36" s="387">
        <v>1497716.69</v>
      </c>
      <c r="CC36" s="384">
        <v>1564056.11</v>
      </c>
      <c r="CD36" s="384">
        <v>1252321.959999999</v>
      </c>
      <c r="CE36" s="384">
        <v>1322261.26</v>
      </c>
      <c r="CF36" s="384">
        <v>1623862.44</v>
      </c>
      <c r="CG36" s="384">
        <v>1600269.2599999995</v>
      </c>
      <c r="CH36" s="384">
        <v>1008128.1199999988</v>
      </c>
      <c r="CI36" s="384">
        <v>656782.53999999992</v>
      </c>
      <c r="CJ36" s="384">
        <v>2002172.47</v>
      </c>
      <c r="CK36" s="384">
        <v>1230098.28</v>
      </c>
      <c r="CL36" s="384">
        <v>2337467.8399999994</v>
      </c>
      <c r="CM36" s="384">
        <v>2042420.9200000002</v>
      </c>
      <c r="CN36" s="384">
        <v>1928501.86</v>
      </c>
      <c r="CO36" s="384">
        <v>1200112.0799999996</v>
      </c>
      <c r="CP36" s="384">
        <v>1598343.4499999993</v>
      </c>
      <c r="CQ36" s="384">
        <v>1500019.1799999997</v>
      </c>
      <c r="CR36" s="384">
        <v>1537215.3399999994</v>
      </c>
      <c r="CS36" s="384">
        <v>1787410.2900000005</v>
      </c>
      <c r="CT36" s="384">
        <v>1084735.1700000002</v>
      </c>
      <c r="CU36" s="384">
        <v>2531992.9699999965</v>
      </c>
      <c r="CV36" s="384">
        <v>1879532.01</v>
      </c>
      <c r="CW36" s="384">
        <v>2274974.4999999995</v>
      </c>
      <c r="CX36" s="384">
        <v>2015240.3099999998</v>
      </c>
      <c r="CY36" s="384">
        <v>5271049.1799999969</v>
      </c>
      <c r="CZ36" s="384">
        <v>2595277.740000003</v>
      </c>
      <c r="DA36" s="384">
        <v>2057562.52</v>
      </c>
      <c r="DB36" s="384">
        <v>2923370.85</v>
      </c>
      <c r="DC36" s="384">
        <v>2268148.31</v>
      </c>
      <c r="DD36" s="384">
        <v>2119963.0299999998</v>
      </c>
      <c r="DE36" s="384">
        <v>1892607.69</v>
      </c>
      <c r="DF36" s="384">
        <v>2092816.13</v>
      </c>
      <c r="DG36" s="384">
        <v>1991163.38</v>
      </c>
      <c r="DH36" s="384">
        <v>2028058.2999999998</v>
      </c>
      <c r="DI36" s="384">
        <v>2441878.4700000002</v>
      </c>
      <c r="DJ36" s="384">
        <v>2241869.4300000002</v>
      </c>
      <c r="DK36" s="384">
        <v>3361727.27</v>
      </c>
      <c r="DL36" s="384">
        <v>2452980.92</v>
      </c>
      <c r="DM36" s="384">
        <v>2547433.79</v>
      </c>
      <c r="DN36" s="384">
        <v>2547929.1800000002</v>
      </c>
      <c r="DO36" s="384">
        <v>2900948.45</v>
      </c>
      <c r="DP36" s="384">
        <v>2420976.16</v>
      </c>
      <c r="DQ36" s="384">
        <v>2597831.62</v>
      </c>
      <c r="DR36" s="384">
        <v>2464756.0500000003</v>
      </c>
      <c r="DS36" s="384">
        <v>2361348.06</v>
      </c>
      <c r="DT36" s="384">
        <v>2658648.79</v>
      </c>
      <c r="DU36" s="384">
        <v>3075836.73</v>
      </c>
      <c r="DV36" s="384">
        <v>2980045.43</v>
      </c>
      <c r="DW36" s="384">
        <v>2721692.16</v>
      </c>
      <c r="DX36" s="384">
        <v>2329607.59</v>
      </c>
      <c r="DY36" s="384">
        <v>2598669.0699999998</v>
      </c>
      <c r="DZ36" s="384">
        <v>2348680.12</v>
      </c>
      <c r="EA36" s="384">
        <v>2479010.7999999998</v>
      </c>
      <c r="EB36" s="384">
        <v>2050938.91</v>
      </c>
      <c r="EC36" s="384">
        <v>1854522.4600000007</v>
      </c>
      <c r="ED36" s="384">
        <v>2005605.6200000017</v>
      </c>
      <c r="EE36" s="384">
        <v>1940499.79</v>
      </c>
      <c r="EF36" s="384">
        <v>2354710.7599999998</v>
      </c>
      <c r="EG36" s="384">
        <v>1779324.8800000001</v>
      </c>
      <c r="EH36" s="384"/>
      <c r="EI36" s="384"/>
      <c r="EJ36" s="384"/>
    </row>
    <row r="37" spans="1:140" s="307" customFormat="1" ht="24" customHeight="1" thickBot="1">
      <c r="A37" s="906"/>
      <c r="B37" s="907"/>
      <c r="C37" s="923"/>
      <c r="D37" s="689" t="s">
        <v>49</v>
      </c>
      <c r="E37" s="690">
        <v>267</v>
      </c>
      <c r="F37" s="691">
        <v>268</v>
      </c>
      <c r="G37" s="691">
        <v>248</v>
      </c>
      <c r="H37" s="692">
        <v>285</v>
      </c>
      <c r="I37" s="693">
        <v>271</v>
      </c>
      <c r="J37" s="691">
        <v>279</v>
      </c>
      <c r="K37" s="394">
        <v>273</v>
      </c>
      <c r="L37" s="395">
        <v>311</v>
      </c>
      <c r="M37" s="395">
        <v>360</v>
      </c>
      <c r="N37" s="395">
        <v>314</v>
      </c>
      <c r="O37" s="395">
        <v>445</v>
      </c>
      <c r="P37" s="395">
        <v>362</v>
      </c>
      <c r="Q37" s="395">
        <v>359</v>
      </c>
      <c r="R37" s="395">
        <v>179</v>
      </c>
      <c r="S37" s="395">
        <v>340</v>
      </c>
      <c r="T37" s="396">
        <v>418</v>
      </c>
      <c r="U37" s="397">
        <v>445</v>
      </c>
      <c r="V37" s="398">
        <v>393</v>
      </c>
      <c r="W37" s="398">
        <v>581</v>
      </c>
      <c r="X37" s="398">
        <v>463</v>
      </c>
      <c r="Y37" s="398">
        <v>283</v>
      </c>
      <c r="Z37" s="398">
        <v>258</v>
      </c>
      <c r="AA37" s="398">
        <v>299</v>
      </c>
      <c r="AB37" s="398">
        <v>399</v>
      </c>
      <c r="AC37" s="398">
        <v>418</v>
      </c>
      <c r="AD37" s="398">
        <v>557</v>
      </c>
      <c r="AE37" s="398">
        <v>373</v>
      </c>
      <c r="AF37" s="398">
        <v>551</v>
      </c>
      <c r="AG37" s="398">
        <v>455</v>
      </c>
      <c r="AH37" s="398">
        <v>445</v>
      </c>
      <c r="AI37" s="398">
        <v>468</v>
      </c>
      <c r="AJ37" s="398">
        <v>510</v>
      </c>
      <c r="AK37" s="398">
        <v>370</v>
      </c>
      <c r="AL37" s="398">
        <v>469</v>
      </c>
      <c r="AM37" s="398">
        <v>217</v>
      </c>
      <c r="AN37" s="398">
        <v>304</v>
      </c>
      <c r="AO37" s="398">
        <v>243</v>
      </c>
      <c r="AP37" s="398">
        <v>245</v>
      </c>
      <c r="AQ37" s="398">
        <v>270</v>
      </c>
      <c r="AR37" s="398">
        <v>216</v>
      </c>
      <c r="AS37" s="398">
        <v>319</v>
      </c>
      <c r="AT37" s="398">
        <v>298</v>
      </c>
      <c r="AU37" s="398">
        <v>337</v>
      </c>
      <c r="AV37" s="398">
        <v>343</v>
      </c>
      <c r="AW37" s="399">
        <v>379</v>
      </c>
      <c r="AX37" s="399">
        <v>399</v>
      </c>
      <c r="AY37" s="399">
        <v>241</v>
      </c>
      <c r="AZ37" s="399">
        <v>255</v>
      </c>
      <c r="BA37" s="399">
        <v>490</v>
      </c>
      <c r="BB37" s="399">
        <v>644</v>
      </c>
      <c r="BC37" s="399">
        <v>470</v>
      </c>
      <c r="BD37" s="399">
        <v>1329</v>
      </c>
      <c r="BE37" s="399">
        <v>510</v>
      </c>
      <c r="BF37" s="399">
        <v>629</v>
      </c>
      <c r="BG37" s="399">
        <v>411</v>
      </c>
      <c r="BH37" s="399">
        <v>607</v>
      </c>
      <c r="BI37" s="399">
        <v>569</v>
      </c>
      <c r="BJ37" s="399">
        <v>532</v>
      </c>
      <c r="BK37" s="399">
        <v>333</v>
      </c>
      <c r="BL37" s="399">
        <v>354</v>
      </c>
      <c r="BM37" s="399">
        <v>220</v>
      </c>
      <c r="BN37" s="399">
        <v>426</v>
      </c>
      <c r="BO37" s="399">
        <v>365</v>
      </c>
      <c r="BP37" s="400">
        <v>373</v>
      </c>
      <c r="BQ37" s="401">
        <v>388</v>
      </c>
      <c r="BR37" s="402">
        <v>655</v>
      </c>
      <c r="BS37" s="402">
        <v>371</v>
      </c>
      <c r="BT37" s="402">
        <v>340</v>
      </c>
      <c r="BU37" s="402">
        <v>383</v>
      </c>
      <c r="BV37" s="402">
        <v>358</v>
      </c>
      <c r="BW37" s="402">
        <v>342</v>
      </c>
      <c r="BX37" s="402">
        <v>357</v>
      </c>
      <c r="BY37" s="402">
        <v>481</v>
      </c>
      <c r="BZ37" s="402">
        <v>331</v>
      </c>
      <c r="CA37" s="402">
        <v>417</v>
      </c>
      <c r="CB37" s="403">
        <v>378</v>
      </c>
      <c r="CC37" s="402">
        <v>411</v>
      </c>
      <c r="CD37" s="402">
        <v>321</v>
      </c>
      <c r="CE37" s="402">
        <v>506</v>
      </c>
      <c r="CF37" s="402">
        <v>425</v>
      </c>
      <c r="CG37" s="402">
        <v>394</v>
      </c>
      <c r="CH37" s="402">
        <v>321</v>
      </c>
      <c r="CI37" s="402">
        <v>151</v>
      </c>
      <c r="CJ37" s="402">
        <v>553</v>
      </c>
      <c r="CK37" s="402">
        <v>288</v>
      </c>
      <c r="CL37" s="402">
        <v>484</v>
      </c>
      <c r="CM37" s="402">
        <v>1866</v>
      </c>
      <c r="CN37" s="402">
        <v>753</v>
      </c>
      <c r="CO37" s="402">
        <v>434</v>
      </c>
      <c r="CP37" s="402">
        <v>614</v>
      </c>
      <c r="CQ37" s="402">
        <v>1007</v>
      </c>
      <c r="CR37" s="402">
        <v>498</v>
      </c>
      <c r="CS37" s="402">
        <v>840</v>
      </c>
      <c r="CT37" s="402">
        <v>344</v>
      </c>
      <c r="CU37" s="402">
        <v>438</v>
      </c>
      <c r="CV37" s="402">
        <v>327</v>
      </c>
      <c r="CW37" s="402">
        <v>749</v>
      </c>
      <c r="CX37" s="402">
        <v>357</v>
      </c>
      <c r="CY37" s="402">
        <v>365</v>
      </c>
      <c r="CZ37" s="402">
        <v>1813</v>
      </c>
      <c r="DA37" s="402">
        <v>771</v>
      </c>
      <c r="DB37" s="402">
        <v>2026</v>
      </c>
      <c r="DC37" s="402">
        <v>477</v>
      </c>
      <c r="DD37" s="402">
        <v>417</v>
      </c>
      <c r="DE37" s="402">
        <v>415</v>
      </c>
      <c r="DF37" s="402">
        <v>554</v>
      </c>
      <c r="DG37" s="402">
        <v>514</v>
      </c>
      <c r="DH37" s="402">
        <v>501</v>
      </c>
      <c r="DI37" s="402">
        <v>599</v>
      </c>
      <c r="DJ37" s="402">
        <v>527</v>
      </c>
      <c r="DK37" s="402">
        <v>802</v>
      </c>
      <c r="DL37" s="402">
        <v>607</v>
      </c>
      <c r="DM37" s="402">
        <v>614</v>
      </c>
      <c r="DN37" s="402">
        <v>532</v>
      </c>
      <c r="DO37" s="402">
        <v>711</v>
      </c>
      <c r="DP37" s="402">
        <v>519</v>
      </c>
      <c r="DQ37" s="402">
        <v>555</v>
      </c>
      <c r="DR37" s="402">
        <v>596</v>
      </c>
      <c r="DS37" s="402">
        <v>544</v>
      </c>
      <c r="DT37" s="402">
        <v>798</v>
      </c>
      <c r="DU37" s="402">
        <v>675</v>
      </c>
      <c r="DV37" s="402">
        <v>645</v>
      </c>
      <c r="DW37" s="402">
        <v>578</v>
      </c>
      <c r="DX37" s="402">
        <v>518</v>
      </c>
      <c r="DY37" s="402">
        <v>515</v>
      </c>
      <c r="DZ37" s="402">
        <v>508</v>
      </c>
      <c r="EA37" s="402">
        <v>504</v>
      </c>
      <c r="EB37" s="402">
        <v>449</v>
      </c>
      <c r="EC37" s="402">
        <v>483</v>
      </c>
      <c r="ED37" s="402">
        <v>725</v>
      </c>
      <c r="EE37" s="402">
        <v>395</v>
      </c>
      <c r="EF37" s="402">
        <v>449</v>
      </c>
      <c r="EG37" s="402">
        <v>342</v>
      </c>
      <c r="EH37" s="402"/>
      <c r="EI37" s="402"/>
      <c r="EJ37" s="402"/>
    </row>
    <row r="38" spans="1:140" s="308" customFormat="1" ht="24" customHeight="1" thickBot="1">
      <c r="A38" s="926"/>
      <c r="B38" s="927"/>
      <c r="C38" s="694" t="s">
        <v>57</v>
      </c>
      <c r="D38" s="695" t="s">
        <v>48</v>
      </c>
      <c r="E38" s="404">
        <v>542153.89</v>
      </c>
      <c r="F38" s="618">
        <f t="shared" ref="F38:BQ38" si="27">+F34+F36-E34</f>
        <v>717715.81000000052</v>
      </c>
      <c r="G38" s="618">
        <f t="shared" si="27"/>
        <v>1055651.419999999</v>
      </c>
      <c r="H38" s="619">
        <f t="shared" si="27"/>
        <v>976419.03000000026</v>
      </c>
      <c r="I38" s="620">
        <f t="shared" si="27"/>
        <v>782807.5700000003</v>
      </c>
      <c r="J38" s="618">
        <f t="shared" si="27"/>
        <v>787695.71</v>
      </c>
      <c r="K38" s="618">
        <f t="shared" si="27"/>
        <v>735338.29</v>
      </c>
      <c r="L38" s="618">
        <f t="shared" si="27"/>
        <v>708589.98000000045</v>
      </c>
      <c r="M38" s="618">
        <f t="shared" si="27"/>
        <v>850214.51000000071</v>
      </c>
      <c r="N38" s="618">
        <f t="shared" si="27"/>
        <v>586241.16999999899</v>
      </c>
      <c r="O38" s="618">
        <f t="shared" si="27"/>
        <v>655006.85000000149</v>
      </c>
      <c r="P38" s="618">
        <f t="shared" si="27"/>
        <v>579742.26999999769</v>
      </c>
      <c r="Q38" s="618">
        <f t="shared" si="27"/>
        <v>581612.81999999983</v>
      </c>
      <c r="R38" s="618">
        <f t="shared" si="27"/>
        <v>1179620.9000000036</v>
      </c>
      <c r="S38" s="618">
        <f t="shared" si="27"/>
        <v>979932.52000000142</v>
      </c>
      <c r="T38" s="619">
        <f t="shared" si="27"/>
        <v>1035054.7400000026</v>
      </c>
      <c r="U38" s="620">
        <f t="shared" si="27"/>
        <v>772057.31000000099</v>
      </c>
      <c r="V38" s="617">
        <f t="shared" si="27"/>
        <v>931394.33999999799</v>
      </c>
      <c r="W38" s="617">
        <f t="shared" si="27"/>
        <v>1417980.829999995</v>
      </c>
      <c r="X38" s="617">
        <f t="shared" si="27"/>
        <v>977660.54000000097</v>
      </c>
      <c r="Y38" s="617">
        <f t="shared" si="27"/>
        <v>995644.66999999993</v>
      </c>
      <c r="Z38" s="617">
        <f t="shared" si="27"/>
        <v>941801.25</v>
      </c>
      <c r="AA38" s="617">
        <f t="shared" si="27"/>
        <v>988109.68999999948</v>
      </c>
      <c r="AB38" s="617">
        <f t="shared" si="27"/>
        <v>1145940.3100000015</v>
      </c>
      <c r="AC38" s="617">
        <f t="shared" si="27"/>
        <v>1208394.7999999998</v>
      </c>
      <c r="AD38" s="617">
        <f t="shared" si="27"/>
        <v>1428639.4200000009</v>
      </c>
      <c r="AE38" s="617">
        <f t="shared" si="27"/>
        <v>1149700.1899999976</v>
      </c>
      <c r="AF38" s="617">
        <f t="shared" si="27"/>
        <v>1135929.730000006</v>
      </c>
      <c r="AG38" s="617">
        <f t="shared" si="27"/>
        <v>1121615.4100000085</v>
      </c>
      <c r="AH38" s="617">
        <f t="shared" si="27"/>
        <v>927598.42999998387</v>
      </c>
      <c r="AI38" s="617">
        <f t="shared" si="27"/>
        <v>933300.23999999464</v>
      </c>
      <c r="AJ38" s="617">
        <f t="shared" si="27"/>
        <v>1126906.3900000071</v>
      </c>
      <c r="AK38" s="617">
        <f t="shared" si="27"/>
        <v>931898.4599999804</v>
      </c>
      <c r="AL38" s="617">
        <f t="shared" si="27"/>
        <v>768606.04000001587</v>
      </c>
      <c r="AM38" s="617">
        <f t="shared" si="27"/>
        <v>655249.92000000412</v>
      </c>
      <c r="AN38" s="617">
        <f t="shared" si="27"/>
        <v>476302.37999999849</v>
      </c>
      <c r="AO38" s="617">
        <f t="shared" si="27"/>
        <v>726037.37999999849</v>
      </c>
      <c r="AP38" s="617">
        <f t="shared" si="27"/>
        <v>798090.50000000186</v>
      </c>
      <c r="AQ38" s="617">
        <f t="shared" si="27"/>
        <v>822040.88999999873</v>
      </c>
      <c r="AR38" s="617">
        <f t="shared" si="27"/>
        <v>841111.98000000138</v>
      </c>
      <c r="AS38" s="617">
        <f t="shared" si="27"/>
        <v>881248.10000000149</v>
      </c>
      <c r="AT38" s="617">
        <f t="shared" si="27"/>
        <v>829214.18999999668</v>
      </c>
      <c r="AU38" s="617">
        <f t="shared" si="27"/>
        <v>879974.48000000324</v>
      </c>
      <c r="AV38" s="617">
        <f t="shared" si="27"/>
        <v>659930.12000000756</v>
      </c>
      <c r="AW38" s="617">
        <f t="shared" si="27"/>
        <v>706645.77999998908</v>
      </c>
      <c r="AX38" s="617">
        <f t="shared" si="27"/>
        <v>828942.25000000186</v>
      </c>
      <c r="AY38" s="617">
        <f t="shared" si="27"/>
        <v>1375377.4500000002</v>
      </c>
      <c r="AZ38" s="617">
        <f t="shared" si="27"/>
        <v>1637750.2099999981</v>
      </c>
      <c r="BA38" s="617">
        <f t="shared" si="27"/>
        <v>1965062.7300000032</v>
      </c>
      <c r="BB38" s="617">
        <f t="shared" si="27"/>
        <v>1400607.9799999967</v>
      </c>
      <c r="BC38" s="617">
        <f t="shared" si="27"/>
        <v>1716345.0999999987</v>
      </c>
      <c r="BD38" s="617">
        <f t="shared" si="27"/>
        <v>1844963.67</v>
      </c>
      <c r="BE38" s="617">
        <f t="shared" si="27"/>
        <v>1465692.4100000011</v>
      </c>
      <c r="BF38" s="617">
        <f t="shared" si="27"/>
        <v>1458367.6900000004</v>
      </c>
      <c r="BG38" s="617">
        <f t="shared" si="27"/>
        <v>1391930.1099999985</v>
      </c>
      <c r="BH38" s="617">
        <f t="shared" si="27"/>
        <v>621270.36000000127</v>
      </c>
      <c r="BI38" s="617">
        <f t="shared" si="27"/>
        <v>1064232.3500000061</v>
      </c>
      <c r="BJ38" s="617">
        <f t="shared" si="27"/>
        <v>1078563.909999988</v>
      </c>
      <c r="BK38" s="617">
        <f t="shared" si="27"/>
        <v>1397507.690000006</v>
      </c>
      <c r="BL38" s="617">
        <f t="shared" si="27"/>
        <v>1458904.5300000058</v>
      </c>
      <c r="BM38" s="617">
        <f t="shared" si="27"/>
        <v>1491172.9499998922</v>
      </c>
      <c r="BN38" s="617">
        <f t="shared" si="27"/>
        <v>1687806.8800001023</v>
      </c>
      <c r="BO38" s="617">
        <f t="shared" si="27"/>
        <v>1158277.8799999971</v>
      </c>
      <c r="BP38" s="621">
        <f t="shared" si="27"/>
        <v>1095605.92</v>
      </c>
      <c r="BQ38" s="620">
        <f t="shared" si="27"/>
        <v>1379916.4300000016</v>
      </c>
      <c r="BR38" s="617">
        <f t="shared" ref="BR38:EC38" si="28">+BR34+BR36-BQ34</f>
        <v>1134600.6300000045</v>
      </c>
      <c r="BS38" s="617">
        <f t="shared" si="28"/>
        <v>1458679.2299999921</v>
      </c>
      <c r="BT38" s="617">
        <f t="shared" si="28"/>
        <v>1371879.2199999932</v>
      </c>
      <c r="BU38" s="617">
        <f t="shared" si="28"/>
        <v>1255065.569999991</v>
      </c>
      <c r="BV38" s="617">
        <f t="shared" si="28"/>
        <v>1432918.8800000101</v>
      </c>
      <c r="BW38" s="617">
        <f t="shared" si="28"/>
        <v>1295457.9099999871</v>
      </c>
      <c r="BX38" s="617">
        <f t="shared" si="28"/>
        <v>1638648.8799999878</v>
      </c>
      <c r="BY38" s="617">
        <f t="shared" si="28"/>
        <v>1354320.3300000355</v>
      </c>
      <c r="BZ38" s="617">
        <f t="shared" si="28"/>
        <v>1970326.8899999689</v>
      </c>
      <c r="CA38" s="617">
        <f t="shared" si="28"/>
        <v>2279027.3900000472</v>
      </c>
      <c r="CB38" s="622">
        <f t="shared" si="28"/>
        <v>1481711.0799999852</v>
      </c>
      <c r="CC38" s="617">
        <f t="shared" si="28"/>
        <v>808166.14999999665</v>
      </c>
      <c r="CD38" s="617">
        <f t="shared" si="28"/>
        <v>1403424.9299999997</v>
      </c>
      <c r="CE38" s="617">
        <f t="shared" si="28"/>
        <v>1417400.5700000003</v>
      </c>
      <c r="CF38" s="617">
        <f t="shared" si="28"/>
        <v>2623893.1899999995</v>
      </c>
      <c r="CG38" s="617">
        <f t="shared" si="28"/>
        <v>1046540.6200000029</v>
      </c>
      <c r="CH38" s="617">
        <f t="shared" si="28"/>
        <v>985489.43999999762</v>
      </c>
      <c r="CI38" s="617">
        <f t="shared" si="28"/>
        <v>1845941.0099999979</v>
      </c>
      <c r="CJ38" s="617">
        <f t="shared" si="28"/>
        <v>1152547.6899999026</v>
      </c>
      <c r="CK38" s="617">
        <f t="shared" si="28"/>
        <v>2060775.1900000963</v>
      </c>
      <c r="CL38" s="617">
        <f t="shared" si="28"/>
        <v>1348751.3800000027</v>
      </c>
      <c r="CM38" s="617">
        <f t="shared" si="28"/>
        <v>1763835.3699999992</v>
      </c>
      <c r="CN38" s="617">
        <f t="shared" si="28"/>
        <v>1491728.429999955</v>
      </c>
      <c r="CO38" s="617">
        <f t="shared" si="28"/>
        <v>2811953.3600000683</v>
      </c>
      <c r="CP38" s="617">
        <f t="shared" si="28"/>
        <v>2165667.7399999686</v>
      </c>
      <c r="CQ38" s="617">
        <f t="shared" si="28"/>
        <v>2107698.640000008</v>
      </c>
      <c r="CR38" s="617">
        <f t="shared" si="28"/>
        <v>1773545.2099999972</v>
      </c>
      <c r="CS38" s="617">
        <f t="shared" si="28"/>
        <v>1471176.1700000037</v>
      </c>
      <c r="CT38" s="617">
        <f t="shared" si="28"/>
        <v>1596211.1699999925</v>
      </c>
      <c r="CU38" s="617">
        <f t="shared" si="28"/>
        <v>1928031.6200000029</v>
      </c>
      <c r="CV38" s="617">
        <f t="shared" si="28"/>
        <v>2765767.0300000031</v>
      </c>
      <c r="CW38" s="617">
        <f t="shared" si="28"/>
        <v>2275648.7799999975</v>
      </c>
      <c r="CX38" s="617">
        <f t="shared" si="28"/>
        <v>1981987.8899999987</v>
      </c>
      <c r="CY38" s="617">
        <f t="shared" si="28"/>
        <v>4424934.479999993</v>
      </c>
      <c r="CZ38" s="617">
        <f t="shared" si="28"/>
        <v>-90619.109999991953</v>
      </c>
      <c r="DA38" s="617">
        <f t="shared" si="28"/>
        <v>1771273.9499999955</v>
      </c>
      <c r="DB38" s="617">
        <f t="shared" si="28"/>
        <v>3105750.4300000127</v>
      </c>
      <c r="DC38" s="617">
        <f t="shared" si="28"/>
        <v>2103196.3200000059</v>
      </c>
      <c r="DD38" s="617">
        <f t="shared" si="28"/>
        <v>1965855.919999985</v>
      </c>
      <c r="DE38" s="617">
        <f t="shared" si="28"/>
        <v>2893784.5699999686</v>
      </c>
      <c r="DF38" s="617">
        <f t="shared" si="28"/>
        <v>2033313.3900000528</v>
      </c>
      <c r="DG38" s="617">
        <f t="shared" si="28"/>
        <v>2618693.3000000007</v>
      </c>
      <c r="DH38" s="617">
        <f t="shared" si="28"/>
        <v>2660131.2899999842</v>
      </c>
      <c r="DI38" s="617">
        <f t="shared" si="28"/>
        <v>1835747.2200000081</v>
      </c>
      <c r="DJ38" s="617">
        <f t="shared" si="28"/>
        <v>2722344.159999948</v>
      </c>
      <c r="DK38" s="617">
        <f t="shared" si="28"/>
        <v>3702384.2600000128</v>
      </c>
      <c r="DL38" s="617">
        <f t="shared" si="28"/>
        <v>2371453.7200000081</v>
      </c>
      <c r="DM38" s="617">
        <f t="shared" si="28"/>
        <v>2675282.2600000352</v>
      </c>
      <c r="DN38" s="617">
        <f t="shared" si="28"/>
        <v>2613791.6899999753</v>
      </c>
      <c r="DO38" s="617">
        <f t="shared" si="28"/>
        <v>2394074.8200000674</v>
      </c>
      <c r="DP38" s="617">
        <f t="shared" si="28"/>
        <v>2336149.6299999878</v>
      </c>
      <c r="DQ38" s="617">
        <f t="shared" si="28"/>
        <v>2730483.6399999112</v>
      </c>
      <c r="DR38" s="617">
        <f t="shared" si="28"/>
        <v>2935690.91</v>
      </c>
      <c r="DS38" s="617">
        <f t="shared" si="28"/>
        <v>2581937.9300000276</v>
      </c>
      <c r="DT38" s="617">
        <f t="shared" si="28"/>
        <v>2692441.8299999312</v>
      </c>
      <c r="DU38" s="617">
        <f t="shared" si="28"/>
        <v>2119725.4900000691</v>
      </c>
      <c r="DV38" s="617">
        <f t="shared" si="28"/>
        <v>2590545.0299999379</v>
      </c>
      <c r="DW38" s="617">
        <f t="shared" si="28"/>
        <v>2455936.9500000328</v>
      </c>
      <c r="DX38" s="617">
        <f t="shared" si="28"/>
        <v>2099410.9800001159</v>
      </c>
      <c r="DY38" s="617">
        <f t="shared" si="28"/>
        <v>2189930.0199999474</v>
      </c>
      <c r="DZ38" s="617">
        <f t="shared" si="28"/>
        <v>2095143.3399999775</v>
      </c>
      <c r="EA38" s="617">
        <f t="shared" si="28"/>
        <v>2173058.829999987</v>
      </c>
      <c r="EB38" s="617">
        <f t="shared" si="28"/>
        <v>1905735.0300000533</v>
      </c>
      <c r="EC38" s="617">
        <f t="shared" si="28"/>
        <v>1248171.9399999939</v>
      </c>
      <c r="ED38" s="617">
        <f t="shared" ref="ED38:EJ38" si="29">+ED34+ED36-EC34</f>
        <v>1439421.5999999279</v>
      </c>
      <c r="EE38" s="617">
        <f t="shared" si="29"/>
        <v>2306251.7000000449</v>
      </c>
      <c r="EF38" s="617">
        <f t="shared" si="29"/>
        <v>2086132.8700000439</v>
      </c>
      <c r="EG38" s="617">
        <f t="shared" si="29"/>
        <v>1344674.9999999674</v>
      </c>
      <c r="EH38" s="617">
        <f t="shared" si="29"/>
        <v>-4857256.360000018</v>
      </c>
      <c r="EI38" s="617">
        <f t="shared" si="29"/>
        <v>0</v>
      </c>
      <c r="EJ38" s="617">
        <f t="shared" si="29"/>
        <v>0</v>
      </c>
    </row>
    <row r="39" spans="1:140" s="299" customFormat="1" ht="24" hidden="1" customHeight="1" thickTop="1">
      <c r="A39" s="904" t="s">
        <v>26</v>
      </c>
      <c r="B39" s="905"/>
      <c r="C39" s="889" t="s">
        <v>47</v>
      </c>
      <c r="D39" s="623" t="s">
        <v>48</v>
      </c>
      <c r="E39" s="696"/>
      <c r="F39" s="697"/>
      <c r="G39" s="697"/>
      <c r="H39" s="698"/>
      <c r="I39" s="699"/>
      <c r="J39" s="697"/>
      <c r="K39" s="405"/>
      <c r="L39" s="325">
        <f t="shared" ref="L39:BW42" si="30">+L55+L71+L87</f>
        <v>23461</v>
      </c>
      <c r="M39" s="325">
        <f t="shared" si="30"/>
        <v>27952</v>
      </c>
      <c r="N39" s="325">
        <f t="shared" si="30"/>
        <v>120469.5</v>
      </c>
      <c r="O39" s="325">
        <f t="shared" si="30"/>
        <v>87676.41</v>
      </c>
      <c r="P39" s="325">
        <f t="shared" si="30"/>
        <v>80659.399999999994</v>
      </c>
      <c r="Q39" s="325">
        <f t="shared" si="30"/>
        <v>35521</v>
      </c>
      <c r="R39" s="325">
        <f t="shared" si="30"/>
        <v>64421.5</v>
      </c>
      <c r="S39" s="325">
        <f t="shared" si="30"/>
        <v>71589.64</v>
      </c>
      <c r="T39" s="326">
        <f t="shared" si="30"/>
        <v>83651.149999999994</v>
      </c>
      <c r="U39" s="406">
        <f t="shared" si="30"/>
        <v>23814.059999999998</v>
      </c>
      <c r="V39" s="407">
        <f t="shared" si="30"/>
        <v>166399.06</v>
      </c>
      <c r="W39" s="407">
        <f t="shared" si="30"/>
        <v>110474.4</v>
      </c>
      <c r="X39" s="407">
        <f t="shared" si="30"/>
        <v>0</v>
      </c>
      <c r="Y39" s="407">
        <f t="shared" si="30"/>
        <v>0</v>
      </c>
      <c r="Z39" s="407">
        <f t="shared" si="30"/>
        <v>0</v>
      </c>
      <c r="AA39" s="407">
        <f t="shared" si="30"/>
        <v>0</v>
      </c>
      <c r="AB39" s="407">
        <f t="shared" si="30"/>
        <v>0</v>
      </c>
      <c r="AC39" s="407">
        <f t="shared" si="30"/>
        <v>0</v>
      </c>
      <c r="AD39" s="407">
        <f t="shared" si="30"/>
        <v>0</v>
      </c>
      <c r="AE39" s="407">
        <f t="shared" si="30"/>
        <v>0</v>
      </c>
      <c r="AF39" s="407">
        <f t="shared" si="30"/>
        <v>0</v>
      </c>
      <c r="AG39" s="407">
        <f t="shared" si="30"/>
        <v>0</v>
      </c>
      <c r="AH39" s="407">
        <f t="shared" si="30"/>
        <v>0</v>
      </c>
      <c r="AI39" s="407">
        <f t="shared" si="30"/>
        <v>0</v>
      </c>
      <c r="AJ39" s="407">
        <f t="shared" si="30"/>
        <v>0</v>
      </c>
      <c r="AK39" s="407">
        <f t="shared" si="30"/>
        <v>0</v>
      </c>
      <c r="AL39" s="407">
        <f t="shared" si="30"/>
        <v>0</v>
      </c>
      <c r="AM39" s="407">
        <f t="shared" si="30"/>
        <v>0</v>
      </c>
      <c r="AN39" s="407">
        <f t="shared" si="30"/>
        <v>0</v>
      </c>
      <c r="AO39" s="407">
        <f t="shared" si="30"/>
        <v>0</v>
      </c>
      <c r="AP39" s="407">
        <f t="shared" si="30"/>
        <v>0</v>
      </c>
      <c r="AQ39" s="407">
        <f t="shared" si="30"/>
        <v>0</v>
      </c>
      <c r="AR39" s="407">
        <f t="shared" si="30"/>
        <v>0</v>
      </c>
      <c r="AS39" s="407">
        <f t="shared" si="30"/>
        <v>0</v>
      </c>
      <c r="AT39" s="407">
        <f t="shared" si="30"/>
        <v>0</v>
      </c>
      <c r="AU39" s="407">
        <f t="shared" si="30"/>
        <v>0</v>
      </c>
      <c r="AV39" s="407">
        <f t="shared" si="30"/>
        <v>0</v>
      </c>
      <c r="AW39" s="407">
        <f t="shared" si="30"/>
        <v>0</v>
      </c>
      <c r="AX39" s="407">
        <f t="shared" si="30"/>
        <v>0</v>
      </c>
      <c r="AY39" s="407">
        <f t="shared" si="30"/>
        <v>0</v>
      </c>
      <c r="AZ39" s="407">
        <f t="shared" si="30"/>
        <v>0</v>
      </c>
      <c r="BA39" s="407">
        <f t="shared" si="30"/>
        <v>0</v>
      </c>
      <c r="BB39" s="407">
        <f t="shared" si="30"/>
        <v>0</v>
      </c>
      <c r="BC39" s="407">
        <f t="shared" si="30"/>
        <v>0</v>
      </c>
      <c r="BD39" s="407">
        <f t="shared" si="30"/>
        <v>0</v>
      </c>
      <c r="BE39" s="407">
        <f t="shared" si="30"/>
        <v>0</v>
      </c>
      <c r="BF39" s="407">
        <f t="shared" si="30"/>
        <v>0</v>
      </c>
      <c r="BG39" s="407">
        <f t="shared" si="30"/>
        <v>0</v>
      </c>
      <c r="BH39" s="407">
        <f t="shared" si="30"/>
        <v>0</v>
      </c>
      <c r="BI39" s="407">
        <f t="shared" si="30"/>
        <v>0</v>
      </c>
      <c r="BJ39" s="407">
        <f t="shared" si="30"/>
        <v>0</v>
      </c>
      <c r="BK39" s="407">
        <f t="shared" si="30"/>
        <v>0</v>
      </c>
      <c r="BL39" s="407">
        <f t="shared" si="30"/>
        <v>0</v>
      </c>
      <c r="BM39" s="407">
        <f t="shared" si="30"/>
        <v>0</v>
      </c>
      <c r="BN39" s="407">
        <f t="shared" si="30"/>
        <v>0</v>
      </c>
      <c r="BO39" s="407">
        <f t="shared" si="30"/>
        <v>0</v>
      </c>
      <c r="BP39" s="408">
        <f t="shared" si="30"/>
        <v>0</v>
      </c>
      <c r="BQ39" s="406">
        <f t="shared" si="30"/>
        <v>0</v>
      </c>
      <c r="BR39" s="407">
        <f t="shared" si="30"/>
        <v>0</v>
      </c>
      <c r="BS39" s="407">
        <f t="shared" si="30"/>
        <v>0</v>
      </c>
      <c r="BT39" s="407">
        <f t="shared" si="30"/>
        <v>0</v>
      </c>
      <c r="BU39" s="407">
        <f t="shared" si="30"/>
        <v>0</v>
      </c>
      <c r="BV39" s="407">
        <f t="shared" si="30"/>
        <v>0</v>
      </c>
      <c r="BW39" s="407">
        <f t="shared" si="30"/>
        <v>0</v>
      </c>
      <c r="BX39" s="407">
        <f t="shared" ref="BX39:EI43" si="31">+BX55+BX71+BX87</f>
        <v>0</v>
      </c>
      <c r="BY39" s="407">
        <f t="shared" si="31"/>
        <v>0</v>
      </c>
      <c r="BZ39" s="407">
        <f t="shared" si="31"/>
        <v>0</v>
      </c>
      <c r="CA39" s="407">
        <f t="shared" si="31"/>
        <v>0</v>
      </c>
      <c r="CB39" s="409">
        <f t="shared" si="31"/>
        <v>0</v>
      </c>
      <c r="CC39" s="407">
        <f t="shared" si="31"/>
        <v>0</v>
      </c>
      <c r="CD39" s="407">
        <f t="shared" si="31"/>
        <v>0</v>
      </c>
      <c r="CE39" s="407">
        <f t="shared" si="31"/>
        <v>0</v>
      </c>
      <c r="CF39" s="407">
        <f t="shared" si="31"/>
        <v>0</v>
      </c>
      <c r="CG39" s="407">
        <f t="shared" si="31"/>
        <v>0</v>
      </c>
      <c r="CH39" s="407">
        <f t="shared" si="31"/>
        <v>0</v>
      </c>
      <c r="CI39" s="407">
        <f t="shared" si="31"/>
        <v>0</v>
      </c>
      <c r="CJ39" s="407">
        <f t="shared" si="31"/>
        <v>0</v>
      </c>
      <c r="CK39" s="407">
        <f t="shared" si="31"/>
        <v>0</v>
      </c>
      <c r="CL39" s="407">
        <f t="shared" si="31"/>
        <v>0</v>
      </c>
      <c r="CM39" s="407">
        <f t="shared" si="31"/>
        <v>0</v>
      </c>
      <c r="CN39" s="407">
        <f t="shared" si="31"/>
        <v>0</v>
      </c>
      <c r="CO39" s="407">
        <f t="shared" si="31"/>
        <v>0</v>
      </c>
      <c r="CP39" s="407">
        <f t="shared" si="31"/>
        <v>0</v>
      </c>
      <c r="CQ39" s="407">
        <f t="shared" si="31"/>
        <v>0</v>
      </c>
      <c r="CR39" s="407">
        <f t="shared" si="31"/>
        <v>0</v>
      </c>
      <c r="CS39" s="407">
        <f t="shared" si="31"/>
        <v>0</v>
      </c>
      <c r="CT39" s="407">
        <f t="shared" si="31"/>
        <v>0</v>
      </c>
      <c r="CU39" s="407">
        <f t="shared" si="31"/>
        <v>0</v>
      </c>
      <c r="CV39" s="407">
        <f t="shared" si="31"/>
        <v>0</v>
      </c>
      <c r="CW39" s="407">
        <f t="shared" si="31"/>
        <v>0</v>
      </c>
      <c r="CX39" s="407">
        <f t="shared" si="31"/>
        <v>0</v>
      </c>
      <c r="CY39" s="407">
        <f t="shared" si="31"/>
        <v>0</v>
      </c>
      <c r="CZ39" s="407">
        <f t="shared" si="31"/>
        <v>0</v>
      </c>
      <c r="DA39" s="407">
        <f t="shared" si="31"/>
        <v>0</v>
      </c>
      <c r="DB39" s="407">
        <f t="shared" si="31"/>
        <v>0</v>
      </c>
      <c r="DC39" s="407">
        <f t="shared" si="31"/>
        <v>0</v>
      </c>
      <c r="DD39" s="407">
        <f t="shared" si="31"/>
        <v>0</v>
      </c>
      <c r="DE39" s="407">
        <f t="shared" si="31"/>
        <v>0</v>
      </c>
      <c r="DF39" s="407">
        <f t="shared" si="31"/>
        <v>0</v>
      </c>
      <c r="DG39" s="407">
        <f t="shared" si="31"/>
        <v>0</v>
      </c>
      <c r="DH39" s="407">
        <f t="shared" si="31"/>
        <v>0</v>
      </c>
      <c r="DI39" s="407">
        <f t="shared" si="31"/>
        <v>0</v>
      </c>
      <c r="DJ39" s="407">
        <f t="shared" si="31"/>
        <v>0</v>
      </c>
      <c r="DK39" s="407">
        <f t="shared" si="31"/>
        <v>0</v>
      </c>
      <c r="DL39" s="407">
        <f t="shared" si="31"/>
        <v>0</v>
      </c>
      <c r="DM39" s="407">
        <f t="shared" si="31"/>
        <v>0</v>
      </c>
      <c r="DN39" s="407">
        <f t="shared" si="31"/>
        <v>0</v>
      </c>
      <c r="DO39" s="407">
        <f t="shared" si="31"/>
        <v>0</v>
      </c>
      <c r="DP39" s="407">
        <f t="shared" si="31"/>
        <v>0</v>
      </c>
      <c r="DQ39" s="407">
        <f t="shared" si="31"/>
        <v>0</v>
      </c>
      <c r="DR39" s="407">
        <f t="shared" si="31"/>
        <v>0</v>
      </c>
      <c r="DS39" s="407">
        <f t="shared" si="31"/>
        <v>0</v>
      </c>
      <c r="DT39" s="407">
        <f t="shared" si="31"/>
        <v>0</v>
      </c>
      <c r="DU39" s="407">
        <f t="shared" si="31"/>
        <v>0</v>
      </c>
      <c r="DV39" s="407">
        <f t="shared" si="31"/>
        <v>0</v>
      </c>
      <c r="DW39" s="407">
        <f t="shared" si="31"/>
        <v>0</v>
      </c>
      <c r="DX39" s="407">
        <f t="shared" si="31"/>
        <v>0</v>
      </c>
      <c r="DY39" s="407">
        <f t="shared" si="31"/>
        <v>0</v>
      </c>
      <c r="DZ39" s="407">
        <f t="shared" si="31"/>
        <v>0</v>
      </c>
      <c r="EA39" s="407">
        <f t="shared" si="31"/>
        <v>0</v>
      </c>
      <c r="EB39" s="407">
        <f t="shared" si="31"/>
        <v>0</v>
      </c>
      <c r="EC39" s="407">
        <f t="shared" si="31"/>
        <v>0</v>
      </c>
      <c r="ED39" s="407">
        <f t="shared" si="31"/>
        <v>0</v>
      </c>
      <c r="EE39" s="407">
        <f t="shared" si="31"/>
        <v>0</v>
      </c>
      <c r="EF39" s="407">
        <f t="shared" si="31"/>
        <v>0</v>
      </c>
      <c r="EG39" s="407">
        <f t="shared" si="31"/>
        <v>0</v>
      </c>
      <c r="EH39" s="407">
        <f t="shared" si="31"/>
        <v>0</v>
      </c>
      <c r="EI39" s="407">
        <f t="shared" si="31"/>
        <v>0</v>
      </c>
      <c r="EJ39" s="407">
        <f t="shared" ref="EJ39:EU42" si="32">+EJ55+EJ71+EJ87</f>
        <v>0</v>
      </c>
    </row>
    <row r="40" spans="1:140" s="299" customFormat="1" ht="24" hidden="1" customHeight="1">
      <c r="A40" s="906"/>
      <c r="B40" s="907"/>
      <c r="C40" s="890"/>
      <c r="D40" s="640" t="s">
        <v>49</v>
      </c>
      <c r="E40" s="700"/>
      <c r="F40" s="701"/>
      <c r="G40" s="701"/>
      <c r="H40" s="702"/>
      <c r="I40" s="703"/>
      <c r="J40" s="701"/>
      <c r="K40" s="410"/>
      <c r="L40" s="344">
        <f t="shared" si="30"/>
        <v>11</v>
      </c>
      <c r="M40" s="344">
        <f t="shared" si="30"/>
        <v>15</v>
      </c>
      <c r="N40" s="344">
        <f t="shared" si="30"/>
        <v>60</v>
      </c>
      <c r="O40" s="344">
        <f t="shared" si="30"/>
        <v>42</v>
      </c>
      <c r="P40" s="344">
        <f t="shared" si="30"/>
        <v>41</v>
      </c>
      <c r="Q40" s="344">
        <f t="shared" si="30"/>
        <v>23</v>
      </c>
      <c r="R40" s="344">
        <f t="shared" si="30"/>
        <v>33</v>
      </c>
      <c r="S40" s="344">
        <f t="shared" si="30"/>
        <v>42</v>
      </c>
      <c r="T40" s="345">
        <f t="shared" si="30"/>
        <v>34</v>
      </c>
      <c r="U40" s="390">
        <f t="shared" si="30"/>
        <v>9</v>
      </c>
      <c r="V40" s="388">
        <f t="shared" si="30"/>
        <v>84</v>
      </c>
      <c r="W40" s="388">
        <f t="shared" si="30"/>
        <v>47</v>
      </c>
      <c r="X40" s="388">
        <f t="shared" si="30"/>
        <v>0</v>
      </c>
      <c r="Y40" s="388">
        <f t="shared" si="30"/>
        <v>0</v>
      </c>
      <c r="Z40" s="388">
        <f t="shared" si="30"/>
        <v>0</v>
      </c>
      <c r="AA40" s="388">
        <f t="shared" si="30"/>
        <v>0</v>
      </c>
      <c r="AB40" s="388">
        <f t="shared" si="30"/>
        <v>0</v>
      </c>
      <c r="AC40" s="388">
        <f t="shared" si="30"/>
        <v>0</v>
      </c>
      <c r="AD40" s="388">
        <f t="shared" si="30"/>
        <v>0</v>
      </c>
      <c r="AE40" s="388">
        <f t="shared" si="30"/>
        <v>0</v>
      </c>
      <c r="AF40" s="388">
        <f t="shared" si="30"/>
        <v>0</v>
      </c>
      <c r="AG40" s="388">
        <f t="shared" si="30"/>
        <v>0</v>
      </c>
      <c r="AH40" s="388">
        <f t="shared" si="30"/>
        <v>0</v>
      </c>
      <c r="AI40" s="388">
        <f t="shared" si="30"/>
        <v>0</v>
      </c>
      <c r="AJ40" s="388">
        <f t="shared" si="30"/>
        <v>0</v>
      </c>
      <c r="AK40" s="388">
        <f t="shared" si="30"/>
        <v>0</v>
      </c>
      <c r="AL40" s="388">
        <f t="shared" si="30"/>
        <v>0</v>
      </c>
      <c r="AM40" s="388">
        <f t="shared" si="30"/>
        <v>0</v>
      </c>
      <c r="AN40" s="388">
        <f t="shared" si="30"/>
        <v>0</v>
      </c>
      <c r="AO40" s="388">
        <f t="shared" si="30"/>
        <v>0</v>
      </c>
      <c r="AP40" s="388">
        <f t="shared" si="30"/>
        <v>0</v>
      </c>
      <c r="AQ40" s="388">
        <f t="shared" si="30"/>
        <v>0</v>
      </c>
      <c r="AR40" s="388">
        <f t="shared" si="30"/>
        <v>0</v>
      </c>
      <c r="AS40" s="388">
        <f t="shared" si="30"/>
        <v>0</v>
      </c>
      <c r="AT40" s="388">
        <f t="shared" si="30"/>
        <v>0</v>
      </c>
      <c r="AU40" s="388">
        <f t="shared" si="30"/>
        <v>0</v>
      </c>
      <c r="AV40" s="388">
        <f t="shared" si="30"/>
        <v>0</v>
      </c>
      <c r="AW40" s="388">
        <f t="shared" si="30"/>
        <v>0</v>
      </c>
      <c r="AX40" s="388">
        <f t="shared" si="30"/>
        <v>0</v>
      </c>
      <c r="AY40" s="388">
        <f t="shared" si="30"/>
        <v>0</v>
      </c>
      <c r="AZ40" s="388">
        <f t="shared" si="30"/>
        <v>0</v>
      </c>
      <c r="BA40" s="388">
        <f t="shared" si="30"/>
        <v>0</v>
      </c>
      <c r="BB40" s="388">
        <f t="shared" si="30"/>
        <v>0</v>
      </c>
      <c r="BC40" s="388">
        <f t="shared" si="30"/>
        <v>0</v>
      </c>
      <c r="BD40" s="388">
        <f t="shared" si="30"/>
        <v>0</v>
      </c>
      <c r="BE40" s="388">
        <f t="shared" si="30"/>
        <v>0</v>
      </c>
      <c r="BF40" s="388">
        <f t="shared" si="30"/>
        <v>0</v>
      </c>
      <c r="BG40" s="388">
        <f t="shared" si="30"/>
        <v>0</v>
      </c>
      <c r="BH40" s="388">
        <f t="shared" si="30"/>
        <v>0</v>
      </c>
      <c r="BI40" s="388">
        <f t="shared" si="30"/>
        <v>0</v>
      </c>
      <c r="BJ40" s="388">
        <f t="shared" si="30"/>
        <v>0</v>
      </c>
      <c r="BK40" s="388">
        <f t="shared" si="30"/>
        <v>0</v>
      </c>
      <c r="BL40" s="388">
        <f t="shared" si="30"/>
        <v>0</v>
      </c>
      <c r="BM40" s="388">
        <f t="shared" si="30"/>
        <v>0</v>
      </c>
      <c r="BN40" s="388">
        <f t="shared" si="30"/>
        <v>0</v>
      </c>
      <c r="BO40" s="388">
        <f t="shared" si="30"/>
        <v>0</v>
      </c>
      <c r="BP40" s="389">
        <f t="shared" si="30"/>
        <v>0</v>
      </c>
      <c r="BQ40" s="390">
        <f t="shared" si="30"/>
        <v>0</v>
      </c>
      <c r="BR40" s="388">
        <f t="shared" si="30"/>
        <v>0</v>
      </c>
      <c r="BS40" s="388">
        <f t="shared" si="30"/>
        <v>0</v>
      </c>
      <c r="BT40" s="388">
        <f t="shared" si="30"/>
        <v>0</v>
      </c>
      <c r="BU40" s="388">
        <f t="shared" si="30"/>
        <v>0</v>
      </c>
      <c r="BV40" s="388">
        <f t="shared" si="30"/>
        <v>0</v>
      </c>
      <c r="BW40" s="388">
        <f t="shared" si="30"/>
        <v>0</v>
      </c>
      <c r="BX40" s="388">
        <f t="shared" si="31"/>
        <v>0</v>
      </c>
      <c r="BY40" s="388">
        <f t="shared" si="31"/>
        <v>0</v>
      </c>
      <c r="BZ40" s="388">
        <f t="shared" si="31"/>
        <v>0</v>
      </c>
      <c r="CA40" s="388">
        <f t="shared" si="31"/>
        <v>0</v>
      </c>
      <c r="CB40" s="391">
        <f t="shared" si="31"/>
        <v>0</v>
      </c>
      <c r="CC40" s="388">
        <f t="shared" si="31"/>
        <v>0</v>
      </c>
      <c r="CD40" s="388">
        <f t="shared" si="31"/>
        <v>0</v>
      </c>
      <c r="CE40" s="388">
        <f t="shared" si="31"/>
        <v>0</v>
      </c>
      <c r="CF40" s="388">
        <f t="shared" si="31"/>
        <v>0</v>
      </c>
      <c r="CG40" s="388">
        <f t="shared" si="31"/>
        <v>0</v>
      </c>
      <c r="CH40" s="388">
        <f t="shared" si="31"/>
        <v>0</v>
      </c>
      <c r="CI40" s="388">
        <f t="shared" si="31"/>
        <v>0</v>
      </c>
      <c r="CJ40" s="388">
        <f t="shared" si="31"/>
        <v>0</v>
      </c>
      <c r="CK40" s="388">
        <f t="shared" si="31"/>
        <v>0</v>
      </c>
      <c r="CL40" s="388">
        <f t="shared" si="31"/>
        <v>0</v>
      </c>
      <c r="CM40" s="388">
        <f t="shared" si="31"/>
        <v>0</v>
      </c>
      <c r="CN40" s="388">
        <f t="shared" si="31"/>
        <v>0</v>
      </c>
      <c r="CO40" s="388">
        <f t="shared" si="31"/>
        <v>0</v>
      </c>
      <c r="CP40" s="388">
        <f t="shared" si="31"/>
        <v>0</v>
      </c>
      <c r="CQ40" s="388">
        <f t="shared" si="31"/>
        <v>0</v>
      </c>
      <c r="CR40" s="388">
        <f t="shared" si="31"/>
        <v>0</v>
      </c>
      <c r="CS40" s="388">
        <f t="shared" si="31"/>
        <v>0</v>
      </c>
      <c r="CT40" s="388">
        <f t="shared" si="31"/>
        <v>0</v>
      </c>
      <c r="CU40" s="388">
        <f t="shared" si="31"/>
        <v>0</v>
      </c>
      <c r="CV40" s="388">
        <f t="shared" si="31"/>
        <v>0</v>
      </c>
      <c r="CW40" s="388">
        <f t="shared" si="31"/>
        <v>0</v>
      </c>
      <c r="CX40" s="388">
        <f t="shared" si="31"/>
        <v>0</v>
      </c>
      <c r="CY40" s="388">
        <f t="shared" si="31"/>
        <v>0</v>
      </c>
      <c r="CZ40" s="388">
        <f t="shared" si="31"/>
        <v>0</v>
      </c>
      <c r="DA40" s="388">
        <f t="shared" si="31"/>
        <v>0</v>
      </c>
      <c r="DB40" s="388">
        <f t="shared" si="31"/>
        <v>0</v>
      </c>
      <c r="DC40" s="388">
        <f t="shared" si="31"/>
        <v>0</v>
      </c>
      <c r="DD40" s="388">
        <f t="shared" si="31"/>
        <v>0</v>
      </c>
      <c r="DE40" s="388">
        <f t="shared" si="31"/>
        <v>0</v>
      </c>
      <c r="DF40" s="388">
        <f t="shared" si="31"/>
        <v>0</v>
      </c>
      <c r="DG40" s="388">
        <f t="shared" si="31"/>
        <v>0</v>
      </c>
      <c r="DH40" s="388">
        <f t="shared" si="31"/>
        <v>0</v>
      </c>
      <c r="DI40" s="388">
        <f t="shared" si="31"/>
        <v>0</v>
      </c>
      <c r="DJ40" s="388">
        <f t="shared" si="31"/>
        <v>0</v>
      </c>
      <c r="DK40" s="388">
        <f t="shared" si="31"/>
        <v>0</v>
      </c>
      <c r="DL40" s="388">
        <f t="shared" si="31"/>
        <v>0</v>
      </c>
      <c r="DM40" s="388">
        <f t="shared" si="31"/>
        <v>0</v>
      </c>
      <c r="DN40" s="388">
        <f t="shared" si="31"/>
        <v>0</v>
      </c>
      <c r="DO40" s="388">
        <f t="shared" si="31"/>
        <v>0</v>
      </c>
      <c r="DP40" s="388">
        <f t="shared" si="31"/>
        <v>0</v>
      </c>
      <c r="DQ40" s="388">
        <f t="shared" si="31"/>
        <v>0</v>
      </c>
      <c r="DR40" s="388">
        <f t="shared" si="31"/>
        <v>0</v>
      </c>
      <c r="DS40" s="388">
        <f t="shared" si="31"/>
        <v>0</v>
      </c>
      <c r="DT40" s="388">
        <f t="shared" si="31"/>
        <v>0</v>
      </c>
      <c r="DU40" s="388">
        <f t="shared" si="31"/>
        <v>0</v>
      </c>
      <c r="DV40" s="388">
        <f t="shared" si="31"/>
        <v>0</v>
      </c>
      <c r="DW40" s="388">
        <f t="shared" si="31"/>
        <v>0</v>
      </c>
      <c r="DX40" s="388">
        <f t="shared" si="31"/>
        <v>0</v>
      </c>
      <c r="DY40" s="388">
        <f t="shared" si="31"/>
        <v>0</v>
      </c>
      <c r="DZ40" s="388">
        <f t="shared" si="31"/>
        <v>0</v>
      </c>
      <c r="EA40" s="388">
        <f t="shared" si="31"/>
        <v>0</v>
      </c>
      <c r="EB40" s="388">
        <f t="shared" si="31"/>
        <v>0</v>
      </c>
      <c r="EC40" s="388">
        <f t="shared" si="31"/>
        <v>0</v>
      </c>
      <c r="ED40" s="388">
        <f t="shared" si="31"/>
        <v>0</v>
      </c>
      <c r="EE40" s="388">
        <f t="shared" si="31"/>
        <v>0</v>
      </c>
      <c r="EF40" s="388">
        <f t="shared" si="31"/>
        <v>0</v>
      </c>
      <c r="EG40" s="388">
        <f t="shared" si="31"/>
        <v>0</v>
      </c>
      <c r="EH40" s="388">
        <f t="shared" si="31"/>
        <v>0</v>
      </c>
      <c r="EI40" s="388">
        <f t="shared" si="31"/>
        <v>0</v>
      </c>
      <c r="EJ40" s="388">
        <f t="shared" si="32"/>
        <v>0</v>
      </c>
    </row>
    <row r="41" spans="1:140" s="299" customFormat="1" ht="24" hidden="1" customHeight="1">
      <c r="A41" s="906"/>
      <c r="B41" s="907"/>
      <c r="C41" s="891" t="s">
        <v>50</v>
      </c>
      <c r="D41" s="704" t="s">
        <v>48</v>
      </c>
      <c r="E41" s="705"/>
      <c r="F41" s="706"/>
      <c r="G41" s="706"/>
      <c r="H41" s="707"/>
      <c r="I41" s="708"/>
      <c r="J41" s="706"/>
      <c r="K41" s="411"/>
      <c r="L41" s="412">
        <f t="shared" si="30"/>
        <v>0</v>
      </c>
      <c r="M41" s="412">
        <f t="shared" si="30"/>
        <v>0</v>
      </c>
      <c r="N41" s="412">
        <f t="shared" si="30"/>
        <v>0</v>
      </c>
      <c r="O41" s="383">
        <f t="shared" si="30"/>
        <v>1746</v>
      </c>
      <c r="P41" s="383">
        <f t="shared" si="30"/>
        <v>17073</v>
      </c>
      <c r="Q41" s="383">
        <f t="shared" si="30"/>
        <v>10119</v>
      </c>
      <c r="R41" s="383">
        <f t="shared" si="30"/>
        <v>1528</v>
      </c>
      <c r="S41" s="413">
        <f t="shared" si="30"/>
        <v>791</v>
      </c>
      <c r="T41" s="414">
        <f t="shared" si="30"/>
        <v>4692.41</v>
      </c>
      <c r="U41" s="415">
        <f t="shared" si="30"/>
        <v>12651</v>
      </c>
      <c r="V41" s="416">
        <f t="shared" si="30"/>
        <v>3403</v>
      </c>
      <c r="W41" s="416">
        <f t="shared" si="30"/>
        <v>6855.5</v>
      </c>
      <c r="X41" s="416">
        <f t="shared" si="30"/>
        <v>0</v>
      </c>
      <c r="Y41" s="416">
        <f t="shared" si="30"/>
        <v>0</v>
      </c>
      <c r="Z41" s="416">
        <f t="shared" si="30"/>
        <v>0</v>
      </c>
      <c r="AA41" s="416">
        <f t="shared" si="30"/>
        <v>0</v>
      </c>
      <c r="AB41" s="416">
        <f t="shared" si="30"/>
        <v>0</v>
      </c>
      <c r="AC41" s="416">
        <f t="shared" si="30"/>
        <v>0</v>
      </c>
      <c r="AD41" s="416">
        <f t="shared" si="30"/>
        <v>0</v>
      </c>
      <c r="AE41" s="416">
        <f t="shared" si="30"/>
        <v>0</v>
      </c>
      <c r="AF41" s="416">
        <f t="shared" si="30"/>
        <v>0</v>
      </c>
      <c r="AG41" s="416">
        <f t="shared" si="30"/>
        <v>0</v>
      </c>
      <c r="AH41" s="416">
        <f t="shared" si="30"/>
        <v>0</v>
      </c>
      <c r="AI41" s="416">
        <f t="shared" si="30"/>
        <v>0</v>
      </c>
      <c r="AJ41" s="416">
        <f t="shared" si="30"/>
        <v>0</v>
      </c>
      <c r="AK41" s="416">
        <f t="shared" si="30"/>
        <v>0</v>
      </c>
      <c r="AL41" s="416">
        <f t="shared" si="30"/>
        <v>0</v>
      </c>
      <c r="AM41" s="416">
        <f t="shared" si="30"/>
        <v>0</v>
      </c>
      <c r="AN41" s="416">
        <f t="shared" si="30"/>
        <v>0</v>
      </c>
      <c r="AO41" s="416">
        <f t="shared" si="30"/>
        <v>0</v>
      </c>
      <c r="AP41" s="416">
        <f t="shared" si="30"/>
        <v>0</v>
      </c>
      <c r="AQ41" s="416">
        <f t="shared" si="30"/>
        <v>0</v>
      </c>
      <c r="AR41" s="416">
        <f t="shared" si="30"/>
        <v>0</v>
      </c>
      <c r="AS41" s="416">
        <f t="shared" si="30"/>
        <v>0</v>
      </c>
      <c r="AT41" s="416">
        <f t="shared" si="30"/>
        <v>0</v>
      </c>
      <c r="AU41" s="416">
        <f t="shared" si="30"/>
        <v>0</v>
      </c>
      <c r="AV41" s="416">
        <f t="shared" si="30"/>
        <v>0</v>
      </c>
      <c r="AW41" s="416">
        <f t="shared" si="30"/>
        <v>0</v>
      </c>
      <c r="AX41" s="416">
        <f t="shared" si="30"/>
        <v>0</v>
      </c>
      <c r="AY41" s="416">
        <f t="shared" si="30"/>
        <v>0</v>
      </c>
      <c r="AZ41" s="416">
        <f t="shared" si="30"/>
        <v>0</v>
      </c>
      <c r="BA41" s="416">
        <f t="shared" si="30"/>
        <v>0</v>
      </c>
      <c r="BB41" s="416">
        <f t="shared" si="30"/>
        <v>0</v>
      </c>
      <c r="BC41" s="416">
        <f t="shared" si="30"/>
        <v>0</v>
      </c>
      <c r="BD41" s="416">
        <f t="shared" si="30"/>
        <v>0</v>
      </c>
      <c r="BE41" s="416">
        <f t="shared" si="30"/>
        <v>0</v>
      </c>
      <c r="BF41" s="416">
        <f t="shared" si="30"/>
        <v>0</v>
      </c>
      <c r="BG41" s="416">
        <f t="shared" si="30"/>
        <v>0</v>
      </c>
      <c r="BH41" s="416">
        <f t="shared" si="30"/>
        <v>0</v>
      </c>
      <c r="BI41" s="416">
        <f t="shared" si="30"/>
        <v>0</v>
      </c>
      <c r="BJ41" s="416">
        <f t="shared" si="30"/>
        <v>0</v>
      </c>
      <c r="BK41" s="416">
        <f t="shared" si="30"/>
        <v>0</v>
      </c>
      <c r="BL41" s="416">
        <f t="shared" si="30"/>
        <v>0</v>
      </c>
      <c r="BM41" s="416">
        <f t="shared" si="30"/>
        <v>0</v>
      </c>
      <c r="BN41" s="416">
        <f t="shared" si="30"/>
        <v>0</v>
      </c>
      <c r="BO41" s="416">
        <f t="shared" si="30"/>
        <v>0</v>
      </c>
      <c r="BP41" s="417">
        <f t="shared" si="30"/>
        <v>0</v>
      </c>
      <c r="BQ41" s="415">
        <f t="shared" si="30"/>
        <v>0</v>
      </c>
      <c r="BR41" s="416">
        <f t="shared" si="30"/>
        <v>0</v>
      </c>
      <c r="BS41" s="416">
        <f t="shared" si="30"/>
        <v>0</v>
      </c>
      <c r="BT41" s="416">
        <f t="shared" si="30"/>
        <v>0</v>
      </c>
      <c r="BU41" s="416">
        <f t="shared" si="30"/>
        <v>0</v>
      </c>
      <c r="BV41" s="416">
        <f t="shared" si="30"/>
        <v>0</v>
      </c>
      <c r="BW41" s="416">
        <f t="shared" si="30"/>
        <v>0</v>
      </c>
      <c r="BX41" s="416">
        <f t="shared" si="31"/>
        <v>0</v>
      </c>
      <c r="BY41" s="416">
        <f t="shared" si="31"/>
        <v>0</v>
      </c>
      <c r="BZ41" s="416">
        <f t="shared" si="31"/>
        <v>0</v>
      </c>
      <c r="CA41" s="416">
        <f t="shared" si="31"/>
        <v>0</v>
      </c>
      <c r="CB41" s="418">
        <f t="shared" si="31"/>
        <v>0</v>
      </c>
      <c r="CC41" s="416">
        <f t="shared" si="31"/>
        <v>0</v>
      </c>
      <c r="CD41" s="416">
        <f t="shared" si="31"/>
        <v>0</v>
      </c>
      <c r="CE41" s="416">
        <f t="shared" si="31"/>
        <v>0</v>
      </c>
      <c r="CF41" s="416">
        <f t="shared" si="31"/>
        <v>0</v>
      </c>
      <c r="CG41" s="416">
        <f t="shared" si="31"/>
        <v>0</v>
      </c>
      <c r="CH41" s="416">
        <f t="shared" si="31"/>
        <v>0</v>
      </c>
      <c r="CI41" s="416">
        <f t="shared" si="31"/>
        <v>0</v>
      </c>
      <c r="CJ41" s="416">
        <f t="shared" si="31"/>
        <v>0</v>
      </c>
      <c r="CK41" s="416">
        <f t="shared" si="31"/>
        <v>0</v>
      </c>
      <c r="CL41" s="416">
        <f t="shared" si="31"/>
        <v>0</v>
      </c>
      <c r="CM41" s="416">
        <f t="shared" si="31"/>
        <v>0</v>
      </c>
      <c r="CN41" s="416">
        <f t="shared" si="31"/>
        <v>0</v>
      </c>
      <c r="CO41" s="416">
        <f t="shared" si="31"/>
        <v>0</v>
      </c>
      <c r="CP41" s="416">
        <f t="shared" si="31"/>
        <v>0</v>
      </c>
      <c r="CQ41" s="416">
        <f t="shared" si="31"/>
        <v>0</v>
      </c>
      <c r="CR41" s="416">
        <f t="shared" si="31"/>
        <v>0</v>
      </c>
      <c r="CS41" s="416">
        <f t="shared" si="31"/>
        <v>0</v>
      </c>
      <c r="CT41" s="416">
        <f t="shared" si="31"/>
        <v>0</v>
      </c>
      <c r="CU41" s="416">
        <f t="shared" si="31"/>
        <v>0</v>
      </c>
      <c r="CV41" s="416">
        <f t="shared" si="31"/>
        <v>0</v>
      </c>
      <c r="CW41" s="416">
        <f t="shared" si="31"/>
        <v>0</v>
      </c>
      <c r="CX41" s="416">
        <f t="shared" si="31"/>
        <v>0</v>
      </c>
      <c r="CY41" s="416">
        <f t="shared" si="31"/>
        <v>0</v>
      </c>
      <c r="CZ41" s="416">
        <f t="shared" si="31"/>
        <v>0</v>
      </c>
      <c r="DA41" s="416">
        <f t="shared" si="31"/>
        <v>0</v>
      </c>
      <c r="DB41" s="416">
        <f t="shared" si="31"/>
        <v>0</v>
      </c>
      <c r="DC41" s="416">
        <f t="shared" si="31"/>
        <v>0</v>
      </c>
      <c r="DD41" s="416">
        <f t="shared" si="31"/>
        <v>0</v>
      </c>
      <c r="DE41" s="416">
        <f t="shared" si="31"/>
        <v>0</v>
      </c>
      <c r="DF41" s="416">
        <f t="shared" si="31"/>
        <v>0</v>
      </c>
      <c r="DG41" s="416">
        <f t="shared" si="31"/>
        <v>0</v>
      </c>
      <c r="DH41" s="416">
        <f t="shared" si="31"/>
        <v>0</v>
      </c>
      <c r="DI41" s="416">
        <f t="shared" si="31"/>
        <v>0</v>
      </c>
      <c r="DJ41" s="416">
        <f t="shared" si="31"/>
        <v>0</v>
      </c>
      <c r="DK41" s="416">
        <f t="shared" si="31"/>
        <v>0</v>
      </c>
      <c r="DL41" s="416">
        <f t="shared" si="31"/>
        <v>0</v>
      </c>
      <c r="DM41" s="416">
        <f t="shared" si="31"/>
        <v>0</v>
      </c>
      <c r="DN41" s="416">
        <f t="shared" si="31"/>
        <v>0</v>
      </c>
      <c r="DO41" s="416">
        <f t="shared" si="31"/>
        <v>0</v>
      </c>
      <c r="DP41" s="416">
        <f t="shared" si="31"/>
        <v>0</v>
      </c>
      <c r="DQ41" s="416">
        <f t="shared" si="31"/>
        <v>0</v>
      </c>
      <c r="DR41" s="416">
        <f t="shared" si="31"/>
        <v>0</v>
      </c>
      <c r="DS41" s="416">
        <f t="shared" si="31"/>
        <v>0</v>
      </c>
      <c r="DT41" s="416">
        <f t="shared" si="31"/>
        <v>0</v>
      </c>
      <c r="DU41" s="416">
        <f t="shared" si="31"/>
        <v>0</v>
      </c>
      <c r="DV41" s="416">
        <f t="shared" si="31"/>
        <v>0</v>
      </c>
      <c r="DW41" s="416">
        <f t="shared" si="31"/>
        <v>0</v>
      </c>
      <c r="DX41" s="416">
        <f t="shared" si="31"/>
        <v>0</v>
      </c>
      <c r="DY41" s="416">
        <f t="shared" si="31"/>
        <v>0</v>
      </c>
      <c r="DZ41" s="416">
        <f t="shared" si="31"/>
        <v>0</v>
      </c>
      <c r="EA41" s="416">
        <f t="shared" si="31"/>
        <v>0</v>
      </c>
      <c r="EB41" s="416">
        <f t="shared" si="31"/>
        <v>0</v>
      </c>
      <c r="EC41" s="416">
        <f t="shared" si="31"/>
        <v>0</v>
      </c>
      <c r="ED41" s="416">
        <f t="shared" si="31"/>
        <v>0</v>
      </c>
      <c r="EE41" s="416">
        <f t="shared" si="31"/>
        <v>0</v>
      </c>
      <c r="EF41" s="416">
        <f t="shared" si="31"/>
        <v>0</v>
      </c>
      <c r="EG41" s="416">
        <f t="shared" si="31"/>
        <v>0</v>
      </c>
      <c r="EH41" s="416">
        <f t="shared" si="31"/>
        <v>0</v>
      </c>
      <c r="EI41" s="416">
        <f t="shared" si="31"/>
        <v>0</v>
      </c>
      <c r="EJ41" s="416">
        <f t="shared" si="32"/>
        <v>0</v>
      </c>
    </row>
    <row r="42" spans="1:140" s="299" customFormat="1" ht="24" hidden="1" customHeight="1">
      <c r="A42" s="906"/>
      <c r="B42" s="907"/>
      <c r="C42" s="890"/>
      <c r="D42" s="709" t="s">
        <v>49</v>
      </c>
      <c r="E42" s="710"/>
      <c r="F42" s="711"/>
      <c r="G42" s="711"/>
      <c r="H42" s="712"/>
      <c r="I42" s="713"/>
      <c r="J42" s="711"/>
      <c r="K42" s="419"/>
      <c r="L42" s="420">
        <f t="shared" si="30"/>
        <v>0</v>
      </c>
      <c r="M42" s="420">
        <f t="shared" si="30"/>
        <v>0</v>
      </c>
      <c r="N42" s="420">
        <f t="shared" si="30"/>
        <v>0</v>
      </c>
      <c r="O42" s="344">
        <f t="shared" si="30"/>
        <v>1</v>
      </c>
      <c r="P42" s="344">
        <f t="shared" si="30"/>
        <v>9</v>
      </c>
      <c r="Q42" s="344">
        <f t="shared" si="30"/>
        <v>5</v>
      </c>
      <c r="R42" s="344">
        <f t="shared" si="30"/>
        <v>1</v>
      </c>
      <c r="S42" s="344">
        <f t="shared" si="30"/>
        <v>4</v>
      </c>
      <c r="T42" s="345">
        <f t="shared" si="30"/>
        <v>1</v>
      </c>
      <c r="U42" s="346">
        <f t="shared" si="30"/>
        <v>5</v>
      </c>
      <c r="V42" s="347">
        <f t="shared" si="30"/>
        <v>8</v>
      </c>
      <c r="W42" s="347">
        <f t="shared" si="30"/>
        <v>9</v>
      </c>
      <c r="X42" s="347">
        <f t="shared" si="30"/>
        <v>0</v>
      </c>
      <c r="Y42" s="347">
        <f t="shared" si="30"/>
        <v>0</v>
      </c>
      <c r="Z42" s="347">
        <f t="shared" si="30"/>
        <v>0</v>
      </c>
      <c r="AA42" s="347">
        <f t="shared" si="30"/>
        <v>0</v>
      </c>
      <c r="AB42" s="347">
        <f t="shared" si="30"/>
        <v>0</v>
      </c>
      <c r="AC42" s="347">
        <f t="shared" si="30"/>
        <v>0</v>
      </c>
      <c r="AD42" s="347">
        <f t="shared" si="30"/>
        <v>0</v>
      </c>
      <c r="AE42" s="347">
        <f t="shared" si="30"/>
        <v>0</v>
      </c>
      <c r="AF42" s="347">
        <f t="shared" si="30"/>
        <v>0</v>
      </c>
      <c r="AG42" s="347">
        <f t="shared" si="30"/>
        <v>0</v>
      </c>
      <c r="AH42" s="347">
        <f t="shared" si="30"/>
        <v>0</v>
      </c>
      <c r="AI42" s="347">
        <f t="shared" si="30"/>
        <v>0</v>
      </c>
      <c r="AJ42" s="347">
        <f t="shared" si="30"/>
        <v>0</v>
      </c>
      <c r="AK42" s="347">
        <f t="shared" si="30"/>
        <v>0</v>
      </c>
      <c r="AL42" s="347">
        <f t="shared" si="30"/>
        <v>0</v>
      </c>
      <c r="AM42" s="347">
        <f t="shared" si="30"/>
        <v>0</v>
      </c>
      <c r="AN42" s="347">
        <f t="shared" si="30"/>
        <v>0</v>
      </c>
      <c r="AO42" s="347">
        <f t="shared" si="30"/>
        <v>0</v>
      </c>
      <c r="AP42" s="347">
        <f t="shared" si="30"/>
        <v>0</v>
      </c>
      <c r="AQ42" s="347">
        <f t="shared" si="30"/>
        <v>0</v>
      </c>
      <c r="AR42" s="347">
        <f t="shared" si="30"/>
        <v>0</v>
      </c>
      <c r="AS42" s="347">
        <f t="shared" si="30"/>
        <v>0</v>
      </c>
      <c r="AT42" s="347">
        <f t="shared" si="30"/>
        <v>0</v>
      </c>
      <c r="AU42" s="347">
        <f t="shared" si="30"/>
        <v>0</v>
      </c>
      <c r="AV42" s="347">
        <f t="shared" si="30"/>
        <v>0</v>
      </c>
      <c r="AW42" s="347">
        <f t="shared" si="30"/>
        <v>0</v>
      </c>
      <c r="AX42" s="347">
        <f t="shared" si="30"/>
        <v>0</v>
      </c>
      <c r="AY42" s="347">
        <f t="shared" si="30"/>
        <v>0</v>
      </c>
      <c r="AZ42" s="347">
        <f t="shared" si="30"/>
        <v>0</v>
      </c>
      <c r="BA42" s="347">
        <f t="shared" si="30"/>
        <v>0</v>
      </c>
      <c r="BB42" s="347">
        <f t="shared" si="30"/>
        <v>0</v>
      </c>
      <c r="BC42" s="347">
        <f t="shared" si="30"/>
        <v>0</v>
      </c>
      <c r="BD42" s="347">
        <f t="shared" si="30"/>
        <v>0</v>
      </c>
      <c r="BE42" s="347">
        <f t="shared" si="30"/>
        <v>0</v>
      </c>
      <c r="BF42" s="347">
        <f t="shared" si="30"/>
        <v>0</v>
      </c>
      <c r="BG42" s="347">
        <f t="shared" si="30"/>
        <v>0</v>
      </c>
      <c r="BH42" s="347">
        <f t="shared" si="30"/>
        <v>0</v>
      </c>
      <c r="BI42" s="347">
        <f t="shared" si="30"/>
        <v>0</v>
      </c>
      <c r="BJ42" s="347">
        <f t="shared" si="30"/>
        <v>0</v>
      </c>
      <c r="BK42" s="347">
        <f t="shared" si="30"/>
        <v>0</v>
      </c>
      <c r="BL42" s="347">
        <f t="shared" si="30"/>
        <v>0</v>
      </c>
      <c r="BM42" s="347">
        <f t="shared" si="30"/>
        <v>0</v>
      </c>
      <c r="BN42" s="347">
        <f t="shared" si="30"/>
        <v>0</v>
      </c>
      <c r="BO42" s="347">
        <f t="shared" si="30"/>
        <v>0</v>
      </c>
      <c r="BP42" s="348">
        <f t="shared" si="30"/>
        <v>0</v>
      </c>
      <c r="BQ42" s="346">
        <f t="shared" si="30"/>
        <v>0</v>
      </c>
      <c r="BR42" s="347">
        <f t="shared" si="30"/>
        <v>0</v>
      </c>
      <c r="BS42" s="347">
        <f t="shared" si="30"/>
        <v>0</v>
      </c>
      <c r="BT42" s="347">
        <f t="shared" si="30"/>
        <v>0</v>
      </c>
      <c r="BU42" s="347">
        <f t="shared" si="30"/>
        <v>0</v>
      </c>
      <c r="BV42" s="347">
        <f t="shared" si="30"/>
        <v>0</v>
      </c>
      <c r="BW42" s="347">
        <f t="shared" ref="BW42:CY43" si="33">+BW58+BW74+BW90</f>
        <v>0</v>
      </c>
      <c r="BX42" s="347">
        <f t="shared" si="33"/>
        <v>0</v>
      </c>
      <c r="BY42" s="347">
        <f t="shared" si="33"/>
        <v>0</v>
      </c>
      <c r="BZ42" s="347">
        <f t="shared" si="33"/>
        <v>0</v>
      </c>
      <c r="CA42" s="347">
        <f t="shared" si="33"/>
        <v>0</v>
      </c>
      <c r="CB42" s="349">
        <f t="shared" si="33"/>
        <v>0</v>
      </c>
      <c r="CC42" s="347">
        <f t="shared" si="33"/>
        <v>0</v>
      </c>
      <c r="CD42" s="347">
        <f t="shared" si="33"/>
        <v>0</v>
      </c>
      <c r="CE42" s="347">
        <f t="shared" si="33"/>
        <v>0</v>
      </c>
      <c r="CF42" s="347">
        <f t="shared" si="33"/>
        <v>0</v>
      </c>
      <c r="CG42" s="347">
        <f t="shared" si="33"/>
        <v>0</v>
      </c>
      <c r="CH42" s="347">
        <f t="shared" si="33"/>
        <v>0</v>
      </c>
      <c r="CI42" s="347">
        <f t="shared" si="33"/>
        <v>0</v>
      </c>
      <c r="CJ42" s="347">
        <f t="shared" si="33"/>
        <v>0</v>
      </c>
      <c r="CK42" s="347">
        <f t="shared" si="33"/>
        <v>0</v>
      </c>
      <c r="CL42" s="347">
        <f t="shared" si="33"/>
        <v>0</v>
      </c>
      <c r="CM42" s="347">
        <f t="shared" si="33"/>
        <v>0</v>
      </c>
      <c r="CN42" s="347">
        <f t="shared" si="33"/>
        <v>0</v>
      </c>
      <c r="CO42" s="347">
        <f t="shared" si="33"/>
        <v>0</v>
      </c>
      <c r="CP42" s="347">
        <f t="shared" si="33"/>
        <v>0</v>
      </c>
      <c r="CQ42" s="347">
        <f t="shared" si="33"/>
        <v>0</v>
      </c>
      <c r="CR42" s="347">
        <f t="shared" si="33"/>
        <v>0</v>
      </c>
      <c r="CS42" s="347">
        <f t="shared" si="33"/>
        <v>0</v>
      </c>
      <c r="CT42" s="347">
        <f t="shared" si="33"/>
        <v>0</v>
      </c>
      <c r="CU42" s="347">
        <f t="shared" si="33"/>
        <v>0</v>
      </c>
      <c r="CV42" s="347">
        <f t="shared" si="33"/>
        <v>0</v>
      </c>
      <c r="CW42" s="347">
        <f t="shared" si="33"/>
        <v>0</v>
      </c>
      <c r="CX42" s="347">
        <f t="shared" si="33"/>
        <v>0</v>
      </c>
      <c r="CY42" s="347">
        <f t="shared" si="33"/>
        <v>0</v>
      </c>
      <c r="CZ42" s="347">
        <f t="shared" si="31"/>
        <v>0</v>
      </c>
      <c r="DA42" s="347">
        <f t="shared" si="31"/>
        <v>0</v>
      </c>
      <c r="DB42" s="347">
        <f t="shared" si="31"/>
        <v>0</v>
      </c>
      <c r="DC42" s="347">
        <f t="shared" si="31"/>
        <v>0</v>
      </c>
      <c r="DD42" s="347">
        <f t="shared" si="31"/>
        <v>0</v>
      </c>
      <c r="DE42" s="347">
        <f t="shared" si="31"/>
        <v>0</v>
      </c>
      <c r="DF42" s="347">
        <f t="shared" si="31"/>
        <v>0</v>
      </c>
      <c r="DG42" s="347">
        <f t="shared" si="31"/>
        <v>0</v>
      </c>
      <c r="DH42" s="347">
        <f t="shared" si="31"/>
        <v>0</v>
      </c>
      <c r="DI42" s="347">
        <f t="shared" si="31"/>
        <v>0</v>
      </c>
      <c r="DJ42" s="347">
        <f t="shared" si="31"/>
        <v>0</v>
      </c>
      <c r="DK42" s="347">
        <f t="shared" si="31"/>
        <v>0</v>
      </c>
      <c r="DL42" s="347">
        <f t="shared" si="31"/>
        <v>0</v>
      </c>
      <c r="DM42" s="347">
        <f t="shared" si="31"/>
        <v>0</v>
      </c>
      <c r="DN42" s="347">
        <f t="shared" si="31"/>
        <v>0</v>
      </c>
      <c r="DO42" s="347">
        <f t="shared" si="31"/>
        <v>0</v>
      </c>
      <c r="DP42" s="347">
        <f t="shared" si="31"/>
        <v>0</v>
      </c>
      <c r="DQ42" s="347">
        <f t="shared" si="31"/>
        <v>0</v>
      </c>
      <c r="DR42" s="347">
        <f t="shared" si="31"/>
        <v>0</v>
      </c>
      <c r="DS42" s="347">
        <f t="shared" si="31"/>
        <v>0</v>
      </c>
      <c r="DT42" s="347">
        <f t="shared" si="31"/>
        <v>0</v>
      </c>
      <c r="DU42" s="347">
        <f t="shared" si="31"/>
        <v>0</v>
      </c>
      <c r="DV42" s="347">
        <f t="shared" si="31"/>
        <v>0</v>
      </c>
      <c r="DW42" s="347">
        <f t="shared" si="31"/>
        <v>0</v>
      </c>
      <c r="DX42" s="347">
        <f t="shared" si="31"/>
        <v>0</v>
      </c>
      <c r="DY42" s="347">
        <f t="shared" si="31"/>
        <v>0</v>
      </c>
      <c r="DZ42" s="347">
        <f t="shared" si="31"/>
        <v>0</v>
      </c>
      <c r="EA42" s="347">
        <f t="shared" si="31"/>
        <v>0</v>
      </c>
      <c r="EB42" s="347">
        <f t="shared" si="31"/>
        <v>0</v>
      </c>
      <c r="EC42" s="347">
        <f t="shared" si="31"/>
        <v>0</v>
      </c>
      <c r="ED42" s="347">
        <f t="shared" si="31"/>
        <v>0</v>
      </c>
      <c r="EE42" s="347">
        <f t="shared" si="31"/>
        <v>0</v>
      </c>
      <c r="EF42" s="347">
        <f t="shared" si="31"/>
        <v>0</v>
      </c>
      <c r="EG42" s="347">
        <f t="shared" si="31"/>
        <v>0</v>
      </c>
      <c r="EH42" s="347">
        <f t="shared" si="31"/>
        <v>0</v>
      </c>
      <c r="EI42" s="347">
        <f t="shared" si="31"/>
        <v>0</v>
      </c>
      <c r="EJ42" s="347">
        <f t="shared" si="32"/>
        <v>0</v>
      </c>
    </row>
    <row r="43" spans="1:140" s="299" customFormat="1" ht="24" hidden="1" customHeight="1">
      <c r="A43" s="906"/>
      <c r="B43" s="907"/>
      <c r="C43" s="714" t="s">
        <v>51</v>
      </c>
      <c r="D43" s="677" t="s">
        <v>48</v>
      </c>
      <c r="E43" s="715"/>
      <c r="F43" s="716"/>
      <c r="G43" s="716"/>
      <c r="H43" s="717"/>
      <c r="I43" s="718"/>
      <c r="J43" s="716"/>
      <c r="K43" s="421"/>
      <c r="L43" s="412">
        <f t="shared" ref="L43:BW43" si="34">+L59+L75+L91</f>
        <v>0</v>
      </c>
      <c r="M43" s="383">
        <f t="shared" si="34"/>
        <v>1088</v>
      </c>
      <c r="N43" s="383">
        <f t="shared" si="34"/>
        <v>1199.5</v>
      </c>
      <c r="O43" s="383">
        <f t="shared" si="34"/>
        <v>2789</v>
      </c>
      <c r="P43" s="383">
        <f t="shared" si="34"/>
        <v>1976.5</v>
      </c>
      <c r="Q43" s="383">
        <f t="shared" si="34"/>
        <v>7900.82</v>
      </c>
      <c r="R43" s="383">
        <f t="shared" si="34"/>
        <v>5328.8999999999942</v>
      </c>
      <c r="S43" s="383">
        <f t="shared" si="34"/>
        <v>8196.1000000000349</v>
      </c>
      <c r="T43" s="352">
        <f t="shared" si="34"/>
        <v>8425</v>
      </c>
      <c r="U43" s="353">
        <f t="shared" si="34"/>
        <v>8658.679999999993</v>
      </c>
      <c r="V43" s="354">
        <f t="shared" si="34"/>
        <v>9144.320000000007</v>
      </c>
      <c r="W43" s="354">
        <f t="shared" si="34"/>
        <v>10131.770000000019</v>
      </c>
      <c r="X43" s="354">
        <f t="shared" si="34"/>
        <v>0</v>
      </c>
      <c r="Y43" s="354">
        <f t="shared" si="34"/>
        <v>0</v>
      </c>
      <c r="Z43" s="354">
        <f t="shared" si="34"/>
        <v>0</v>
      </c>
      <c r="AA43" s="354">
        <f t="shared" si="34"/>
        <v>0</v>
      </c>
      <c r="AB43" s="354">
        <f t="shared" si="34"/>
        <v>0</v>
      </c>
      <c r="AC43" s="354">
        <f t="shared" si="34"/>
        <v>0</v>
      </c>
      <c r="AD43" s="354">
        <f t="shared" si="34"/>
        <v>0</v>
      </c>
      <c r="AE43" s="354">
        <f t="shared" si="34"/>
        <v>0</v>
      </c>
      <c r="AF43" s="354">
        <f t="shared" si="34"/>
        <v>0</v>
      </c>
      <c r="AG43" s="354">
        <f t="shared" si="34"/>
        <v>0</v>
      </c>
      <c r="AH43" s="354">
        <f t="shared" si="34"/>
        <v>0</v>
      </c>
      <c r="AI43" s="354">
        <f t="shared" si="34"/>
        <v>0</v>
      </c>
      <c r="AJ43" s="354">
        <f t="shared" si="34"/>
        <v>0</v>
      </c>
      <c r="AK43" s="354">
        <f t="shared" si="34"/>
        <v>0</v>
      </c>
      <c r="AL43" s="354">
        <f t="shared" si="34"/>
        <v>0</v>
      </c>
      <c r="AM43" s="354">
        <f t="shared" si="34"/>
        <v>0</v>
      </c>
      <c r="AN43" s="354">
        <f t="shared" si="34"/>
        <v>0</v>
      </c>
      <c r="AO43" s="354">
        <f t="shared" si="34"/>
        <v>0</v>
      </c>
      <c r="AP43" s="354">
        <f t="shared" si="34"/>
        <v>0</v>
      </c>
      <c r="AQ43" s="354">
        <f t="shared" si="34"/>
        <v>0</v>
      </c>
      <c r="AR43" s="354">
        <f t="shared" si="34"/>
        <v>0</v>
      </c>
      <c r="AS43" s="354">
        <f t="shared" si="34"/>
        <v>0</v>
      </c>
      <c r="AT43" s="354">
        <f t="shared" si="34"/>
        <v>0</v>
      </c>
      <c r="AU43" s="354">
        <f t="shared" si="34"/>
        <v>0</v>
      </c>
      <c r="AV43" s="354">
        <f t="shared" si="34"/>
        <v>0</v>
      </c>
      <c r="AW43" s="354">
        <f t="shared" si="34"/>
        <v>0</v>
      </c>
      <c r="AX43" s="354">
        <f t="shared" si="34"/>
        <v>0</v>
      </c>
      <c r="AY43" s="354">
        <f t="shared" si="34"/>
        <v>0</v>
      </c>
      <c r="AZ43" s="354">
        <f t="shared" si="34"/>
        <v>0</v>
      </c>
      <c r="BA43" s="354">
        <f t="shared" si="34"/>
        <v>0</v>
      </c>
      <c r="BB43" s="354">
        <f t="shared" si="34"/>
        <v>0</v>
      </c>
      <c r="BC43" s="354">
        <f t="shared" si="34"/>
        <v>0</v>
      </c>
      <c r="BD43" s="354">
        <f t="shared" si="34"/>
        <v>0</v>
      </c>
      <c r="BE43" s="354">
        <f t="shared" si="34"/>
        <v>0</v>
      </c>
      <c r="BF43" s="354">
        <f t="shared" si="34"/>
        <v>0</v>
      </c>
      <c r="BG43" s="354">
        <f t="shared" si="34"/>
        <v>0</v>
      </c>
      <c r="BH43" s="354">
        <f t="shared" si="34"/>
        <v>0</v>
      </c>
      <c r="BI43" s="354">
        <f t="shared" si="34"/>
        <v>0</v>
      </c>
      <c r="BJ43" s="354">
        <f t="shared" si="34"/>
        <v>0</v>
      </c>
      <c r="BK43" s="354">
        <f t="shared" si="34"/>
        <v>0</v>
      </c>
      <c r="BL43" s="354">
        <f t="shared" si="34"/>
        <v>0</v>
      </c>
      <c r="BM43" s="354">
        <f t="shared" si="34"/>
        <v>0</v>
      </c>
      <c r="BN43" s="354">
        <f t="shared" si="34"/>
        <v>0</v>
      </c>
      <c r="BO43" s="354">
        <f t="shared" si="34"/>
        <v>0</v>
      </c>
      <c r="BP43" s="355">
        <f t="shared" si="34"/>
        <v>0</v>
      </c>
      <c r="BQ43" s="353">
        <f t="shared" si="34"/>
        <v>0</v>
      </c>
      <c r="BR43" s="354">
        <f t="shared" si="34"/>
        <v>0</v>
      </c>
      <c r="BS43" s="354">
        <f t="shared" si="34"/>
        <v>0</v>
      </c>
      <c r="BT43" s="354">
        <f t="shared" si="34"/>
        <v>0</v>
      </c>
      <c r="BU43" s="354">
        <f t="shared" si="34"/>
        <v>0</v>
      </c>
      <c r="BV43" s="354">
        <f t="shared" si="34"/>
        <v>0</v>
      </c>
      <c r="BW43" s="354">
        <f t="shared" si="33"/>
        <v>0</v>
      </c>
      <c r="BX43" s="354">
        <f t="shared" si="33"/>
        <v>0</v>
      </c>
      <c r="BY43" s="354">
        <f t="shared" si="33"/>
        <v>0</v>
      </c>
      <c r="BZ43" s="354">
        <f t="shared" si="33"/>
        <v>0</v>
      </c>
      <c r="CA43" s="354">
        <f t="shared" si="33"/>
        <v>0</v>
      </c>
      <c r="CB43" s="356">
        <f t="shared" si="33"/>
        <v>0</v>
      </c>
      <c r="CC43" s="354">
        <f t="shared" si="33"/>
        <v>0</v>
      </c>
      <c r="CD43" s="354">
        <f t="shared" si="33"/>
        <v>0</v>
      </c>
      <c r="CE43" s="354">
        <f t="shared" si="33"/>
        <v>0</v>
      </c>
      <c r="CF43" s="354">
        <f t="shared" si="33"/>
        <v>0</v>
      </c>
      <c r="CG43" s="354">
        <f t="shared" si="33"/>
        <v>0</v>
      </c>
      <c r="CH43" s="354">
        <f t="shared" si="33"/>
        <v>0</v>
      </c>
      <c r="CI43" s="354">
        <f t="shared" si="33"/>
        <v>0</v>
      </c>
      <c r="CJ43" s="354">
        <f t="shared" si="33"/>
        <v>0</v>
      </c>
      <c r="CK43" s="354">
        <f t="shared" si="33"/>
        <v>0</v>
      </c>
      <c r="CL43" s="354">
        <f t="shared" si="33"/>
        <v>0</v>
      </c>
      <c r="CM43" s="354">
        <f t="shared" si="33"/>
        <v>0</v>
      </c>
      <c r="CN43" s="354">
        <f t="shared" si="33"/>
        <v>0</v>
      </c>
      <c r="CO43" s="354">
        <f t="shared" si="33"/>
        <v>0</v>
      </c>
      <c r="CP43" s="354">
        <f t="shared" si="33"/>
        <v>0</v>
      </c>
      <c r="CQ43" s="354">
        <f t="shared" si="33"/>
        <v>0</v>
      </c>
      <c r="CR43" s="354">
        <f t="shared" si="33"/>
        <v>0</v>
      </c>
      <c r="CS43" s="354">
        <f t="shared" si="33"/>
        <v>0</v>
      </c>
      <c r="CT43" s="354">
        <f t="shared" si="33"/>
        <v>0</v>
      </c>
      <c r="CU43" s="354">
        <f t="shared" si="33"/>
        <v>0</v>
      </c>
      <c r="CV43" s="354">
        <f t="shared" si="33"/>
        <v>0</v>
      </c>
      <c r="CW43" s="354">
        <f t="shared" si="33"/>
        <v>0</v>
      </c>
      <c r="CX43" s="354">
        <f t="shared" si="33"/>
        <v>0</v>
      </c>
      <c r="CY43" s="354">
        <f t="shared" si="33"/>
        <v>0</v>
      </c>
      <c r="CZ43" s="354">
        <f t="shared" si="31"/>
        <v>0</v>
      </c>
      <c r="DA43" s="354">
        <f t="shared" si="31"/>
        <v>0</v>
      </c>
      <c r="DB43" s="354">
        <f t="shared" si="31"/>
        <v>0</v>
      </c>
      <c r="DC43" s="354">
        <f t="shared" si="31"/>
        <v>0</v>
      </c>
      <c r="DD43" s="354">
        <f t="shared" si="31"/>
        <v>0</v>
      </c>
      <c r="DE43" s="354">
        <f t="shared" si="31"/>
        <v>0</v>
      </c>
      <c r="DF43" s="354">
        <f t="shared" si="31"/>
        <v>0</v>
      </c>
      <c r="DG43" s="354">
        <f t="shared" si="31"/>
        <v>0</v>
      </c>
      <c r="DH43" s="354">
        <f t="shared" si="31"/>
        <v>0</v>
      </c>
      <c r="DI43" s="354">
        <f t="shared" si="31"/>
        <v>0</v>
      </c>
      <c r="DJ43" s="354">
        <f t="shared" si="31"/>
        <v>0</v>
      </c>
      <c r="DK43" s="354">
        <f t="shared" si="31"/>
        <v>0</v>
      </c>
      <c r="DL43" s="354">
        <f t="shared" si="31"/>
        <v>0</v>
      </c>
      <c r="DM43" s="354">
        <f t="shared" si="31"/>
        <v>0</v>
      </c>
      <c r="DN43" s="354">
        <f t="shared" si="31"/>
        <v>0</v>
      </c>
      <c r="DO43" s="354">
        <f t="shared" si="31"/>
        <v>0</v>
      </c>
      <c r="DP43" s="354">
        <f t="shared" si="31"/>
        <v>0</v>
      </c>
      <c r="DQ43" s="354">
        <f t="shared" si="31"/>
        <v>0</v>
      </c>
      <c r="DR43" s="354">
        <f t="shared" si="31"/>
        <v>0</v>
      </c>
      <c r="DS43" s="354">
        <f t="shared" si="31"/>
        <v>0</v>
      </c>
      <c r="DT43" s="354">
        <f t="shared" si="31"/>
        <v>0</v>
      </c>
      <c r="DU43" s="354">
        <f t="shared" si="31"/>
        <v>0</v>
      </c>
      <c r="DV43" s="354">
        <f t="shared" si="31"/>
        <v>0</v>
      </c>
      <c r="DW43" s="354">
        <f t="shared" si="31"/>
        <v>0</v>
      </c>
      <c r="DX43" s="354">
        <f t="shared" si="31"/>
        <v>0</v>
      </c>
      <c r="DY43" s="354">
        <f t="shared" si="31"/>
        <v>0</v>
      </c>
      <c r="DZ43" s="354">
        <f t="shared" si="31"/>
        <v>0</v>
      </c>
      <c r="EA43" s="354">
        <f t="shared" ref="EA43:EL43" si="35">+EA59+EA75+EA91</f>
        <v>0</v>
      </c>
      <c r="EB43" s="354">
        <f t="shared" si="35"/>
        <v>0</v>
      </c>
      <c r="EC43" s="354">
        <f t="shared" si="35"/>
        <v>0</v>
      </c>
      <c r="ED43" s="354">
        <f t="shared" si="35"/>
        <v>0</v>
      </c>
      <c r="EE43" s="354">
        <f t="shared" si="35"/>
        <v>0</v>
      </c>
      <c r="EF43" s="354">
        <f t="shared" si="35"/>
        <v>0</v>
      </c>
      <c r="EG43" s="354">
        <f t="shared" si="35"/>
        <v>0</v>
      </c>
      <c r="EH43" s="354">
        <f t="shared" si="35"/>
        <v>0</v>
      </c>
      <c r="EI43" s="354">
        <f t="shared" si="35"/>
        <v>0</v>
      </c>
      <c r="EJ43" s="354">
        <f t="shared" si="35"/>
        <v>0</v>
      </c>
    </row>
    <row r="44" spans="1:140" s="299" customFormat="1" ht="24" customHeight="1" thickTop="1">
      <c r="A44" s="906"/>
      <c r="B44" s="907"/>
      <c r="C44" s="892" t="s">
        <v>52</v>
      </c>
      <c r="D44" s="657" t="s">
        <v>48</v>
      </c>
      <c r="E44" s="719"/>
      <c r="F44" s="720"/>
      <c r="G44" s="720"/>
      <c r="H44" s="721"/>
      <c r="I44" s="722"/>
      <c r="J44" s="720"/>
      <c r="K44" s="422"/>
      <c r="L44" s="423">
        <f>+L46</f>
        <v>23461</v>
      </c>
      <c r="M44" s="423">
        <f t="shared" ref="M44:BX45" si="36">+M46-L46</f>
        <v>26864</v>
      </c>
      <c r="N44" s="423">
        <f t="shared" si="36"/>
        <v>119270</v>
      </c>
      <c r="O44" s="423">
        <f t="shared" si="36"/>
        <v>83141.41</v>
      </c>
      <c r="P44" s="423">
        <f t="shared" si="36"/>
        <v>61609.899999999994</v>
      </c>
      <c r="Q44" s="423">
        <f t="shared" si="36"/>
        <v>17501.179999999993</v>
      </c>
      <c r="R44" s="423">
        <f t="shared" si="36"/>
        <v>57564.599999999977</v>
      </c>
      <c r="S44" s="423">
        <f t="shared" si="36"/>
        <v>62602.539999999979</v>
      </c>
      <c r="T44" s="424">
        <f t="shared" si="36"/>
        <v>70533.739999999991</v>
      </c>
      <c r="U44" s="425">
        <f t="shared" si="36"/>
        <v>2504.3800000000629</v>
      </c>
      <c r="V44" s="426">
        <f t="shared" si="36"/>
        <v>153851.74</v>
      </c>
      <c r="W44" s="426">
        <f t="shared" si="36"/>
        <v>93487.13</v>
      </c>
      <c r="X44" s="426">
        <f t="shared" si="36"/>
        <v>129759.75</v>
      </c>
      <c r="Y44" s="426">
        <f t="shared" si="36"/>
        <v>265392.16000000003</v>
      </c>
      <c r="Z44" s="426">
        <f t="shared" si="36"/>
        <v>77323.360000000102</v>
      </c>
      <c r="AA44" s="426">
        <f t="shared" si="36"/>
        <v>98862.159999999683</v>
      </c>
      <c r="AB44" s="426">
        <f t="shared" si="36"/>
        <v>110966.01000000024</v>
      </c>
      <c r="AC44" s="426">
        <f t="shared" si="36"/>
        <v>104225.81000000006</v>
      </c>
      <c r="AD44" s="426">
        <f t="shared" si="36"/>
        <v>87681.059999999823</v>
      </c>
      <c r="AE44" s="426">
        <f t="shared" si="36"/>
        <v>87857.550000000047</v>
      </c>
      <c r="AF44" s="426">
        <f t="shared" si="36"/>
        <v>26529.39000000013</v>
      </c>
      <c r="AG44" s="426">
        <f t="shared" si="36"/>
        <v>74531.089999999851</v>
      </c>
      <c r="AH44" s="426">
        <f t="shared" si="36"/>
        <v>63508.669999999925</v>
      </c>
      <c r="AI44" s="426">
        <f t="shared" si="36"/>
        <v>3908.75</v>
      </c>
      <c r="AJ44" s="426">
        <f t="shared" si="36"/>
        <v>39395.370000000112</v>
      </c>
      <c r="AK44" s="426">
        <f t="shared" si="36"/>
        <v>-117505.34000000008</v>
      </c>
      <c r="AL44" s="426">
        <f t="shared" si="36"/>
        <v>27856.560000000056</v>
      </c>
      <c r="AM44" s="426">
        <f t="shared" si="36"/>
        <v>58736.909999999916</v>
      </c>
      <c r="AN44" s="426">
        <f t="shared" si="36"/>
        <v>24534.170000000158</v>
      </c>
      <c r="AO44" s="426">
        <f t="shared" si="36"/>
        <v>27416.320000000065</v>
      </c>
      <c r="AP44" s="426">
        <f t="shared" si="36"/>
        <v>40087.219999999972</v>
      </c>
      <c r="AQ44" s="426">
        <f t="shared" si="36"/>
        <v>65723.079999999842</v>
      </c>
      <c r="AR44" s="426">
        <f t="shared" si="36"/>
        <v>42279.570000000298</v>
      </c>
      <c r="AS44" s="426">
        <f t="shared" si="36"/>
        <v>42916.739999999758</v>
      </c>
      <c r="AT44" s="426">
        <f t="shared" si="36"/>
        <v>5894.1800000001676</v>
      </c>
      <c r="AU44" s="426">
        <f t="shared" si="36"/>
        <v>17238.35999999987</v>
      </c>
      <c r="AV44" s="426">
        <f t="shared" si="36"/>
        <v>59705.459999999963</v>
      </c>
      <c r="AW44" s="426">
        <f t="shared" si="36"/>
        <v>28381.990000000224</v>
      </c>
      <c r="AX44" s="426">
        <f t="shared" si="36"/>
        <v>9764.8500000000931</v>
      </c>
      <c r="AY44" s="426">
        <f t="shared" si="36"/>
        <v>66436.119999999646</v>
      </c>
      <c r="AZ44" s="426">
        <f t="shared" si="36"/>
        <v>4317.9899999997579</v>
      </c>
      <c r="BA44" s="426">
        <f t="shared" si="36"/>
        <v>75388.310000000522</v>
      </c>
      <c r="BB44" s="426">
        <f t="shared" si="36"/>
        <v>77664.5</v>
      </c>
      <c r="BC44" s="426">
        <f t="shared" si="36"/>
        <v>113971.19999999972</v>
      </c>
      <c r="BD44" s="426">
        <f t="shared" si="36"/>
        <v>9662.4900000002235</v>
      </c>
      <c r="BE44" s="426">
        <f t="shared" si="36"/>
        <v>43652.850000000093</v>
      </c>
      <c r="BF44" s="426">
        <f t="shared" si="36"/>
        <v>108869.5299999998</v>
      </c>
      <c r="BG44" s="426">
        <f t="shared" si="36"/>
        <v>2405.7099999999627</v>
      </c>
      <c r="BH44" s="426">
        <f t="shared" si="36"/>
        <v>75003.470000000205</v>
      </c>
      <c r="BI44" s="426">
        <f t="shared" si="36"/>
        <v>61219.85999999987</v>
      </c>
      <c r="BJ44" s="426">
        <f t="shared" si="36"/>
        <v>63308.660000000149</v>
      </c>
      <c r="BK44" s="426">
        <f t="shared" si="36"/>
        <v>49779.099999999627</v>
      </c>
      <c r="BL44" s="426">
        <f t="shared" si="36"/>
        <v>46260.950000000186</v>
      </c>
      <c r="BM44" s="426">
        <f t="shared" si="36"/>
        <v>85450.229999999981</v>
      </c>
      <c r="BN44" s="426">
        <f t="shared" si="36"/>
        <v>81215.049999999814</v>
      </c>
      <c r="BO44" s="426">
        <f t="shared" si="36"/>
        <v>75028.340000000782</v>
      </c>
      <c r="BP44" s="427">
        <f t="shared" si="36"/>
        <v>92707.589999999385</v>
      </c>
      <c r="BQ44" s="425">
        <f t="shared" si="36"/>
        <v>89630.330000000075</v>
      </c>
      <c r="BR44" s="426">
        <f t="shared" si="36"/>
        <v>60892.279999999795</v>
      </c>
      <c r="BS44" s="426">
        <f t="shared" si="36"/>
        <v>184658.08000000007</v>
      </c>
      <c r="BT44" s="426">
        <f t="shared" si="36"/>
        <v>115594.48000000045</v>
      </c>
      <c r="BU44" s="426">
        <f t="shared" si="36"/>
        <v>9246.9400000004098</v>
      </c>
      <c r="BV44" s="426">
        <f t="shared" si="36"/>
        <v>127321.86999999965</v>
      </c>
      <c r="BW44" s="426">
        <f t="shared" si="36"/>
        <v>140171.56000000006</v>
      </c>
      <c r="BX44" s="426">
        <f t="shared" si="36"/>
        <v>324884.9299999997</v>
      </c>
      <c r="BY44" s="426">
        <f t="shared" ref="BY44:EJ45" si="37">+BY46-BX46</f>
        <v>367509.96000000089</v>
      </c>
      <c r="BZ44" s="426">
        <f t="shared" si="37"/>
        <v>212908.97999999858</v>
      </c>
      <c r="CA44" s="426">
        <f t="shared" si="37"/>
        <v>279339.91999999993</v>
      </c>
      <c r="CB44" s="428">
        <f t="shared" si="37"/>
        <v>180167.01000000071</v>
      </c>
      <c r="CC44" s="426">
        <f t="shared" si="37"/>
        <v>333534.04000000004</v>
      </c>
      <c r="CD44" s="426">
        <f t="shared" si="37"/>
        <v>304586.33000000007</v>
      </c>
      <c r="CE44" s="426">
        <f t="shared" si="37"/>
        <v>441675.88000000082</v>
      </c>
      <c r="CF44" s="426">
        <f t="shared" si="37"/>
        <v>266595.75999999978</v>
      </c>
      <c r="CG44" s="426">
        <f t="shared" si="37"/>
        <v>370561.25999999978</v>
      </c>
      <c r="CH44" s="426">
        <f t="shared" si="37"/>
        <v>287950.59999999963</v>
      </c>
      <c r="CI44" s="426">
        <f t="shared" si="37"/>
        <v>342512.51999999955</v>
      </c>
      <c r="CJ44" s="426">
        <f t="shared" si="37"/>
        <v>-105544.02999999933</v>
      </c>
      <c r="CK44" s="426">
        <f t="shared" si="37"/>
        <v>471828.48999999836</v>
      </c>
      <c r="CL44" s="426">
        <f t="shared" si="37"/>
        <v>493184.11000000127</v>
      </c>
      <c r="CM44" s="426">
        <f t="shared" si="37"/>
        <v>70666.14999999851</v>
      </c>
      <c r="CN44" s="426">
        <f t="shared" si="37"/>
        <v>232464.36999999546</v>
      </c>
      <c r="CO44" s="426">
        <f t="shared" si="37"/>
        <v>-132038.85999998264</v>
      </c>
      <c r="CP44" s="426">
        <f t="shared" si="37"/>
        <v>667541.31999998912</v>
      </c>
      <c r="CQ44" s="426">
        <f t="shared" si="37"/>
        <v>355536.46999999881</v>
      </c>
      <c r="CR44" s="426">
        <f t="shared" si="37"/>
        <v>221892.94000000134</v>
      </c>
      <c r="CS44" s="426">
        <f t="shared" si="37"/>
        <v>210307.9299999997</v>
      </c>
      <c r="CT44" s="426">
        <f t="shared" si="37"/>
        <v>142172.40000000037</v>
      </c>
      <c r="CU44" s="426">
        <f t="shared" si="37"/>
        <v>386102.16999999806</v>
      </c>
      <c r="CV44" s="426">
        <f t="shared" si="37"/>
        <v>241168.90000000037</v>
      </c>
      <c r="CW44" s="426">
        <f t="shared" si="37"/>
        <v>551147.23000000231</v>
      </c>
      <c r="CX44" s="426">
        <f t="shared" si="37"/>
        <v>405862.04999999888</v>
      </c>
      <c r="CY44" s="426">
        <f t="shared" si="37"/>
        <v>278707.02000000142</v>
      </c>
      <c r="CZ44" s="426">
        <f t="shared" si="37"/>
        <v>711550.6699999962</v>
      </c>
      <c r="DA44" s="426">
        <f t="shared" si="37"/>
        <v>-831795.08999999799</v>
      </c>
      <c r="DB44" s="426">
        <f t="shared" si="37"/>
        <v>381477.87000000477</v>
      </c>
      <c r="DC44" s="426">
        <f t="shared" si="37"/>
        <v>-14203.750000007451</v>
      </c>
      <c r="DD44" s="426">
        <f t="shared" si="37"/>
        <v>506648.44999999553</v>
      </c>
      <c r="DE44" s="426">
        <f t="shared" si="37"/>
        <v>597103.50999999605</v>
      </c>
      <c r="DF44" s="426">
        <f t="shared" si="37"/>
        <v>551745.65000000596</v>
      </c>
      <c r="DG44" s="426">
        <f t="shared" si="37"/>
        <v>570172.90000000037</v>
      </c>
      <c r="DH44" s="426">
        <f t="shared" si="37"/>
        <v>538855.59000000544</v>
      </c>
      <c r="DI44" s="426">
        <f t="shared" si="37"/>
        <v>628995.33999999426</v>
      </c>
      <c r="DJ44" s="426">
        <f t="shared" si="37"/>
        <v>455510.63999999873</v>
      </c>
      <c r="DK44" s="426">
        <f t="shared" si="37"/>
        <v>728508.60000001267</v>
      </c>
      <c r="DL44" s="426">
        <f t="shared" si="37"/>
        <v>665903.62999999896</v>
      </c>
      <c r="DM44" s="426">
        <f t="shared" si="37"/>
        <v>1395258.3399999738</v>
      </c>
      <c r="DN44" s="426">
        <f t="shared" si="37"/>
        <v>772481.73000001907</v>
      </c>
      <c r="DO44" s="426">
        <f t="shared" si="37"/>
        <v>1437903.3999999911</v>
      </c>
      <c r="DP44" s="426">
        <f t="shared" si="37"/>
        <v>850847.37999998406</v>
      </c>
      <c r="DQ44" s="426">
        <f t="shared" si="37"/>
        <v>1175212.2000000142</v>
      </c>
      <c r="DR44" s="426">
        <f t="shared" si="37"/>
        <v>1685701.0600000359</v>
      </c>
      <c r="DS44" s="426">
        <f t="shared" si="37"/>
        <v>1796217.5799999237</v>
      </c>
      <c r="DT44" s="426">
        <f t="shared" si="37"/>
        <v>1111440.0700000562</v>
      </c>
      <c r="DU44" s="426">
        <f t="shared" si="37"/>
        <v>1989451.0700000264</v>
      </c>
      <c r="DV44" s="426">
        <f t="shared" si="37"/>
        <v>843938.21999998763</v>
      </c>
      <c r="DW44" s="426">
        <f t="shared" si="37"/>
        <v>1772021.1899999753</v>
      </c>
      <c r="DX44" s="426">
        <f t="shared" si="37"/>
        <v>1371618.9200000353</v>
      </c>
      <c r="DY44" s="426">
        <f t="shared" si="37"/>
        <v>-861607.85000001639</v>
      </c>
      <c r="DZ44" s="426">
        <f t="shared" si="37"/>
        <v>1913092.0899999887</v>
      </c>
      <c r="EA44" s="426">
        <f t="shared" si="37"/>
        <v>1610814.6100000143</v>
      </c>
      <c r="EB44" s="426">
        <f t="shared" si="37"/>
        <v>3817878.5099999458</v>
      </c>
      <c r="EC44" s="426">
        <f t="shared" si="37"/>
        <v>1416613.3000001013</v>
      </c>
      <c r="ED44" s="426">
        <f t="shared" si="37"/>
        <v>2286256.5799999908</v>
      </c>
      <c r="EE44" s="426">
        <f t="shared" si="37"/>
        <v>1980313.7199999243</v>
      </c>
      <c r="EF44" s="426">
        <f t="shared" si="37"/>
        <v>828553.58000000566</v>
      </c>
      <c r="EG44" s="426">
        <f t="shared" si="37"/>
        <v>1458702.2100001872</v>
      </c>
      <c r="EH44" s="426">
        <f t="shared" si="37"/>
        <v>-48481628.08000017</v>
      </c>
      <c r="EI44" s="426">
        <f t="shared" si="37"/>
        <v>0</v>
      </c>
      <c r="EJ44" s="426">
        <f t="shared" si="37"/>
        <v>0</v>
      </c>
    </row>
    <row r="45" spans="1:140" s="299" customFormat="1" ht="24" customHeight="1" thickBot="1">
      <c r="A45" s="906"/>
      <c r="B45" s="907"/>
      <c r="C45" s="893"/>
      <c r="D45" s="723" t="s">
        <v>49</v>
      </c>
      <c r="E45" s="724"/>
      <c r="F45" s="725"/>
      <c r="G45" s="725"/>
      <c r="H45" s="726"/>
      <c r="I45" s="727"/>
      <c r="J45" s="725"/>
      <c r="K45" s="429"/>
      <c r="L45" s="430">
        <f>+L47</f>
        <v>11</v>
      </c>
      <c r="M45" s="430">
        <f t="shared" si="36"/>
        <v>15</v>
      </c>
      <c r="N45" s="430">
        <f t="shared" si="36"/>
        <v>60</v>
      </c>
      <c r="O45" s="430">
        <f t="shared" si="36"/>
        <v>41</v>
      </c>
      <c r="P45" s="430">
        <f t="shared" si="36"/>
        <v>32</v>
      </c>
      <c r="Q45" s="430">
        <f t="shared" si="36"/>
        <v>18</v>
      </c>
      <c r="R45" s="430">
        <f t="shared" si="36"/>
        <v>32</v>
      </c>
      <c r="S45" s="430">
        <f t="shared" si="36"/>
        <v>38</v>
      </c>
      <c r="T45" s="431">
        <f t="shared" si="36"/>
        <v>33</v>
      </c>
      <c r="U45" s="432">
        <f t="shared" si="36"/>
        <v>4</v>
      </c>
      <c r="V45" s="433">
        <f t="shared" si="36"/>
        <v>76</v>
      </c>
      <c r="W45" s="433">
        <f t="shared" si="36"/>
        <v>38</v>
      </c>
      <c r="X45" s="433">
        <f t="shared" si="36"/>
        <v>66</v>
      </c>
      <c r="Y45" s="433">
        <f t="shared" si="36"/>
        <v>126</v>
      </c>
      <c r="Z45" s="433">
        <f t="shared" si="36"/>
        <v>44</v>
      </c>
      <c r="AA45" s="433">
        <f t="shared" si="36"/>
        <v>52</v>
      </c>
      <c r="AB45" s="433">
        <f t="shared" si="36"/>
        <v>45</v>
      </c>
      <c r="AC45" s="433">
        <f t="shared" si="36"/>
        <v>47</v>
      </c>
      <c r="AD45" s="433">
        <f t="shared" si="36"/>
        <v>52</v>
      </c>
      <c r="AE45" s="433">
        <f t="shared" si="36"/>
        <v>56</v>
      </c>
      <c r="AF45" s="433">
        <f t="shared" si="36"/>
        <v>19</v>
      </c>
      <c r="AG45" s="433">
        <f t="shared" si="36"/>
        <v>40</v>
      </c>
      <c r="AH45" s="433">
        <f t="shared" si="36"/>
        <v>39</v>
      </c>
      <c r="AI45" s="433">
        <f t="shared" si="36"/>
        <v>24</v>
      </c>
      <c r="AJ45" s="433">
        <f t="shared" si="36"/>
        <v>23</v>
      </c>
      <c r="AK45" s="433">
        <f t="shared" si="36"/>
        <v>-24</v>
      </c>
      <c r="AL45" s="433">
        <f t="shared" si="36"/>
        <v>36</v>
      </c>
      <c r="AM45" s="433">
        <f t="shared" si="36"/>
        <v>41</v>
      </c>
      <c r="AN45" s="433">
        <f>+AN47-AM47</f>
        <v>22</v>
      </c>
      <c r="AO45" s="433">
        <f>+AO47-AN47</f>
        <v>27</v>
      </c>
      <c r="AP45" s="433">
        <f>+AP47-AO47</f>
        <v>17</v>
      </c>
      <c r="AQ45" s="433">
        <f>+AQ47-AP47</f>
        <v>75</v>
      </c>
      <c r="AR45" s="433">
        <f>+AR47-AQ47</f>
        <v>22</v>
      </c>
      <c r="AS45" s="433">
        <f t="shared" si="36"/>
        <v>17</v>
      </c>
      <c r="AT45" s="433">
        <f t="shared" si="36"/>
        <v>9</v>
      </c>
      <c r="AU45" s="433">
        <f t="shared" si="36"/>
        <v>4</v>
      </c>
      <c r="AV45" s="433">
        <f t="shared" si="36"/>
        <v>26</v>
      </c>
      <c r="AW45" s="433">
        <f t="shared" si="36"/>
        <v>8</v>
      </c>
      <c r="AX45" s="433">
        <f t="shared" si="36"/>
        <v>11</v>
      </c>
      <c r="AY45" s="433">
        <f t="shared" si="36"/>
        <v>31</v>
      </c>
      <c r="AZ45" s="433">
        <f t="shared" si="36"/>
        <v>-10</v>
      </c>
      <c r="BA45" s="433">
        <f t="shared" si="36"/>
        <v>39</v>
      </c>
      <c r="BB45" s="433">
        <f t="shared" si="36"/>
        <v>36</v>
      </c>
      <c r="BC45" s="433">
        <f t="shared" si="36"/>
        <v>31</v>
      </c>
      <c r="BD45" s="433">
        <f t="shared" si="36"/>
        <v>12</v>
      </c>
      <c r="BE45" s="433">
        <f t="shared" si="36"/>
        <v>18</v>
      </c>
      <c r="BF45" s="433">
        <f t="shared" si="36"/>
        <v>45</v>
      </c>
      <c r="BG45" s="433">
        <f t="shared" si="36"/>
        <v>17</v>
      </c>
      <c r="BH45" s="433">
        <f t="shared" si="36"/>
        <v>28</v>
      </c>
      <c r="BI45" s="433">
        <f t="shared" si="36"/>
        <v>25</v>
      </c>
      <c r="BJ45" s="433">
        <f t="shared" si="36"/>
        <v>21</v>
      </c>
      <c r="BK45" s="433">
        <f t="shared" si="36"/>
        <v>29</v>
      </c>
      <c r="BL45" s="433">
        <f t="shared" si="36"/>
        <v>18</v>
      </c>
      <c r="BM45" s="433">
        <f t="shared" si="36"/>
        <v>27</v>
      </c>
      <c r="BN45" s="433">
        <f t="shared" si="36"/>
        <v>23</v>
      </c>
      <c r="BO45" s="433">
        <f t="shared" si="36"/>
        <v>19</v>
      </c>
      <c r="BP45" s="434">
        <f t="shared" si="36"/>
        <v>25</v>
      </c>
      <c r="BQ45" s="432">
        <f t="shared" si="36"/>
        <v>26</v>
      </c>
      <c r="BR45" s="433">
        <f t="shared" si="36"/>
        <v>10</v>
      </c>
      <c r="BS45" s="433">
        <f t="shared" si="36"/>
        <v>27</v>
      </c>
      <c r="BT45" s="433">
        <f t="shared" si="36"/>
        <v>30</v>
      </c>
      <c r="BU45" s="433">
        <f t="shared" si="36"/>
        <v>-1</v>
      </c>
      <c r="BV45" s="433">
        <f t="shared" si="36"/>
        <v>26</v>
      </c>
      <c r="BW45" s="433">
        <f t="shared" si="36"/>
        <v>47</v>
      </c>
      <c r="BX45" s="433">
        <f t="shared" si="36"/>
        <v>41</v>
      </c>
      <c r="BY45" s="433">
        <f t="shared" si="37"/>
        <v>55</v>
      </c>
      <c r="BZ45" s="433">
        <f t="shared" si="37"/>
        <v>35</v>
      </c>
      <c r="CA45" s="433">
        <f t="shared" si="37"/>
        <v>35</v>
      </c>
      <c r="CB45" s="435">
        <f t="shared" si="37"/>
        <v>43</v>
      </c>
      <c r="CC45" s="433">
        <f t="shared" si="37"/>
        <v>50</v>
      </c>
      <c r="CD45" s="433">
        <f t="shared" si="37"/>
        <v>46</v>
      </c>
      <c r="CE45" s="433">
        <f t="shared" si="37"/>
        <v>95</v>
      </c>
      <c r="CF45" s="433">
        <f t="shared" si="37"/>
        <v>64</v>
      </c>
      <c r="CG45" s="433">
        <f t="shared" si="37"/>
        <v>80</v>
      </c>
      <c r="CH45" s="433">
        <f t="shared" si="37"/>
        <v>57</v>
      </c>
      <c r="CI45" s="433">
        <f t="shared" si="37"/>
        <v>60</v>
      </c>
      <c r="CJ45" s="433">
        <f t="shared" si="37"/>
        <v>-111</v>
      </c>
      <c r="CK45" s="433">
        <f t="shared" si="37"/>
        <v>89</v>
      </c>
      <c r="CL45" s="433">
        <f t="shared" si="37"/>
        <v>105</v>
      </c>
      <c r="CM45" s="433">
        <f t="shared" si="37"/>
        <v>-53</v>
      </c>
      <c r="CN45" s="433">
        <f t="shared" si="37"/>
        <v>31</v>
      </c>
      <c r="CO45" s="433">
        <f t="shared" si="37"/>
        <v>-83</v>
      </c>
      <c r="CP45" s="433">
        <f t="shared" si="37"/>
        <v>152</v>
      </c>
      <c r="CQ45" s="433">
        <f t="shared" si="37"/>
        <v>69</v>
      </c>
      <c r="CR45" s="433">
        <f t="shared" si="37"/>
        <v>51</v>
      </c>
      <c r="CS45" s="433">
        <f t="shared" si="37"/>
        <v>49</v>
      </c>
      <c r="CT45" s="433">
        <f t="shared" si="37"/>
        <v>46</v>
      </c>
      <c r="CU45" s="433">
        <f t="shared" si="37"/>
        <v>90</v>
      </c>
      <c r="CV45" s="433">
        <f t="shared" si="37"/>
        <v>46</v>
      </c>
      <c r="CW45" s="433">
        <f t="shared" si="37"/>
        <v>83</v>
      </c>
      <c r="CX45" s="433">
        <f t="shared" si="37"/>
        <v>118</v>
      </c>
      <c r="CY45" s="433">
        <f t="shared" si="37"/>
        <v>74</v>
      </c>
      <c r="CZ45" s="433">
        <f t="shared" si="37"/>
        <v>-2254</v>
      </c>
      <c r="DA45" s="433">
        <f t="shared" si="37"/>
        <v>2190</v>
      </c>
      <c r="DB45" s="433">
        <f t="shared" si="37"/>
        <v>75</v>
      </c>
      <c r="DC45" s="433">
        <f t="shared" si="37"/>
        <v>-11</v>
      </c>
      <c r="DD45" s="433">
        <f t="shared" si="37"/>
        <v>118</v>
      </c>
      <c r="DE45" s="433">
        <f t="shared" si="37"/>
        <v>89</v>
      </c>
      <c r="DF45" s="433">
        <f t="shared" si="37"/>
        <v>86</v>
      </c>
      <c r="DG45" s="433">
        <f t="shared" si="37"/>
        <v>104</v>
      </c>
      <c r="DH45" s="433">
        <f t="shared" si="37"/>
        <v>99</v>
      </c>
      <c r="DI45" s="433">
        <f t="shared" si="37"/>
        <v>98</v>
      </c>
      <c r="DJ45" s="433">
        <f t="shared" si="37"/>
        <v>61</v>
      </c>
      <c r="DK45" s="433">
        <f t="shared" si="37"/>
        <v>98</v>
      </c>
      <c r="DL45" s="433">
        <f t="shared" si="37"/>
        <v>115</v>
      </c>
      <c r="DM45" s="433">
        <f t="shared" si="37"/>
        <v>211</v>
      </c>
      <c r="DN45" s="433">
        <f t="shared" si="37"/>
        <v>132</v>
      </c>
      <c r="DO45" s="433">
        <f t="shared" si="37"/>
        <v>181</v>
      </c>
      <c r="DP45" s="433">
        <f t="shared" si="37"/>
        <v>126</v>
      </c>
      <c r="DQ45" s="433">
        <f t="shared" si="37"/>
        <v>146</v>
      </c>
      <c r="DR45" s="433">
        <f t="shared" si="37"/>
        <v>200</v>
      </c>
      <c r="DS45" s="433">
        <f t="shared" si="37"/>
        <v>247</v>
      </c>
      <c r="DT45" s="433">
        <f t="shared" si="37"/>
        <v>123</v>
      </c>
      <c r="DU45" s="433">
        <f t="shared" si="37"/>
        <v>274</v>
      </c>
      <c r="DV45" s="433">
        <f t="shared" si="37"/>
        <v>116</v>
      </c>
      <c r="DW45" s="433">
        <f t="shared" si="37"/>
        <v>218</v>
      </c>
      <c r="DX45" s="433">
        <f t="shared" si="37"/>
        <v>150</v>
      </c>
      <c r="DY45" s="433">
        <f t="shared" si="37"/>
        <v>-110</v>
      </c>
      <c r="DZ45" s="433">
        <f t="shared" si="37"/>
        <v>231</v>
      </c>
      <c r="EA45" s="433">
        <f t="shared" si="37"/>
        <v>249</v>
      </c>
      <c r="EB45" s="433">
        <f t="shared" si="37"/>
        <v>450</v>
      </c>
      <c r="EC45" s="433">
        <f t="shared" si="37"/>
        <v>183</v>
      </c>
      <c r="ED45" s="433">
        <f t="shared" si="37"/>
        <v>240</v>
      </c>
      <c r="EE45" s="433">
        <f t="shared" si="37"/>
        <v>176</v>
      </c>
      <c r="EF45" s="433">
        <f t="shared" si="37"/>
        <v>80</v>
      </c>
      <c r="EG45" s="433">
        <f t="shared" si="37"/>
        <v>163</v>
      </c>
      <c r="EH45" s="433">
        <f t="shared" si="37"/>
        <v>-7992</v>
      </c>
      <c r="EI45" s="433">
        <f t="shared" si="37"/>
        <v>0</v>
      </c>
      <c r="EJ45" s="433">
        <f t="shared" si="37"/>
        <v>0</v>
      </c>
    </row>
    <row r="46" spans="1:140" s="309" customFormat="1" ht="24" customHeight="1">
      <c r="A46" s="906"/>
      <c r="B46" s="907"/>
      <c r="C46" s="880" t="s">
        <v>53</v>
      </c>
      <c r="D46" s="728" t="s">
        <v>48</v>
      </c>
      <c r="E46" s="729"/>
      <c r="F46" s="730"/>
      <c r="G46" s="730"/>
      <c r="H46" s="728"/>
      <c r="I46" s="731">
        <v>0</v>
      </c>
      <c r="J46" s="732">
        <v>0</v>
      </c>
      <c r="K46" s="732">
        <v>0</v>
      </c>
      <c r="L46" s="363">
        <f t="shared" ref="L46:BW49" si="38">+L62+L78+L94</f>
        <v>23461</v>
      </c>
      <c r="M46" s="363">
        <f t="shared" si="38"/>
        <v>50325</v>
      </c>
      <c r="N46" s="363">
        <f t="shared" si="38"/>
        <v>169595</v>
      </c>
      <c r="O46" s="363">
        <f t="shared" si="38"/>
        <v>252736.41</v>
      </c>
      <c r="P46" s="363">
        <f t="shared" si="38"/>
        <v>314346.31</v>
      </c>
      <c r="Q46" s="363">
        <f t="shared" si="38"/>
        <v>331847.49</v>
      </c>
      <c r="R46" s="363">
        <f t="shared" si="38"/>
        <v>389412.08999999997</v>
      </c>
      <c r="S46" s="363">
        <f t="shared" si="38"/>
        <v>452014.62999999995</v>
      </c>
      <c r="T46" s="364">
        <f t="shared" si="38"/>
        <v>522548.36999999994</v>
      </c>
      <c r="U46" s="365">
        <f t="shared" si="38"/>
        <v>525052.75</v>
      </c>
      <c r="V46" s="366">
        <f t="shared" si="38"/>
        <v>678904.49</v>
      </c>
      <c r="W46" s="366">
        <f t="shared" si="38"/>
        <v>772391.62</v>
      </c>
      <c r="X46" s="366">
        <f t="shared" si="38"/>
        <v>902151.37</v>
      </c>
      <c r="Y46" s="366">
        <f t="shared" si="38"/>
        <v>1167543.53</v>
      </c>
      <c r="Z46" s="366">
        <f t="shared" si="38"/>
        <v>1244866.8900000001</v>
      </c>
      <c r="AA46" s="366">
        <f t="shared" si="38"/>
        <v>1343729.0499999998</v>
      </c>
      <c r="AB46" s="366">
        <f t="shared" si="38"/>
        <v>1454695.06</v>
      </c>
      <c r="AC46" s="366">
        <f t="shared" si="38"/>
        <v>1558920.87</v>
      </c>
      <c r="AD46" s="366">
        <f t="shared" si="38"/>
        <v>1646601.93</v>
      </c>
      <c r="AE46" s="366">
        <f t="shared" si="38"/>
        <v>1734459.48</v>
      </c>
      <c r="AF46" s="366">
        <f t="shared" si="38"/>
        <v>1760988.87</v>
      </c>
      <c r="AG46" s="366">
        <f t="shared" si="38"/>
        <v>1835519.96</v>
      </c>
      <c r="AH46" s="366">
        <f t="shared" si="38"/>
        <v>1899028.63</v>
      </c>
      <c r="AI46" s="366">
        <f t="shared" si="38"/>
        <v>1902937.38</v>
      </c>
      <c r="AJ46" s="366">
        <f t="shared" si="38"/>
        <v>1942332.75</v>
      </c>
      <c r="AK46" s="366">
        <f t="shared" si="38"/>
        <v>1824827.41</v>
      </c>
      <c r="AL46" s="366">
        <f t="shared" si="38"/>
        <v>1852683.97</v>
      </c>
      <c r="AM46" s="366">
        <f t="shared" si="38"/>
        <v>1911420.88</v>
      </c>
      <c r="AN46" s="366">
        <f t="shared" si="38"/>
        <v>1935955.05</v>
      </c>
      <c r="AO46" s="366">
        <f t="shared" si="38"/>
        <v>1963371.37</v>
      </c>
      <c r="AP46" s="366">
        <f t="shared" si="38"/>
        <v>2003458.59</v>
      </c>
      <c r="AQ46" s="366">
        <f t="shared" si="38"/>
        <v>2069181.67</v>
      </c>
      <c r="AR46" s="366">
        <f t="shared" si="38"/>
        <v>2111461.2400000002</v>
      </c>
      <c r="AS46" s="366">
        <f t="shared" si="38"/>
        <v>2154377.98</v>
      </c>
      <c r="AT46" s="366">
        <f t="shared" si="38"/>
        <v>2160272.16</v>
      </c>
      <c r="AU46" s="366">
        <f t="shared" si="38"/>
        <v>2177510.52</v>
      </c>
      <c r="AV46" s="366">
        <f t="shared" si="38"/>
        <v>2237215.98</v>
      </c>
      <c r="AW46" s="366">
        <f t="shared" si="38"/>
        <v>2265597.9700000002</v>
      </c>
      <c r="AX46" s="366">
        <f t="shared" si="38"/>
        <v>2275362.8200000003</v>
      </c>
      <c r="AY46" s="366">
        <f t="shared" si="38"/>
        <v>2341798.94</v>
      </c>
      <c r="AZ46" s="366">
        <f t="shared" si="38"/>
        <v>2346116.9299999997</v>
      </c>
      <c r="BA46" s="366">
        <f t="shared" si="38"/>
        <v>2421505.2400000002</v>
      </c>
      <c r="BB46" s="366">
        <f t="shared" si="38"/>
        <v>2499169.7400000002</v>
      </c>
      <c r="BC46" s="366">
        <f t="shared" si="38"/>
        <v>2613140.94</v>
      </c>
      <c r="BD46" s="366">
        <f t="shared" si="38"/>
        <v>2622803.4300000002</v>
      </c>
      <c r="BE46" s="366">
        <f t="shared" si="38"/>
        <v>2666456.2800000003</v>
      </c>
      <c r="BF46" s="366">
        <f t="shared" si="38"/>
        <v>2775325.81</v>
      </c>
      <c r="BG46" s="366">
        <f t="shared" si="38"/>
        <v>2777731.52</v>
      </c>
      <c r="BH46" s="366">
        <f t="shared" si="38"/>
        <v>2852734.99</v>
      </c>
      <c r="BI46" s="366">
        <f t="shared" si="38"/>
        <v>2913954.85</v>
      </c>
      <c r="BJ46" s="366">
        <f t="shared" si="38"/>
        <v>2977263.5100000002</v>
      </c>
      <c r="BK46" s="366">
        <f t="shared" si="38"/>
        <v>3027042.61</v>
      </c>
      <c r="BL46" s="366">
        <f t="shared" si="38"/>
        <v>3073303.56</v>
      </c>
      <c r="BM46" s="366">
        <f t="shared" si="38"/>
        <v>3158753.79</v>
      </c>
      <c r="BN46" s="366">
        <f t="shared" si="38"/>
        <v>3239968.84</v>
      </c>
      <c r="BO46" s="366">
        <f t="shared" si="38"/>
        <v>3314997.1800000006</v>
      </c>
      <c r="BP46" s="436">
        <f t="shared" si="38"/>
        <v>3407704.77</v>
      </c>
      <c r="BQ46" s="365">
        <f t="shared" si="38"/>
        <v>3497335.1</v>
      </c>
      <c r="BR46" s="366">
        <f t="shared" si="38"/>
        <v>3558227.38</v>
      </c>
      <c r="BS46" s="366">
        <f t="shared" si="38"/>
        <v>3742885.46</v>
      </c>
      <c r="BT46" s="366">
        <f t="shared" si="38"/>
        <v>3858479.9400000004</v>
      </c>
      <c r="BU46" s="366">
        <f t="shared" si="38"/>
        <v>3867726.8800000008</v>
      </c>
      <c r="BV46" s="366">
        <f t="shared" si="38"/>
        <v>3995048.7500000005</v>
      </c>
      <c r="BW46" s="366">
        <f t="shared" si="38"/>
        <v>4135220.3100000005</v>
      </c>
      <c r="BX46" s="366">
        <f t="shared" ref="BX46:EI49" si="39">+BX62+BX78+BX94</f>
        <v>4460105.24</v>
      </c>
      <c r="BY46" s="366">
        <f t="shared" si="39"/>
        <v>4827615.2000000011</v>
      </c>
      <c r="BZ46" s="366">
        <f t="shared" si="39"/>
        <v>5040524.18</v>
      </c>
      <c r="CA46" s="366">
        <f t="shared" si="39"/>
        <v>5319864.0999999996</v>
      </c>
      <c r="CB46" s="437">
        <f t="shared" si="39"/>
        <v>5500031.1100000003</v>
      </c>
      <c r="CC46" s="366">
        <f t="shared" si="39"/>
        <v>5833565.1500000004</v>
      </c>
      <c r="CD46" s="366">
        <f t="shared" si="39"/>
        <v>6138151.4800000004</v>
      </c>
      <c r="CE46" s="366">
        <f t="shared" si="39"/>
        <v>6579827.3600000013</v>
      </c>
      <c r="CF46" s="366">
        <f t="shared" si="39"/>
        <v>6846423.120000001</v>
      </c>
      <c r="CG46" s="366">
        <f t="shared" si="39"/>
        <v>7216984.3800000008</v>
      </c>
      <c r="CH46" s="366">
        <f t="shared" si="39"/>
        <v>7504934.9800000004</v>
      </c>
      <c r="CI46" s="366">
        <f t="shared" si="39"/>
        <v>7847447.5</v>
      </c>
      <c r="CJ46" s="366">
        <f t="shared" si="39"/>
        <v>7741903.4700000007</v>
      </c>
      <c r="CK46" s="366">
        <f t="shared" si="39"/>
        <v>8213731.959999999</v>
      </c>
      <c r="CL46" s="366">
        <f t="shared" si="39"/>
        <v>8706916.0700000003</v>
      </c>
      <c r="CM46" s="366">
        <f t="shared" si="39"/>
        <v>8777582.2199999988</v>
      </c>
      <c r="CN46" s="366">
        <f t="shared" si="39"/>
        <v>9010046.5899999943</v>
      </c>
      <c r="CO46" s="366">
        <f t="shared" si="39"/>
        <v>8878007.7300000116</v>
      </c>
      <c r="CP46" s="366">
        <f t="shared" si="39"/>
        <v>9545549.0500000007</v>
      </c>
      <c r="CQ46" s="366">
        <f t="shared" si="39"/>
        <v>9901085.5199999996</v>
      </c>
      <c r="CR46" s="366">
        <f t="shared" si="39"/>
        <v>10122978.460000001</v>
      </c>
      <c r="CS46" s="366">
        <f t="shared" si="39"/>
        <v>10333286.390000001</v>
      </c>
      <c r="CT46" s="366">
        <f t="shared" si="39"/>
        <v>10475458.790000001</v>
      </c>
      <c r="CU46" s="366">
        <f t="shared" si="39"/>
        <v>10861560.959999999</v>
      </c>
      <c r="CV46" s="366">
        <f t="shared" si="39"/>
        <v>11102729.859999999</v>
      </c>
      <c r="CW46" s="366">
        <f t="shared" si="39"/>
        <v>11653877.090000002</v>
      </c>
      <c r="CX46" s="366">
        <f t="shared" si="39"/>
        <v>12059739.140000001</v>
      </c>
      <c r="CY46" s="366">
        <f t="shared" si="39"/>
        <v>12338446.160000002</v>
      </c>
      <c r="CZ46" s="366">
        <f t="shared" si="39"/>
        <v>13049996.829999998</v>
      </c>
      <c r="DA46" s="366">
        <f t="shared" si="39"/>
        <v>12218201.74</v>
      </c>
      <c r="DB46" s="366">
        <f t="shared" si="39"/>
        <v>12599679.610000005</v>
      </c>
      <c r="DC46" s="366">
        <f t="shared" si="39"/>
        <v>12585475.859999998</v>
      </c>
      <c r="DD46" s="366">
        <f t="shared" si="39"/>
        <v>13092124.309999993</v>
      </c>
      <c r="DE46" s="366">
        <f t="shared" si="39"/>
        <v>13689227.819999989</v>
      </c>
      <c r="DF46" s="366">
        <f t="shared" si="39"/>
        <v>14240973.469999995</v>
      </c>
      <c r="DG46" s="366">
        <f t="shared" si="39"/>
        <v>14811146.369999995</v>
      </c>
      <c r="DH46" s="366">
        <f t="shared" si="39"/>
        <v>15350001.960000001</v>
      </c>
      <c r="DI46" s="366">
        <f t="shared" si="39"/>
        <v>15978997.299999995</v>
      </c>
      <c r="DJ46" s="366">
        <f t="shared" si="39"/>
        <v>16434507.939999994</v>
      </c>
      <c r="DK46" s="366">
        <f t="shared" si="39"/>
        <v>17163016.540000007</v>
      </c>
      <c r="DL46" s="366">
        <f t="shared" si="39"/>
        <v>17828920.170000006</v>
      </c>
      <c r="DM46" s="366">
        <f t="shared" si="39"/>
        <v>19224178.509999979</v>
      </c>
      <c r="DN46" s="366">
        <f t="shared" si="39"/>
        <v>19996660.239999998</v>
      </c>
      <c r="DO46" s="366">
        <f t="shared" si="39"/>
        <v>21434563.639999989</v>
      </c>
      <c r="DP46" s="366">
        <f t="shared" si="39"/>
        <v>22285411.019999973</v>
      </c>
      <c r="DQ46" s="366">
        <f t="shared" si="39"/>
        <v>23460623.219999988</v>
      </c>
      <c r="DR46" s="366">
        <f t="shared" si="39"/>
        <v>25146324.280000024</v>
      </c>
      <c r="DS46" s="366">
        <f t="shared" si="39"/>
        <v>26942541.859999947</v>
      </c>
      <c r="DT46" s="366">
        <f t="shared" si="39"/>
        <v>28053981.930000003</v>
      </c>
      <c r="DU46" s="366">
        <f t="shared" si="39"/>
        <v>30043433.00000003</v>
      </c>
      <c r="DV46" s="366">
        <f t="shared" si="39"/>
        <v>30887371.220000017</v>
      </c>
      <c r="DW46" s="366">
        <f t="shared" si="39"/>
        <v>32659392.409999993</v>
      </c>
      <c r="DX46" s="366">
        <f t="shared" si="39"/>
        <v>34031011.330000028</v>
      </c>
      <c r="DY46" s="366">
        <f t="shared" si="39"/>
        <v>33169403.480000012</v>
      </c>
      <c r="DZ46" s="366">
        <f t="shared" si="39"/>
        <v>35082495.57</v>
      </c>
      <c r="EA46" s="366">
        <f t="shared" si="39"/>
        <v>36693310.180000015</v>
      </c>
      <c r="EB46" s="366">
        <f t="shared" si="39"/>
        <v>40511188.68999996</v>
      </c>
      <c r="EC46" s="366">
        <f t="shared" si="39"/>
        <v>41927801.990000062</v>
      </c>
      <c r="ED46" s="366">
        <f t="shared" si="39"/>
        <v>44214058.570000052</v>
      </c>
      <c r="EE46" s="366">
        <f t="shared" si="39"/>
        <v>46194372.289999977</v>
      </c>
      <c r="EF46" s="366">
        <f t="shared" si="39"/>
        <v>47022925.869999982</v>
      </c>
      <c r="EG46" s="366">
        <f t="shared" si="39"/>
        <v>48481628.08000017</v>
      </c>
      <c r="EH46" s="366">
        <f t="shared" si="39"/>
        <v>0</v>
      </c>
      <c r="EI46" s="366">
        <f t="shared" si="39"/>
        <v>0</v>
      </c>
      <c r="EJ46" s="366">
        <f t="shared" ref="EJ46:EU48" si="40">+EJ62+EJ78+EJ94</f>
        <v>0</v>
      </c>
    </row>
    <row r="47" spans="1:140" s="309" customFormat="1" ht="24" customHeight="1" thickBot="1">
      <c r="A47" s="906"/>
      <c r="B47" s="907"/>
      <c r="C47" s="881"/>
      <c r="D47" s="602" t="s">
        <v>49</v>
      </c>
      <c r="E47" s="733"/>
      <c r="F47" s="734"/>
      <c r="G47" s="734"/>
      <c r="H47" s="602"/>
      <c r="I47" s="735">
        <v>0</v>
      </c>
      <c r="J47" s="736">
        <v>0</v>
      </c>
      <c r="K47" s="736">
        <v>0</v>
      </c>
      <c r="L47" s="371">
        <f t="shared" si="38"/>
        <v>11</v>
      </c>
      <c r="M47" s="371">
        <f t="shared" si="38"/>
        <v>26</v>
      </c>
      <c r="N47" s="371">
        <f t="shared" si="38"/>
        <v>86</v>
      </c>
      <c r="O47" s="371">
        <f t="shared" si="38"/>
        <v>127</v>
      </c>
      <c r="P47" s="371">
        <f t="shared" si="38"/>
        <v>159</v>
      </c>
      <c r="Q47" s="371">
        <f t="shared" si="38"/>
        <v>177</v>
      </c>
      <c r="R47" s="371">
        <f t="shared" si="38"/>
        <v>209</v>
      </c>
      <c r="S47" s="371">
        <f t="shared" si="38"/>
        <v>247</v>
      </c>
      <c r="T47" s="372">
        <f t="shared" si="38"/>
        <v>280</v>
      </c>
      <c r="U47" s="373">
        <f t="shared" si="38"/>
        <v>284</v>
      </c>
      <c r="V47" s="438">
        <f t="shared" si="38"/>
        <v>360</v>
      </c>
      <c r="W47" s="438">
        <f t="shared" si="38"/>
        <v>398</v>
      </c>
      <c r="X47" s="438">
        <f t="shared" si="38"/>
        <v>464</v>
      </c>
      <c r="Y47" s="438">
        <f t="shared" si="38"/>
        <v>590</v>
      </c>
      <c r="Z47" s="438">
        <f t="shared" si="38"/>
        <v>634</v>
      </c>
      <c r="AA47" s="438">
        <f t="shared" si="38"/>
        <v>686</v>
      </c>
      <c r="AB47" s="438">
        <f t="shared" si="38"/>
        <v>731</v>
      </c>
      <c r="AC47" s="438">
        <f t="shared" si="38"/>
        <v>778</v>
      </c>
      <c r="AD47" s="438">
        <f t="shared" si="38"/>
        <v>830</v>
      </c>
      <c r="AE47" s="438">
        <f t="shared" si="38"/>
        <v>886</v>
      </c>
      <c r="AF47" s="438">
        <f t="shared" si="38"/>
        <v>905</v>
      </c>
      <c r="AG47" s="438">
        <f t="shared" si="38"/>
        <v>945</v>
      </c>
      <c r="AH47" s="438">
        <f t="shared" si="38"/>
        <v>984</v>
      </c>
      <c r="AI47" s="438">
        <f t="shared" si="38"/>
        <v>1008</v>
      </c>
      <c r="AJ47" s="438">
        <f t="shared" si="38"/>
        <v>1031</v>
      </c>
      <c r="AK47" s="438">
        <f t="shared" si="38"/>
        <v>1007</v>
      </c>
      <c r="AL47" s="438">
        <f t="shared" si="38"/>
        <v>1043</v>
      </c>
      <c r="AM47" s="438">
        <f t="shared" si="38"/>
        <v>1084</v>
      </c>
      <c r="AN47" s="438">
        <f t="shared" si="38"/>
        <v>1106</v>
      </c>
      <c r="AO47" s="438">
        <f t="shared" si="38"/>
        <v>1133</v>
      </c>
      <c r="AP47" s="438">
        <f t="shared" si="38"/>
        <v>1150</v>
      </c>
      <c r="AQ47" s="438">
        <f t="shared" si="38"/>
        <v>1225</v>
      </c>
      <c r="AR47" s="438">
        <f t="shared" si="38"/>
        <v>1247</v>
      </c>
      <c r="AS47" s="438">
        <f t="shared" si="38"/>
        <v>1264</v>
      </c>
      <c r="AT47" s="438">
        <f t="shared" si="38"/>
        <v>1273</v>
      </c>
      <c r="AU47" s="438">
        <f t="shared" si="38"/>
        <v>1277</v>
      </c>
      <c r="AV47" s="438">
        <f t="shared" si="38"/>
        <v>1303</v>
      </c>
      <c r="AW47" s="438">
        <f t="shared" si="38"/>
        <v>1311</v>
      </c>
      <c r="AX47" s="438">
        <f t="shared" si="38"/>
        <v>1322</v>
      </c>
      <c r="AY47" s="438">
        <f t="shared" si="38"/>
        <v>1353</v>
      </c>
      <c r="AZ47" s="438">
        <f t="shared" si="38"/>
        <v>1343</v>
      </c>
      <c r="BA47" s="438">
        <f t="shared" si="38"/>
        <v>1382</v>
      </c>
      <c r="BB47" s="438">
        <f t="shared" si="38"/>
        <v>1418</v>
      </c>
      <c r="BC47" s="438">
        <f t="shared" si="38"/>
        <v>1449</v>
      </c>
      <c r="BD47" s="438">
        <f t="shared" si="38"/>
        <v>1461</v>
      </c>
      <c r="BE47" s="438">
        <f t="shared" si="38"/>
        <v>1479</v>
      </c>
      <c r="BF47" s="438">
        <f t="shared" si="38"/>
        <v>1524</v>
      </c>
      <c r="BG47" s="438">
        <f t="shared" si="38"/>
        <v>1541</v>
      </c>
      <c r="BH47" s="438">
        <f t="shared" si="38"/>
        <v>1569</v>
      </c>
      <c r="BI47" s="438">
        <f t="shared" si="38"/>
        <v>1594</v>
      </c>
      <c r="BJ47" s="438">
        <f t="shared" si="38"/>
        <v>1615</v>
      </c>
      <c r="BK47" s="438">
        <f t="shared" si="38"/>
        <v>1644</v>
      </c>
      <c r="BL47" s="438">
        <f t="shared" si="38"/>
        <v>1662</v>
      </c>
      <c r="BM47" s="438">
        <f t="shared" si="38"/>
        <v>1689</v>
      </c>
      <c r="BN47" s="438">
        <f t="shared" si="38"/>
        <v>1712</v>
      </c>
      <c r="BO47" s="438">
        <f t="shared" si="38"/>
        <v>1731</v>
      </c>
      <c r="BP47" s="439">
        <f t="shared" si="38"/>
        <v>1756</v>
      </c>
      <c r="BQ47" s="373">
        <f t="shared" si="38"/>
        <v>1782</v>
      </c>
      <c r="BR47" s="438">
        <f t="shared" si="38"/>
        <v>1792</v>
      </c>
      <c r="BS47" s="438">
        <f t="shared" si="38"/>
        <v>1819</v>
      </c>
      <c r="BT47" s="438">
        <f t="shared" si="38"/>
        <v>1849</v>
      </c>
      <c r="BU47" s="438">
        <f t="shared" si="38"/>
        <v>1848</v>
      </c>
      <c r="BV47" s="438">
        <f t="shared" si="38"/>
        <v>1874</v>
      </c>
      <c r="BW47" s="438">
        <f t="shared" si="38"/>
        <v>1921</v>
      </c>
      <c r="BX47" s="438">
        <f t="shared" si="39"/>
        <v>1962</v>
      </c>
      <c r="BY47" s="438">
        <f t="shared" si="39"/>
        <v>2017</v>
      </c>
      <c r="BZ47" s="438">
        <f t="shared" si="39"/>
        <v>2052</v>
      </c>
      <c r="CA47" s="438">
        <f t="shared" si="39"/>
        <v>2087</v>
      </c>
      <c r="CB47" s="440">
        <f t="shared" si="39"/>
        <v>2130</v>
      </c>
      <c r="CC47" s="438">
        <f t="shared" si="39"/>
        <v>2180</v>
      </c>
      <c r="CD47" s="438">
        <f t="shared" si="39"/>
        <v>2226</v>
      </c>
      <c r="CE47" s="438">
        <f t="shared" si="39"/>
        <v>2321</v>
      </c>
      <c r="CF47" s="438">
        <f t="shared" si="39"/>
        <v>2385</v>
      </c>
      <c r="CG47" s="438">
        <f t="shared" si="39"/>
        <v>2465</v>
      </c>
      <c r="CH47" s="438">
        <f t="shared" si="39"/>
        <v>2522</v>
      </c>
      <c r="CI47" s="438">
        <f t="shared" si="39"/>
        <v>2582</v>
      </c>
      <c r="CJ47" s="438">
        <f t="shared" si="39"/>
        <v>2471</v>
      </c>
      <c r="CK47" s="438">
        <f t="shared" si="39"/>
        <v>2560</v>
      </c>
      <c r="CL47" s="438">
        <f t="shared" si="39"/>
        <v>2665</v>
      </c>
      <c r="CM47" s="438">
        <f t="shared" si="39"/>
        <v>2612</v>
      </c>
      <c r="CN47" s="438">
        <f t="shared" si="39"/>
        <v>2643</v>
      </c>
      <c r="CO47" s="438">
        <f t="shared" si="39"/>
        <v>2560</v>
      </c>
      <c r="CP47" s="438">
        <f t="shared" si="39"/>
        <v>2712</v>
      </c>
      <c r="CQ47" s="438">
        <f t="shared" si="39"/>
        <v>2781</v>
      </c>
      <c r="CR47" s="438">
        <f t="shared" si="39"/>
        <v>2832</v>
      </c>
      <c r="CS47" s="438">
        <f t="shared" si="39"/>
        <v>2881</v>
      </c>
      <c r="CT47" s="438">
        <f t="shared" si="39"/>
        <v>2927</v>
      </c>
      <c r="CU47" s="438">
        <f t="shared" si="39"/>
        <v>3017</v>
      </c>
      <c r="CV47" s="438">
        <f t="shared" si="39"/>
        <v>3063</v>
      </c>
      <c r="CW47" s="438">
        <f t="shared" si="39"/>
        <v>3146</v>
      </c>
      <c r="CX47" s="438">
        <f t="shared" si="39"/>
        <v>3264</v>
      </c>
      <c r="CY47" s="438">
        <f t="shared" si="39"/>
        <v>3338</v>
      </c>
      <c r="CZ47" s="438">
        <f t="shared" si="39"/>
        <v>1084</v>
      </c>
      <c r="DA47" s="438">
        <f t="shared" si="39"/>
        <v>3274</v>
      </c>
      <c r="DB47" s="438">
        <f t="shared" si="39"/>
        <v>3349</v>
      </c>
      <c r="DC47" s="438">
        <f t="shared" si="39"/>
        <v>3338</v>
      </c>
      <c r="DD47" s="438">
        <f t="shared" si="39"/>
        <v>3456</v>
      </c>
      <c r="DE47" s="438">
        <f t="shared" si="39"/>
        <v>3545</v>
      </c>
      <c r="DF47" s="438">
        <f t="shared" si="39"/>
        <v>3631</v>
      </c>
      <c r="DG47" s="438">
        <f t="shared" si="39"/>
        <v>3735</v>
      </c>
      <c r="DH47" s="438">
        <f t="shared" si="39"/>
        <v>3834</v>
      </c>
      <c r="DI47" s="438">
        <f t="shared" si="39"/>
        <v>3932</v>
      </c>
      <c r="DJ47" s="438">
        <f t="shared" si="39"/>
        <v>3993</v>
      </c>
      <c r="DK47" s="438">
        <f t="shared" si="39"/>
        <v>4091</v>
      </c>
      <c r="DL47" s="438">
        <f t="shared" si="39"/>
        <v>4206</v>
      </c>
      <c r="DM47" s="438">
        <f t="shared" si="39"/>
        <v>4417</v>
      </c>
      <c r="DN47" s="438">
        <f t="shared" si="39"/>
        <v>4549</v>
      </c>
      <c r="DO47" s="438">
        <f t="shared" si="39"/>
        <v>4730</v>
      </c>
      <c r="DP47" s="438">
        <f t="shared" si="39"/>
        <v>4856</v>
      </c>
      <c r="DQ47" s="438">
        <f t="shared" si="39"/>
        <v>5002</v>
      </c>
      <c r="DR47" s="438">
        <f t="shared" si="39"/>
        <v>5202</v>
      </c>
      <c r="DS47" s="438">
        <f t="shared" si="39"/>
        <v>5449</v>
      </c>
      <c r="DT47" s="438">
        <f t="shared" si="39"/>
        <v>5572</v>
      </c>
      <c r="DU47" s="438">
        <f t="shared" si="39"/>
        <v>5846</v>
      </c>
      <c r="DV47" s="438">
        <f t="shared" si="39"/>
        <v>5962</v>
      </c>
      <c r="DW47" s="438">
        <f t="shared" si="39"/>
        <v>6180</v>
      </c>
      <c r="DX47" s="438">
        <f t="shared" si="39"/>
        <v>6330</v>
      </c>
      <c r="DY47" s="438">
        <f t="shared" si="39"/>
        <v>6220</v>
      </c>
      <c r="DZ47" s="438">
        <f t="shared" si="39"/>
        <v>6451</v>
      </c>
      <c r="EA47" s="438">
        <f t="shared" si="39"/>
        <v>6700</v>
      </c>
      <c r="EB47" s="438">
        <f t="shared" si="39"/>
        <v>7150</v>
      </c>
      <c r="EC47" s="438">
        <f t="shared" si="39"/>
        <v>7333</v>
      </c>
      <c r="ED47" s="438">
        <f t="shared" si="39"/>
        <v>7573</v>
      </c>
      <c r="EE47" s="438">
        <f t="shared" si="39"/>
        <v>7749</v>
      </c>
      <c r="EF47" s="438">
        <f t="shared" si="39"/>
        <v>7829</v>
      </c>
      <c r="EG47" s="438">
        <f t="shared" si="39"/>
        <v>7992</v>
      </c>
      <c r="EH47" s="438">
        <f t="shared" si="39"/>
        <v>0</v>
      </c>
      <c r="EI47" s="438">
        <f t="shared" si="39"/>
        <v>0</v>
      </c>
      <c r="EJ47" s="438">
        <f t="shared" si="40"/>
        <v>0</v>
      </c>
    </row>
    <row r="48" spans="1:140" s="301" customFormat="1" ht="24" customHeight="1">
      <c r="A48" s="906"/>
      <c r="B48" s="907"/>
      <c r="C48" s="894" t="s">
        <v>54</v>
      </c>
      <c r="D48" s="704" t="s">
        <v>48</v>
      </c>
      <c r="E48" s="705"/>
      <c r="F48" s="706"/>
      <c r="G48" s="706"/>
      <c r="H48" s="707"/>
      <c r="I48" s="413">
        <f t="shared" ref="I48:X54" si="41">+I64+I80+I96</f>
        <v>10735443.35</v>
      </c>
      <c r="J48" s="413">
        <f t="shared" si="41"/>
        <v>10575276.02</v>
      </c>
      <c r="K48" s="413">
        <f t="shared" si="41"/>
        <v>10478890.82</v>
      </c>
      <c r="L48" s="413">
        <f t="shared" si="38"/>
        <v>10278391.35</v>
      </c>
      <c r="M48" s="413">
        <f t="shared" si="38"/>
        <v>10118551.119999999</v>
      </c>
      <c r="N48" s="413">
        <f t="shared" si="38"/>
        <v>10456386.48</v>
      </c>
      <c r="O48" s="413">
        <f t="shared" si="38"/>
        <v>10816094.9</v>
      </c>
      <c r="P48" s="413">
        <f t="shared" si="38"/>
        <v>11843624.789999999</v>
      </c>
      <c r="Q48" s="413">
        <f t="shared" si="38"/>
        <v>12286568.550000001</v>
      </c>
      <c r="R48" s="413">
        <f t="shared" si="38"/>
        <v>13021372.050000001</v>
      </c>
      <c r="S48" s="413">
        <f t="shared" si="38"/>
        <v>13582133.129999999</v>
      </c>
      <c r="T48" s="414">
        <f t="shared" si="38"/>
        <v>13194177.32</v>
      </c>
      <c r="U48" s="415">
        <f t="shared" si="38"/>
        <v>13581689.02</v>
      </c>
      <c r="V48" s="416">
        <f t="shared" si="38"/>
        <v>13769155.34</v>
      </c>
      <c r="W48" s="416">
        <f t="shared" si="38"/>
        <v>13605403.32</v>
      </c>
      <c r="X48" s="416">
        <f t="shared" si="38"/>
        <v>13908795.289999999</v>
      </c>
      <c r="Y48" s="416">
        <f t="shared" si="38"/>
        <v>13887186.899999999</v>
      </c>
      <c r="Z48" s="416">
        <f t="shared" si="38"/>
        <v>14052260.719999999</v>
      </c>
      <c r="AA48" s="416">
        <f t="shared" si="38"/>
        <v>13884694.93</v>
      </c>
      <c r="AB48" s="416">
        <f t="shared" si="38"/>
        <v>13668044.99</v>
      </c>
      <c r="AC48" s="416">
        <f t="shared" si="38"/>
        <v>13910270.23</v>
      </c>
      <c r="AD48" s="416">
        <f t="shared" si="38"/>
        <v>14342498.439999999</v>
      </c>
      <c r="AE48" s="416">
        <f t="shared" si="38"/>
        <v>15235589.08</v>
      </c>
      <c r="AF48" s="416">
        <f t="shared" si="38"/>
        <v>14762293.550000001</v>
      </c>
      <c r="AG48" s="416">
        <f t="shared" si="38"/>
        <v>14395501.949999999</v>
      </c>
      <c r="AH48" s="416">
        <f t="shared" si="38"/>
        <v>15131220.58</v>
      </c>
      <c r="AI48" s="416">
        <f t="shared" si="38"/>
        <v>14986398.92</v>
      </c>
      <c r="AJ48" s="416">
        <f t="shared" si="38"/>
        <v>14895658.709999999</v>
      </c>
      <c r="AK48" s="416">
        <f t="shared" si="38"/>
        <v>15468287.75</v>
      </c>
      <c r="AL48" s="416">
        <f t="shared" si="38"/>
        <v>15112345.939999992</v>
      </c>
      <c r="AM48" s="416">
        <f t="shared" si="38"/>
        <v>16225640.240000002</v>
      </c>
      <c r="AN48" s="416">
        <f t="shared" si="38"/>
        <v>16264139.540000001</v>
      </c>
      <c r="AO48" s="416">
        <f t="shared" si="38"/>
        <v>15995264.770000003</v>
      </c>
      <c r="AP48" s="416">
        <f t="shared" si="38"/>
        <v>16591463.23</v>
      </c>
      <c r="AQ48" s="416">
        <f t="shared" si="38"/>
        <v>18367741.910000004</v>
      </c>
      <c r="AR48" s="416">
        <f t="shared" si="38"/>
        <v>18421211.710000001</v>
      </c>
      <c r="AS48" s="416">
        <f t="shared" si="38"/>
        <v>18516771.079999998</v>
      </c>
      <c r="AT48" s="416">
        <f t="shared" si="38"/>
        <v>18745156.879999999</v>
      </c>
      <c r="AU48" s="416">
        <f t="shared" si="38"/>
        <v>19407753.509999998</v>
      </c>
      <c r="AV48" s="416">
        <f t="shared" si="38"/>
        <v>19904017.899999999</v>
      </c>
      <c r="AW48" s="416">
        <f t="shared" si="38"/>
        <v>20224769.789999999</v>
      </c>
      <c r="AX48" s="416">
        <f t="shared" si="38"/>
        <v>20580412.149999999</v>
      </c>
      <c r="AY48" s="416">
        <f t="shared" si="38"/>
        <v>22759941.550000001</v>
      </c>
      <c r="AZ48" s="416">
        <f t="shared" si="38"/>
        <v>22916889.09</v>
      </c>
      <c r="BA48" s="416">
        <f t="shared" si="38"/>
        <v>24041777.18</v>
      </c>
      <c r="BB48" s="416">
        <f t="shared" si="38"/>
        <v>23636736.629999999</v>
      </c>
      <c r="BC48" s="416">
        <f t="shared" si="38"/>
        <v>24046572.190000001</v>
      </c>
      <c r="BD48" s="416">
        <f t="shared" si="38"/>
        <v>23752749.16</v>
      </c>
      <c r="BE48" s="416">
        <f t="shared" si="38"/>
        <v>23979658.149999999</v>
      </c>
      <c r="BF48" s="416">
        <f t="shared" si="38"/>
        <v>24361555.43</v>
      </c>
      <c r="BG48" s="416">
        <f t="shared" si="38"/>
        <v>24760653.52</v>
      </c>
      <c r="BH48" s="416">
        <f t="shared" si="38"/>
        <v>24956325.300000001</v>
      </c>
      <c r="BI48" s="416">
        <f t="shared" si="38"/>
        <v>26329986.710000001</v>
      </c>
      <c r="BJ48" s="416">
        <f t="shared" si="38"/>
        <v>27173312.329999998</v>
      </c>
      <c r="BK48" s="416">
        <f t="shared" si="38"/>
        <v>30160831.309999999</v>
      </c>
      <c r="BL48" s="416">
        <f t="shared" si="38"/>
        <v>31098489.100000001</v>
      </c>
      <c r="BM48" s="416">
        <f t="shared" si="38"/>
        <v>35909011.370000005</v>
      </c>
      <c r="BN48" s="416">
        <f t="shared" si="38"/>
        <v>37542131.829999998</v>
      </c>
      <c r="BO48" s="416">
        <f t="shared" si="38"/>
        <v>39329488.560000002</v>
      </c>
      <c r="BP48" s="417">
        <f t="shared" si="38"/>
        <v>39371666.859999999</v>
      </c>
      <c r="BQ48" s="415">
        <f t="shared" si="38"/>
        <v>39247333.149999999</v>
      </c>
      <c r="BR48" s="416">
        <f t="shared" si="38"/>
        <v>39891274.900000006</v>
      </c>
      <c r="BS48" s="416">
        <f t="shared" si="38"/>
        <v>40631359.920000002</v>
      </c>
      <c r="BT48" s="416">
        <f t="shared" si="38"/>
        <v>43575559.210000001</v>
      </c>
      <c r="BU48" s="416">
        <f t="shared" si="38"/>
        <v>46295701.740000002</v>
      </c>
      <c r="BV48" s="416">
        <f t="shared" si="38"/>
        <v>48750349.680000007</v>
      </c>
      <c r="BW48" s="416">
        <f t="shared" si="38"/>
        <v>53532416.939999998</v>
      </c>
      <c r="BX48" s="416">
        <f t="shared" si="39"/>
        <v>59439398.109999999</v>
      </c>
      <c r="BY48" s="416">
        <f t="shared" si="39"/>
        <v>66600646.32</v>
      </c>
      <c r="BZ48" s="416">
        <f t="shared" si="39"/>
        <v>71447958.449999988</v>
      </c>
      <c r="CA48" s="416">
        <f t="shared" si="39"/>
        <v>75436389.419999987</v>
      </c>
      <c r="CB48" s="418">
        <f t="shared" si="39"/>
        <v>75481982.609999999</v>
      </c>
      <c r="CC48" s="416">
        <f t="shared" si="39"/>
        <v>77679628.039999992</v>
      </c>
      <c r="CD48" s="416">
        <f t="shared" si="39"/>
        <v>77496497.709999993</v>
      </c>
      <c r="CE48" s="416">
        <f t="shared" si="39"/>
        <v>84634863.900000006</v>
      </c>
      <c r="CF48" s="416">
        <f t="shared" si="39"/>
        <v>93597217.819999993</v>
      </c>
      <c r="CG48" s="416">
        <f t="shared" si="39"/>
        <v>101689212.2</v>
      </c>
      <c r="CH48" s="416">
        <f t="shared" si="39"/>
        <v>112357728.45</v>
      </c>
      <c r="CI48" s="416">
        <f t="shared" si="39"/>
        <v>122676678.58</v>
      </c>
      <c r="CJ48" s="416">
        <f t="shared" si="39"/>
        <v>129229617.89000002</v>
      </c>
      <c r="CK48" s="416">
        <f t="shared" si="39"/>
        <v>137597941.77000001</v>
      </c>
      <c r="CL48" s="416">
        <f t="shared" si="39"/>
        <v>138312535.70999998</v>
      </c>
      <c r="CM48" s="416">
        <f t="shared" si="39"/>
        <v>135202565.13999999</v>
      </c>
      <c r="CN48" s="416">
        <f t="shared" si="39"/>
        <v>130414400.66</v>
      </c>
      <c r="CO48" s="416">
        <f t="shared" si="39"/>
        <v>125486849.19</v>
      </c>
      <c r="CP48" s="416">
        <f t="shared" si="39"/>
        <v>130492019.66</v>
      </c>
      <c r="CQ48" s="416">
        <f t="shared" si="39"/>
        <v>131816424.12000002</v>
      </c>
      <c r="CR48" s="416">
        <f t="shared" si="39"/>
        <v>130658296.84</v>
      </c>
      <c r="CS48" s="416">
        <f t="shared" si="39"/>
        <v>131084713.66999999</v>
      </c>
      <c r="CT48" s="416">
        <f t="shared" si="39"/>
        <v>130793075.04000002</v>
      </c>
      <c r="CU48" s="416">
        <f t="shared" si="39"/>
        <v>139044779.90000001</v>
      </c>
      <c r="CV48" s="416">
        <f t="shared" si="39"/>
        <v>139307821.97999999</v>
      </c>
      <c r="CW48" s="416">
        <f t="shared" si="39"/>
        <v>143448728.78999999</v>
      </c>
      <c r="CX48" s="416">
        <f t="shared" si="39"/>
        <v>151541431.63999999</v>
      </c>
      <c r="CY48" s="416">
        <f t="shared" si="39"/>
        <v>150666599.50999999</v>
      </c>
      <c r="CZ48" s="416">
        <f t="shared" si="39"/>
        <v>142922398.79000002</v>
      </c>
      <c r="DA48" s="416">
        <f t="shared" si="39"/>
        <v>140713311.94</v>
      </c>
      <c r="DB48" s="416">
        <f t="shared" si="39"/>
        <v>145342323.69</v>
      </c>
      <c r="DC48" s="416">
        <f t="shared" si="39"/>
        <v>146642790.17000002</v>
      </c>
      <c r="DD48" s="416">
        <f t="shared" si="39"/>
        <v>150242672.66</v>
      </c>
      <c r="DE48" s="416">
        <f t="shared" si="39"/>
        <v>155982861.22999999</v>
      </c>
      <c r="DF48" s="416">
        <f t="shared" si="39"/>
        <v>154428146.28</v>
      </c>
      <c r="DG48" s="416">
        <f t="shared" si="39"/>
        <v>160082661.88000003</v>
      </c>
      <c r="DH48" s="416">
        <f t="shared" si="39"/>
        <v>152256484.37</v>
      </c>
      <c r="DI48" s="416">
        <f t="shared" si="39"/>
        <v>156162258.14999998</v>
      </c>
      <c r="DJ48" s="416">
        <f t="shared" si="39"/>
        <v>158011742.77999997</v>
      </c>
      <c r="DK48" s="416">
        <f t="shared" si="39"/>
        <v>155271386.90999997</v>
      </c>
      <c r="DL48" s="416">
        <f t="shared" si="39"/>
        <v>159488756.75</v>
      </c>
      <c r="DM48" s="416">
        <f t="shared" si="39"/>
        <v>163225252.98000002</v>
      </c>
      <c r="DN48" s="416">
        <f t="shared" si="39"/>
        <v>166946666.38</v>
      </c>
      <c r="DO48" s="416">
        <f t="shared" si="39"/>
        <v>178962106.20999998</v>
      </c>
      <c r="DP48" s="416">
        <f t="shared" si="39"/>
        <v>179619200.13</v>
      </c>
      <c r="DQ48" s="416">
        <f t="shared" si="39"/>
        <v>189955161.49000001</v>
      </c>
      <c r="DR48" s="416">
        <f t="shared" si="39"/>
        <v>190974351.64000002</v>
      </c>
      <c r="DS48" s="416">
        <f t="shared" si="39"/>
        <v>195443357.41999999</v>
      </c>
      <c r="DT48" s="416">
        <f t="shared" si="39"/>
        <v>194261461.80000001</v>
      </c>
      <c r="DU48" s="416">
        <f t="shared" si="39"/>
        <v>200442906.22</v>
      </c>
      <c r="DV48" s="416">
        <f t="shared" si="39"/>
        <v>202612550.01999998</v>
      </c>
      <c r="DW48" s="416">
        <f t="shared" si="39"/>
        <v>204593122.03999999</v>
      </c>
      <c r="DX48" s="416">
        <f t="shared" si="39"/>
        <v>196746399.42000002</v>
      </c>
      <c r="DY48" s="416">
        <f t="shared" si="39"/>
        <v>188131720.59999999</v>
      </c>
      <c r="DZ48" s="416">
        <f t="shared" si="39"/>
        <v>191645302.91</v>
      </c>
      <c r="EA48" s="416">
        <f t="shared" si="39"/>
        <v>200045768.56999999</v>
      </c>
      <c r="EB48" s="416">
        <f t="shared" si="39"/>
        <v>206540538.81999999</v>
      </c>
      <c r="EC48" s="416">
        <f t="shared" si="39"/>
        <v>204893872.35000002</v>
      </c>
      <c r="ED48" s="416">
        <f t="shared" si="39"/>
        <v>201614767.66000003</v>
      </c>
      <c r="EE48" s="416">
        <f t="shared" si="39"/>
        <v>206545402.31999999</v>
      </c>
      <c r="EF48" s="416">
        <f t="shared" si="39"/>
        <v>202522670.76000002</v>
      </c>
      <c r="EG48" s="416">
        <f t="shared" si="39"/>
        <v>213962088.56999999</v>
      </c>
      <c r="EH48" s="416">
        <f t="shared" si="39"/>
        <v>0</v>
      </c>
      <c r="EI48" s="416">
        <f t="shared" si="39"/>
        <v>0</v>
      </c>
      <c r="EJ48" s="416">
        <f t="shared" si="40"/>
        <v>0</v>
      </c>
    </row>
    <row r="49" spans="1:140" s="301" customFormat="1" ht="24" customHeight="1">
      <c r="A49" s="906"/>
      <c r="B49" s="907"/>
      <c r="C49" s="895"/>
      <c r="D49" s="709" t="s">
        <v>49</v>
      </c>
      <c r="E49" s="710"/>
      <c r="F49" s="711"/>
      <c r="G49" s="711"/>
      <c r="H49" s="712"/>
      <c r="I49" s="441">
        <f t="shared" si="41"/>
        <v>7380</v>
      </c>
      <c r="J49" s="441">
        <f t="shared" si="41"/>
        <v>7235</v>
      </c>
      <c r="K49" s="441">
        <f t="shared" si="41"/>
        <v>7195</v>
      </c>
      <c r="L49" s="441">
        <f t="shared" si="38"/>
        <v>7040</v>
      </c>
      <c r="M49" s="441">
        <f t="shared" si="38"/>
        <v>6831</v>
      </c>
      <c r="N49" s="441">
        <f t="shared" si="38"/>
        <v>7001</v>
      </c>
      <c r="O49" s="441">
        <f t="shared" si="38"/>
        <v>7058</v>
      </c>
      <c r="P49" s="441">
        <f t="shared" si="38"/>
        <v>7653</v>
      </c>
      <c r="Q49" s="441">
        <f t="shared" si="38"/>
        <v>7832</v>
      </c>
      <c r="R49" s="441">
        <f t="shared" si="38"/>
        <v>8220</v>
      </c>
      <c r="S49" s="441">
        <f t="shared" si="38"/>
        <v>8398</v>
      </c>
      <c r="T49" s="442">
        <f t="shared" si="38"/>
        <v>8024</v>
      </c>
      <c r="U49" s="443">
        <f t="shared" si="38"/>
        <v>8476</v>
      </c>
      <c r="V49" s="444">
        <f t="shared" si="38"/>
        <v>8327</v>
      </c>
      <c r="W49" s="444">
        <f t="shared" si="38"/>
        <v>8034</v>
      </c>
      <c r="X49" s="444">
        <f t="shared" si="38"/>
        <v>8123</v>
      </c>
      <c r="Y49" s="444">
        <f t="shared" si="38"/>
        <v>8086</v>
      </c>
      <c r="Z49" s="444">
        <f t="shared" si="38"/>
        <v>8253</v>
      </c>
      <c r="AA49" s="444">
        <f t="shared" si="38"/>
        <v>7775</v>
      </c>
      <c r="AB49" s="444">
        <f t="shared" si="38"/>
        <v>7352</v>
      </c>
      <c r="AC49" s="444">
        <f t="shared" si="38"/>
        <v>7227</v>
      </c>
      <c r="AD49" s="444">
        <f t="shared" si="38"/>
        <v>7244</v>
      </c>
      <c r="AE49" s="444">
        <f t="shared" si="38"/>
        <v>7715</v>
      </c>
      <c r="AF49" s="444">
        <f t="shared" si="38"/>
        <v>7446</v>
      </c>
      <c r="AG49" s="444">
        <f t="shared" si="38"/>
        <v>7223</v>
      </c>
      <c r="AH49" s="444">
        <f t="shared" si="38"/>
        <v>7614</v>
      </c>
      <c r="AI49" s="444">
        <f t="shared" si="38"/>
        <v>7825</v>
      </c>
      <c r="AJ49" s="444">
        <f t="shared" si="38"/>
        <v>7454</v>
      </c>
      <c r="AK49" s="444">
        <f t="shared" si="38"/>
        <v>7934</v>
      </c>
      <c r="AL49" s="444">
        <f t="shared" si="38"/>
        <v>8409</v>
      </c>
      <c r="AM49" s="444">
        <f t="shared" si="38"/>
        <v>9366</v>
      </c>
      <c r="AN49" s="444">
        <f t="shared" si="38"/>
        <v>9213</v>
      </c>
      <c r="AO49" s="444">
        <f t="shared" si="38"/>
        <v>8861</v>
      </c>
      <c r="AP49" s="444">
        <f t="shared" si="38"/>
        <v>9264</v>
      </c>
      <c r="AQ49" s="444">
        <f t="shared" si="38"/>
        <v>11836</v>
      </c>
      <c r="AR49" s="444">
        <f t="shared" si="38"/>
        <v>12384</v>
      </c>
      <c r="AS49" s="444">
        <f t="shared" si="38"/>
        <v>12152</v>
      </c>
      <c r="AT49" s="444">
        <f t="shared" si="38"/>
        <v>12008</v>
      </c>
      <c r="AU49" s="444">
        <f t="shared" si="38"/>
        <v>12254</v>
      </c>
      <c r="AV49" s="444">
        <f t="shared" si="38"/>
        <v>12178</v>
      </c>
      <c r="AW49" s="444">
        <f t="shared" si="38"/>
        <v>12297</v>
      </c>
      <c r="AX49" s="444">
        <f t="shared" si="38"/>
        <v>12397</v>
      </c>
      <c r="AY49" s="444">
        <f t="shared" si="38"/>
        <v>13538</v>
      </c>
      <c r="AZ49" s="444">
        <f t="shared" si="38"/>
        <v>13744</v>
      </c>
      <c r="BA49" s="444">
        <f t="shared" si="38"/>
        <v>14621</v>
      </c>
      <c r="BB49" s="444">
        <f t="shared" si="38"/>
        <v>14382</v>
      </c>
      <c r="BC49" s="444">
        <f t="shared" si="38"/>
        <v>14456</v>
      </c>
      <c r="BD49" s="444">
        <f t="shared" si="38"/>
        <v>13952</v>
      </c>
      <c r="BE49" s="444">
        <f t="shared" si="38"/>
        <v>14199</v>
      </c>
      <c r="BF49" s="444">
        <f t="shared" si="38"/>
        <v>14534</v>
      </c>
      <c r="BG49" s="444">
        <f t="shared" si="38"/>
        <v>14511</v>
      </c>
      <c r="BH49" s="444">
        <f t="shared" si="38"/>
        <v>14994</v>
      </c>
      <c r="BI49" s="444">
        <f t="shared" si="38"/>
        <v>15476</v>
      </c>
      <c r="BJ49" s="444">
        <f t="shared" si="38"/>
        <v>16948.01772</v>
      </c>
      <c r="BK49" s="444">
        <f t="shared" si="38"/>
        <v>17064</v>
      </c>
      <c r="BL49" s="444">
        <f t="shared" si="38"/>
        <v>17716</v>
      </c>
      <c r="BM49" s="444">
        <f t="shared" si="38"/>
        <v>20039</v>
      </c>
      <c r="BN49" s="444">
        <f t="shared" si="38"/>
        <v>19601</v>
      </c>
      <c r="BO49" s="444">
        <f t="shared" si="38"/>
        <v>20146</v>
      </c>
      <c r="BP49" s="445">
        <f t="shared" si="38"/>
        <v>19993</v>
      </c>
      <c r="BQ49" s="443">
        <f t="shared" si="38"/>
        <v>19652</v>
      </c>
      <c r="BR49" s="444">
        <f t="shared" si="38"/>
        <v>19556</v>
      </c>
      <c r="BS49" s="444">
        <f t="shared" si="38"/>
        <v>19669</v>
      </c>
      <c r="BT49" s="444">
        <f t="shared" si="38"/>
        <v>20451</v>
      </c>
      <c r="BU49" s="444">
        <f t="shared" si="38"/>
        <v>21502</v>
      </c>
      <c r="BV49" s="444">
        <f t="shared" si="38"/>
        <v>21886</v>
      </c>
      <c r="BW49" s="444">
        <f>+BW65+BW81+BW97</f>
        <v>23135</v>
      </c>
      <c r="BX49" s="444">
        <f t="shared" si="39"/>
        <v>24510</v>
      </c>
      <c r="BY49" s="444">
        <f t="shared" si="39"/>
        <v>27180</v>
      </c>
      <c r="BZ49" s="444">
        <f t="shared" si="39"/>
        <v>28718</v>
      </c>
      <c r="CA49" s="444">
        <f t="shared" si="39"/>
        <v>30045</v>
      </c>
      <c r="CB49" s="446">
        <f t="shared" si="39"/>
        <v>29651</v>
      </c>
      <c r="CC49" s="444">
        <f t="shared" si="39"/>
        <v>30131</v>
      </c>
      <c r="CD49" s="444">
        <f t="shared" si="39"/>
        <v>29717</v>
      </c>
      <c r="CE49" s="444">
        <f t="shared" si="39"/>
        <v>32049</v>
      </c>
      <c r="CF49" s="444">
        <f t="shared" si="39"/>
        <v>35159</v>
      </c>
      <c r="CG49" s="444">
        <f t="shared" si="39"/>
        <v>37772</v>
      </c>
      <c r="CH49" s="444">
        <f t="shared" si="39"/>
        <v>41377</v>
      </c>
      <c r="CI49" s="444">
        <f t="shared" si="39"/>
        <v>44461</v>
      </c>
      <c r="CJ49" s="444">
        <f t="shared" si="39"/>
        <v>46991</v>
      </c>
      <c r="CK49" s="444">
        <f t="shared" si="39"/>
        <v>49647</v>
      </c>
      <c r="CL49" s="444">
        <f t="shared" si="39"/>
        <v>50111</v>
      </c>
      <c r="CM49" s="444">
        <f t="shared" si="39"/>
        <v>44766</v>
      </c>
      <c r="CN49" s="444">
        <f t="shared" si="39"/>
        <v>39941</v>
      </c>
      <c r="CO49" s="444">
        <f t="shared" si="39"/>
        <v>37641</v>
      </c>
      <c r="CP49" s="444">
        <f t="shared" si="39"/>
        <v>39145</v>
      </c>
      <c r="CQ49" s="444">
        <f t="shared" si="39"/>
        <v>37993</v>
      </c>
      <c r="CR49" s="444">
        <f t="shared" si="39"/>
        <v>37626</v>
      </c>
      <c r="CS49" s="444">
        <f t="shared" si="39"/>
        <v>37361</v>
      </c>
      <c r="CT49" s="444">
        <f t="shared" si="39"/>
        <v>37721</v>
      </c>
      <c r="CU49" s="444">
        <f t="shared" si="39"/>
        <v>39517</v>
      </c>
      <c r="CV49" s="444">
        <f t="shared" si="39"/>
        <v>39462</v>
      </c>
      <c r="CW49" s="444">
        <f t="shared" si="39"/>
        <v>40419</v>
      </c>
      <c r="CX49" s="444">
        <f t="shared" si="39"/>
        <v>41989</v>
      </c>
      <c r="CY49" s="444">
        <f t="shared" si="39"/>
        <v>40892</v>
      </c>
      <c r="CZ49" s="444">
        <f t="shared" si="39"/>
        <v>32889</v>
      </c>
      <c r="DA49" s="444">
        <f t="shared" si="39"/>
        <v>33557</v>
      </c>
      <c r="DB49" s="444">
        <f t="shared" si="39"/>
        <v>33648</v>
      </c>
      <c r="DC49" s="444">
        <f t="shared" si="39"/>
        <v>33305</v>
      </c>
      <c r="DD49" s="444">
        <f t="shared" si="39"/>
        <v>34026</v>
      </c>
      <c r="DE49" s="444">
        <f t="shared" si="39"/>
        <v>34665</v>
      </c>
      <c r="DF49" s="444">
        <f t="shared" si="39"/>
        <v>33664</v>
      </c>
      <c r="DG49" s="444">
        <f t="shared" si="39"/>
        <v>34523</v>
      </c>
      <c r="DH49" s="444">
        <f t="shared" si="39"/>
        <v>32904</v>
      </c>
      <c r="DI49" s="444">
        <f t="shared" si="39"/>
        <v>33266</v>
      </c>
      <c r="DJ49" s="444">
        <f t="shared" si="39"/>
        <v>33281</v>
      </c>
      <c r="DK49" s="444">
        <f t="shared" si="39"/>
        <v>32468</v>
      </c>
      <c r="DL49" s="444">
        <f t="shared" si="39"/>
        <v>32390</v>
      </c>
      <c r="DM49" s="444">
        <f t="shared" si="39"/>
        <v>32093</v>
      </c>
      <c r="DN49" s="444">
        <f t="shared" si="39"/>
        <v>32315</v>
      </c>
      <c r="DO49" s="444">
        <f t="shared" si="39"/>
        <v>34012</v>
      </c>
      <c r="DP49" s="444">
        <f t="shared" si="39"/>
        <v>34243</v>
      </c>
      <c r="DQ49" s="444">
        <f t="shared" si="39"/>
        <v>35940</v>
      </c>
      <c r="DR49" s="444">
        <f t="shared" si="39"/>
        <v>35726</v>
      </c>
      <c r="DS49" s="444">
        <f t="shared" si="39"/>
        <v>36402</v>
      </c>
      <c r="DT49" s="444">
        <f t="shared" si="39"/>
        <v>36081</v>
      </c>
      <c r="DU49" s="444">
        <f t="shared" si="39"/>
        <v>36956</v>
      </c>
      <c r="DV49" s="444">
        <f t="shared" si="39"/>
        <v>36985</v>
      </c>
      <c r="DW49" s="444">
        <f t="shared" si="39"/>
        <v>37116</v>
      </c>
      <c r="DX49" s="444">
        <f t="shared" si="39"/>
        <v>35608</v>
      </c>
      <c r="DY49" s="444">
        <f t="shared" si="39"/>
        <v>33566</v>
      </c>
      <c r="DZ49" s="444">
        <f t="shared" si="39"/>
        <v>33583</v>
      </c>
      <c r="EA49" s="444">
        <f t="shared" si="39"/>
        <v>34570</v>
      </c>
      <c r="EB49" s="444">
        <f t="shared" si="39"/>
        <v>35592</v>
      </c>
      <c r="EC49" s="444">
        <f t="shared" si="39"/>
        <v>35601</v>
      </c>
      <c r="ED49" s="444">
        <f t="shared" si="39"/>
        <v>34883</v>
      </c>
      <c r="EE49" s="444">
        <f t="shared" si="39"/>
        <v>35739</v>
      </c>
      <c r="EF49" s="444">
        <f t="shared" si="39"/>
        <v>34971</v>
      </c>
      <c r="EG49" s="444">
        <f t="shared" si="39"/>
        <v>36702</v>
      </c>
      <c r="EH49" s="444">
        <f t="shared" si="39"/>
        <v>0</v>
      </c>
      <c r="EI49" s="444">
        <f t="shared" ref="EI49:ET49" si="42">+EI65+EI81+EI97</f>
        <v>0</v>
      </c>
      <c r="EJ49" s="444">
        <f t="shared" si="42"/>
        <v>0</v>
      </c>
    </row>
    <row r="50" spans="1:140" s="301" customFormat="1" ht="24" customHeight="1">
      <c r="A50" s="906"/>
      <c r="B50" s="907"/>
      <c r="C50" s="920" t="s">
        <v>55</v>
      </c>
      <c r="D50" s="737" t="s">
        <v>48</v>
      </c>
      <c r="E50" s="738"/>
      <c r="F50" s="739"/>
      <c r="G50" s="739"/>
      <c r="H50" s="740"/>
      <c r="I50" s="447">
        <f t="shared" si="41"/>
        <v>10735443.35</v>
      </c>
      <c r="J50" s="447">
        <f t="shared" si="41"/>
        <v>10575276.02</v>
      </c>
      <c r="K50" s="447">
        <f t="shared" si="41"/>
        <v>10478890.82</v>
      </c>
      <c r="L50" s="447">
        <f t="shared" si="41"/>
        <v>10254930.35</v>
      </c>
      <c r="M50" s="447">
        <f t="shared" si="41"/>
        <v>10068226.119999999</v>
      </c>
      <c r="N50" s="447">
        <f t="shared" si="41"/>
        <v>10286791.48</v>
      </c>
      <c r="O50" s="447">
        <f t="shared" si="41"/>
        <v>10563358.49</v>
      </c>
      <c r="P50" s="447">
        <f t="shared" si="41"/>
        <v>11529278.48</v>
      </c>
      <c r="Q50" s="447">
        <f t="shared" si="41"/>
        <v>11954721.060000001</v>
      </c>
      <c r="R50" s="447">
        <f t="shared" si="41"/>
        <v>12631959.960000001</v>
      </c>
      <c r="S50" s="447">
        <f t="shared" si="41"/>
        <v>13130118.5</v>
      </c>
      <c r="T50" s="448">
        <f t="shared" si="41"/>
        <v>12671628.949999999</v>
      </c>
      <c r="U50" s="449">
        <f t="shared" si="41"/>
        <v>13056636.27</v>
      </c>
      <c r="V50" s="450">
        <f t="shared" si="41"/>
        <v>13090250.85</v>
      </c>
      <c r="W50" s="450">
        <f t="shared" si="41"/>
        <v>12833011.699999999</v>
      </c>
      <c r="X50" s="450">
        <f t="shared" si="41"/>
        <v>13006643.92</v>
      </c>
      <c r="Y50" s="450">
        <f t="shared" ref="Y50:BX54" si="43">+Y66+Y82+Y98</f>
        <v>12719643.369999999</v>
      </c>
      <c r="Z50" s="450">
        <f t="shared" ref="Z50:CK50" si="44">+Z48-Z46</f>
        <v>12807393.829999998</v>
      </c>
      <c r="AA50" s="450">
        <f t="shared" si="44"/>
        <v>12540965.879999999</v>
      </c>
      <c r="AB50" s="450">
        <f t="shared" si="44"/>
        <v>12213349.93</v>
      </c>
      <c r="AC50" s="450">
        <f t="shared" si="44"/>
        <v>12351349.359999999</v>
      </c>
      <c r="AD50" s="450">
        <f t="shared" si="44"/>
        <v>12695896.51</v>
      </c>
      <c r="AE50" s="450">
        <f t="shared" si="44"/>
        <v>13501129.6</v>
      </c>
      <c r="AF50" s="450">
        <f t="shared" si="44"/>
        <v>13001304.68</v>
      </c>
      <c r="AG50" s="450">
        <f t="shared" si="44"/>
        <v>12559981.989999998</v>
      </c>
      <c r="AH50" s="450">
        <f t="shared" si="44"/>
        <v>13232191.949999999</v>
      </c>
      <c r="AI50" s="450">
        <f t="shared" si="44"/>
        <v>13083461.539999999</v>
      </c>
      <c r="AJ50" s="450">
        <f t="shared" si="44"/>
        <v>12953325.959999999</v>
      </c>
      <c r="AK50" s="450">
        <f t="shared" si="44"/>
        <v>13643460.34</v>
      </c>
      <c r="AL50" s="450">
        <f t="shared" si="44"/>
        <v>13259661.969999991</v>
      </c>
      <c r="AM50" s="450">
        <f t="shared" si="44"/>
        <v>14314219.360000003</v>
      </c>
      <c r="AN50" s="450">
        <f t="shared" si="44"/>
        <v>14328184.49</v>
      </c>
      <c r="AO50" s="450">
        <f t="shared" si="44"/>
        <v>14031893.400000002</v>
      </c>
      <c r="AP50" s="450">
        <f t="shared" si="44"/>
        <v>14588004.640000001</v>
      </c>
      <c r="AQ50" s="450">
        <f t="shared" si="44"/>
        <v>16298560.240000004</v>
      </c>
      <c r="AR50" s="450">
        <f t="shared" si="44"/>
        <v>16309750.470000001</v>
      </c>
      <c r="AS50" s="450">
        <f t="shared" si="44"/>
        <v>16362393.099999998</v>
      </c>
      <c r="AT50" s="450">
        <f t="shared" si="44"/>
        <v>16584884.719999999</v>
      </c>
      <c r="AU50" s="450">
        <f t="shared" si="44"/>
        <v>17230242.989999998</v>
      </c>
      <c r="AV50" s="450">
        <f t="shared" si="44"/>
        <v>17666801.919999998</v>
      </c>
      <c r="AW50" s="450">
        <f t="shared" si="44"/>
        <v>17959171.82</v>
      </c>
      <c r="AX50" s="450">
        <f t="shared" si="44"/>
        <v>18305049.329999998</v>
      </c>
      <c r="AY50" s="450">
        <f t="shared" si="44"/>
        <v>20418142.609999999</v>
      </c>
      <c r="AZ50" s="450">
        <f t="shared" si="44"/>
        <v>20570772.16</v>
      </c>
      <c r="BA50" s="450">
        <f t="shared" si="44"/>
        <v>21620271.939999998</v>
      </c>
      <c r="BB50" s="450">
        <f t="shared" si="44"/>
        <v>21137566.890000001</v>
      </c>
      <c r="BC50" s="450">
        <f t="shared" si="44"/>
        <v>21433431.25</v>
      </c>
      <c r="BD50" s="450">
        <f t="shared" si="44"/>
        <v>21129945.73</v>
      </c>
      <c r="BE50" s="450">
        <f t="shared" si="44"/>
        <v>21313201.869999997</v>
      </c>
      <c r="BF50" s="450">
        <f t="shared" si="44"/>
        <v>21586229.620000001</v>
      </c>
      <c r="BG50" s="450">
        <f t="shared" si="44"/>
        <v>21982922</v>
      </c>
      <c r="BH50" s="450">
        <f t="shared" si="44"/>
        <v>22103590.310000002</v>
      </c>
      <c r="BI50" s="450">
        <f t="shared" si="44"/>
        <v>23416031.859999999</v>
      </c>
      <c r="BJ50" s="450">
        <f t="shared" si="44"/>
        <v>24196048.819999997</v>
      </c>
      <c r="BK50" s="450">
        <f t="shared" si="44"/>
        <v>27133788.699999999</v>
      </c>
      <c r="BL50" s="450">
        <f t="shared" si="44"/>
        <v>28025185.540000003</v>
      </c>
      <c r="BM50" s="450">
        <f t="shared" si="44"/>
        <v>32750257.580000006</v>
      </c>
      <c r="BN50" s="450">
        <f t="shared" si="44"/>
        <v>34302162.989999995</v>
      </c>
      <c r="BO50" s="450">
        <f t="shared" si="44"/>
        <v>36014491.380000003</v>
      </c>
      <c r="BP50" s="451">
        <f t="shared" si="44"/>
        <v>35963962.089999996</v>
      </c>
      <c r="BQ50" s="449">
        <f t="shared" si="44"/>
        <v>35749998.049999997</v>
      </c>
      <c r="BR50" s="450">
        <f t="shared" si="44"/>
        <v>36333047.520000003</v>
      </c>
      <c r="BS50" s="450">
        <f t="shared" si="44"/>
        <v>36888474.460000001</v>
      </c>
      <c r="BT50" s="450">
        <f t="shared" si="44"/>
        <v>39717079.270000003</v>
      </c>
      <c r="BU50" s="450">
        <f t="shared" si="44"/>
        <v>42427974.859999999</v>
      </c>
      <c r="BV50" s="450">
        <f t="shared" si="44"/>
        <v>44755300.930000007</v>
      </c>
      <c r="BW50" s="450">
        <f t="shared" si="44"/>
        <v>49397196.629999995</v>
      </c>
      <c r="BX50" s="450">
        <f t="shared" si="44"/>
        <v>54979292.869999997</v>
      </c>
      <c r="BY50" s="450">
        <f t="shared" si="44"/>
        <v>61773031.119999997</v>
      </c>
      <c r="BZ50" s="450">
        <f t="shared" si="44"/>
        <v>66407434.269999988</v>
      </c>
      <c r="CA50" s="450">
        <f t="shared" si="44"/>
        <v>70116525.319999993</v>
      </c>
      <c r="CB50" s="452">
        <f t="shared" si="44"/>
        <v>69981951.5</v>
      </c>
      <c r="CC50" s="450">
        <f t="shared" si="44"/>
        <v>71846062.889999986</v>
      </c>
      <c r="CD50" s="450">
        <f t="shared" si="44"/>
        <v>71358346.229999989</v>
      </c>
      <c r="CE50" s="450">
        <f t="shared" si="44"/>
        <v>78055036.540000007</v>
      </c>
      <c r="CF50" s="450">
        <f t="shared" si="44"/>
        <v>86750794.699999988</v>
      </c>
      <c r="CG50" s="450">
        <f t="shared" si="44"/>
        <v>94472227.820000008</v>
      </c>
      <c r="CH50" s="450">
        <f t="shared" si="44"/>
        <v>104852793.47</v>
      </c>
      <c r="CI50" s="450">
        <f t="shared" si="44"/>
        <v>114829231.08</v>
      </c>
      <c r="CJ50" s="450">
        <f t="shared" si="44"/>
        <v>121487714.42000002</v>
      </c>
      <c r="CK50" s="450">
        <f t="shared" si="44"/>
        <v>129384209.81000002</v>
      </c>
      <c r="CL50" s="450">
        <f t="shared" ref="CL50:EJ50" si="45">+CL48-CL46</f>
        <v>129605619.63999999</v>
      </c>
      <c r="CM50" s="450">
        <f t="shared" si="45"/>
        <v>126424982.91999999</v>
      </c>
      <c r="CN50" s="450">
        <f t="shared" si="45"/>
        <v>121404354.07000001</v>
      </c>
      <c r="CO50" s="450">
        <f t="shared" si="45"/>
        <v>116608841.45999998</v>
      </c>
      <c r="CP50" s="450">
        <f t="shared" si="45"/>
        <v>120946470.61</v>
      </c>
      <c r="CQ50" s="450">
        <f t="shared" si="45"/>
        <v>121915338.60000002</v>
      </c>
      <c r="CR50" s="450">
        <f t="shared" si="45"/>
        <v>120535318.38</v>
      </c>
      <c r="CS50" s="450">
        <f t="shared" si="45"/>
        <v>120751427.27999999</v>
      </c>
      <c r="CT50" s="450">
        <f t="shared" si="45"/>
        <v>120317616.25000001</v>
      </c>
      <c r="CU50" s="450">
        <f t="shared" si="45"/>
        <v>128183218.94000001</v>
      </c>
      <c r="CV50" s="450">
        <f t="shared" si="45"/>
        <v>128205092.11999999</v>
      </c>
      <c r="CW50" s="450">
        <f t="shared" si="45"/>
        <v>131794851.69999999</v>
      </c>
      <c r="CX50" s="450">
        <f t="shared" si="45"/>
        <v>139481692.5</v>
      </c>
      <c r="CY50" s="450">
        <f t="shared" si="45"/>
        <v>138328153.34999999</v>
      </c>
      <c r="CZ50" s="450">
        <f t="shared" si="45"/>
        <v>129872401.96000002</v>
      </c>
      <c r="DA50" s="450">
        <f t="shared" si="45"/>
        <v>128495110.2</v>
      </c>
      <c r="DB50" s="450">
        <f t="shared" si="45"/>
        <v>132742644.08</v>
      </c>
      <c r="DC50" s="450">
        <f t="shared" si="45"/>
        <v>134057314.31000002</v>
      </c>
      <c r="DD50" s="450">
        <f t="shared" si="45"/>
        <v>137150548.34999999</v>
      </c>
      <c r="DE50" s="450">
        <f t="shared" si="45"/>
        <v>142293633.41</v>
      </c>
      <c r="DF50" s="450">
        <f t="shared" si="45"/>
        <v>140187172.81</v>
      </c>
      <c r="DG50" s="450">
        <f t="shared" si="45"/>
        <v>145271515.51000002</v>
      </c>
      <c r="DH50" s="450">
        <f t="shared" si="45"/>
        <v>136906482.41</v>
      </c>
      <c r="DI50" s="450">
        <f t="shared" si="45"/>
        <v>140183260.84999999</v>
      </c>
      <c r="DJ50" s="450">
        <f t="shared" si="45"/>
        <v>141577234.83999997</v>
      </c>
      <c r="DK50" s="450">
        <f t="shared" si="45"/>
        <v>138108370.36999995</v>
      </c>
      <c r="DL50" s="450">
        <f t="shared" si="45"/>
        <v>141659836.57999998</v>
      </c>
      <c r="DM50" s="450">
        <f t="shared" si="45"/>
        <v>144001074.47000003</v>
      </c>
      <c r="DN50" s="450">
        <f t="shared" si="45"/>
        <v>146950006.13999999</v>
      </c>
      <c r="DO50" s="450">
        <f t="shared" si="45"/>
        <v>157527542.56999999</v>
      </c>
      <c r="DP50" s="450">
        <f t="shared" si="45"/>
        <v>157333789.11000001</v>
      </c>
      <c r="DQ50" s="450">
        <f t="shared" si="45"/>
        <v>166494538.27000001</v>
      </c>
      <c r="DR50" s="450">
        <f t="shared" si="45"/>
        <v>165828027.35999998</v>
      </c>
      <c r="DS50" s="450">
        <f t="shared" si="45"/>
        <v>168500815.56000003</v>
      </c>
      <c r="DT50" s="450">
        <f t="shared" si="45"/>
        <v>166207479.87</v>
      </c>
      <c r="DU50" s="450">
        <f t="shared" si="45"/>
        <v>170399473.21999997</v>
      </c>
      <c r="DV50" s="450">
        <f t="shared" si="45"/>
        <v>171725178.79999995</v>
      </c>
      <c r="DW50" s="450">
        <f t="shared" si="45"/>
        <v>171933729.63</v>
      </c>
      <c r="DX50" s="450">
        <f t="shared" si="45"/>
        <v>162715388.08999997</v>
      </c>
      <c r="DY50" s="450">
        <f t="shared" si="45"/>
        <v>154962317.11999997</v>
      </c>
      <c r="DZ50" s="450">
        <f t="shared" si="45"/>
        <v>156562807.34</v>
      </c>
      <c r="EA50" s="450">
        <f t="shared" si="45"/>
        <v>163352458.38999999</v>
      </c>
      <c r="EB50" s="450">
        <f t="shared" si="45"/>
        <v>166029350.13000003</v>
      </c>
      <c r="EC50" s="450">
        <f t="shared" si="45"/>
        <v>162966070.35999995</v>
      </c>
      <c r="ED50" s="450">
        <f t="shared" si="45"/>
        <v>157400709.08999997</v>
      </c>
      <c r="EE50" s="450">
        <f t="shared" si="45"/>
        <v>160351030.03000003</v>
      </c>
      <c r="EF50" s="450">
        <f t="shared" si="45"/>
        <v>155499744.89000005</v>
      </c>
      <c r="EG50" s="450">
        <f t="shared" si="45"/>
        <v>165480460.48999983</v>
      </c>
      <c r="EH50" s="450">
        <f t="shared" si="45"/>
        <v>0</v>
      </c>
      <c r="EI50" s="450">
        <f t="shared" si="45"/>
        <v>0</v>
      </c>
      <c r="EJ50" s="450">
        <f t="shared" si="45"/>
        <v>0</v>
      </c>
    </row>
    <row r="51" spans="1:140" s="301" customFormat="1" ht="24" customHeight="1" thickBot="1">
      <c r="A51" s="906"/>
      <c r="B51" s="907"/>
      <c r="C51" s="921"/>
      <c r="D51" s="723" t="s">
        <v>49</v>
      </c>
      <c r="E51" s="741"/>
      <c r="F51" s="742"/>
      <c r="G51" s="742"/>
      <c r="H51" s="743"/>
      <c r="I51" s="453">
        <f t="shared" si="41"/>
        <v>7380</v>
      </c>
      <c r="J51" s="453">
        <f t="shared" si="41"/>
        <v>7235</v>
      </c>
      <c r="K51" s="453">
        <f t="shared" si="41"/>
        <v>7195</v>
      </c>
      <c r="L51" s="453">
        <f t="shared" si="41"/>
        <v>7029</v>
      </c>
      <c r="M51" s="453">
        <f t="shared" si="41"/>
        <v>6805</v>
      </c>
      <c r="N51" s="453">
        <f t="shared" si="41"/>
        <v>6915</v>
      </c>
      <c r="O51" s="453">
        <f t="shared" si="41"/>
        <v>6931</v>
      </c>
      <c r="P51" s="453">
        <f t="shared" si="41"/>
        <v>7494</v>
      </c>
      <c r="Q51" s="453">
        <f t="shared" si="41"/>
        <v>7655</v>
      </c>
      <c r="R51" s="453">
        <f t="shared" si="41"/>
        <v>8011</v>
      </c>
      <c r="S51" s="453">
        <f t="shared" si="41"/>
        <v>8151</v>
      </c>
      <c r="T51" s="454">
        <f t="shared" si="41"/>
        <v>7744</v>
      </c>
      <c r="U51" s="455">
        <f t="shared" si="41"/>
        <v>8192</v>
      </c>
      <c r="V51" s="456">
        <f t="shared" si="41"/>
        <v>7967</v>
      </c>
      <c r="W51" s="456">
        <f t="shared" si="41"/>
        <v>7636</v>
      </c>
      <c r="X51" s="456">
        <f t="shared" si="41"/>
        <v>7659</v>
      </c>
      <c r="Y51" s="456">
        <f t="shared" si="43"/>
        <v>7496</v>
      </c>
      <c r="Z51" s="456">
        <f t="shared" si="43"/>
        <v>7619</v>
      </c>
      <c r="AA51" s="456">
        <f t="shared" si="43"/>
        <v>7089</v>
      </c>
      <c r="AB51" s="456">
        <f t="shared" si="43"/>
        <v>6621</v>
      </c>
      <c r="AC51" s="456">
        <f t="shared" si="43"/>
        <v>6449</v>
      </c>
      <c r="AD51" s="456">
        <f t="shared" si="43"/>
        <v>6414</v>
      </c>
      <c r="AE51" s="456">
        <f t="shared" si="43"/>
        <v>6829</v>
      </c>
      <c r="AF51" s="456">
        <f t="shared" si="43"/>
        <v>6541</v>
      </c>
      <c r="AG51" s="456">
        <f t="shared" si="43"/>
        <v>6278</v>
      </c>
      <c r="AH51" s="456">
        <f t="shared" si="43"/>
        <v>6630</v>
      </c>
      <c r="AI51" s="456">
        <f t="shared" si="43"/>
        <v>6817</v>
      </c>
      <c r="AJ51" s="456">
        <f t="shared" si="43"/>
        <v>6423</v>
      </c>
      <c r="AK51" s="456">
        <f t="shared" si="43"/>
        <v>6927</v>
      </c>
      <c r="AL51" s="456">
        <f t="shared" si="43"/>
        <v>7366</v>
      </c>
      <c r="AM51" s="456">
        <f t="shared" si="43"/>
        <v>8282</v>
      </c>
      <c r="AN51" s="456">
        <f t="shared" si="43"/>
        <v>8107</v>
      </c>
      <c r="AO51" s="456">
        <f t="shared" si="43"/>
        <v>7728</v>
      </c>
      <c r="AP51" s="456">
        <f t="shared" si="43"/>
        <v>8114</v>
      </c>
      <c r="AQ51" s="456">
        <f t="shared" si="43"/>
        <v>10611</v>
      </c>
      <c r="AR51" s="456">
        <f t="shared" si="43"/>
        <v>11137</v>
      </c>
      <c r="AS51" s="456">
        <f t="shared" si="43"/>
        <v>10888</v>
      </c>
      <c r="AT51" s="456">
        <f t="shared" si="43"/>
        <v>10735</v>
      </c>
      <c r="AU51" s="456">
        <f t="shared" si="43"/>
        <v>10977</v>
      </c>
      <c r="AV51" s="456">
        <f t="shared" si="43"/>
        <v>10875</v>
      </c>
      <c r="AW51" s="456">
        <f t="shared" si="43"/>
        <v>10986</v>
      </c>
      <c r="AX51" s="456">
        <f t="shared" si="43"/>
        <v>11075</v>
      </c>
      <c r="AY51" s="456">
        <f t="shared" si="43"/>
        <v>12185</v>
      </c>
      <c r="AZ51" s="456">
        <f t="shared" si="43"/>
        <v>12401</v>
      </c>
      <c r="BA51" s="456">
        <f t="shared" si="43"/>
        <v>13239</v>
      </c>
      <c r="BB51" s="456">
        <f t="shared" si="43"/>
        <v>12964</v>
      </c>
      <c r="BC51" s="456">
        <f t="shared" si="43"/>
        <v>13007</v>
      </c>
      <c r="BD51" s="456">
        <f t="shared" si="43"/>
        <v>12491</v>
      </c>
      <c r="BE51" s="456">
        <f t="shared" si="43"/>
        <v>12720</v>
      </c>
      <c r="BF51" s="456">
        <f t="shared" si="43"/>
        <v>13010</v>
      </c>
      <c r="BG51" s="456">
        <f t="shared" si="43"/>
        <v>12970</v>
      </c>
      <c r="BH51" s="456">
        <f t="shared" si="43"/>
        <v>13425</v>
      </c>
      <c r="BI51" s="456">
        <f t="shared" si="43"/>
        <v>13882</v>
      </c>
      <c r="BJ51" s="456">
        <f t="shared" si="43"/>
        <v>15333.01772</v>
      </c>
      <c r="BK51" s="456">
        <f t="shared" si="43"/>
        <v>15420</v>
      </c>
      <c r="BL51" s="456">
        <f t="shared" si="43"/>
        <v>16054</v>
      </c>
      <c r="BM51" s="456">
        <f t="shared" si="43"/>
        <v>18350</v>
      </c>
      <c r="BN51" s="456">
        <f t="shared" si="43"/>
        <v>17889</v>
      </c>
      <c r="BO51" s="456">
        <f t="shared" si="43"/>
        <v>18415</v>
      </c>
      <c r="BP51" s="457">
        <f t="shared" si="43"/>
        <v>18237</v>
      </c>
      <c r="BQ51" s="455">
        <f t="shared" si="43"/>
        <v>17870</v>
      </c>
      <c r="BR51" s="456">
        <f t="shared" si="43"/>
        <v>17764</v>
      </c>
      <c r="BS51" s="456">
        <f t="shared" si="43"/>
        <v>17850</v>
      </c>
      <c r="BT51" s="456">
        <f t="shared" si="43"/>
        <v>18602</v>
      </c>
      <c r="BU51" s="456">
        <f t="shared" si="43"/>
        <v>19654</v>
      </c>
      <c r="BV51" s="456">
        <f t="shared" si="43"/>
        <v>20012</v>
      </c>
      <c r="BW51" s="456">
        <f t="shared" si="43"/>
        <v>21214</v>
      </c>
      <c r="BX51" s="456">
        <f t="shared" si="43"/>
        <v>22548</v>
      </c>
      <c r="BY51" s="456">
        <f t="shared" ref="BY51:EJ53" si="46">+BY67+BY83+BY99</f>
        <v>25163</v>
      </c>
      <c r="BZ51" s="456">
        <f t="shared" si="46"/>
        <v>26666</v>
      </c>
      <c r="CA51" s="456">
        <f t="shared" si="46"/>
        <v>27958</v>
      </c>
      <c r="CB51" s="458">
        <f t="shared" si="46"/>
        <v>27521</v>
      </c>
      <c r="CC51" s="456">
        <f t="shared" si="46"/>
        <v>27951</v>
      </c>
      <c r="CD51" s="456">
        <f t="shared" si="46"/>
        <v>27491</v>
      </c>
      <c r="CE51" s="456">
        <f t="shared" si="46"/>
        <v>29728</v>
      </c>
      <c r="CF51" s="456">
        <f t="shared" si="46"/>
        <v>32774</v>
      </c>
      <c r="CG51" s="456">
        <f t="shared" si="46"/>
        <v>35307</v>
      </c>
      <c r="CH51" s="456">
        <f t="shared" si="46"/>
        <v>38855</v>
      </c>
      <c r="CI51" s="456">
        <f t="shared" si="46"/>
        <v>41879</v>
      </c>
      <c r="CJ51" s="456">
        <f t="shared" si="46"/>
        <v>44520</v>
      </c>
      <c r="CK51" s="456">
        <f t="shared" si="46"/>
        <v>47087</v>
      </c>
      <c r="CL51" s="456">
        <f t="shared" si="46"/>
        <v>47446</v>
      </c>
      <c r="CM51" s="456">
        <f t="shared" si="46"/>
        <v>42154</v>
      </c>
      <c r="CN51" s="456">
        <f t="shared" si="46"/>
        <v>37298</v>
      </c>
      <c r="CO51" s="456">
        <f t="shared" si="46"/>
        <v>35081</v>
      </c>
      <c r="CP51" s="456">
        <f t="shared" si="46"/>
        <v>36433</v>
      </c>
      <c r="CQ51" s="456">
        <f t="shared" si="46"/>
        <v>35212</v>
      </c>
      <c r="CR51" s="456">
        <f t="shared" si="46"/>
        <v>34794</v>
      </c>
      <c r="CS51" s="456">
        <f t="shared" si="46"/>
        <v>34480</v>
      </c>
      <c r="CT51" s="456">
        <f t="shared" si="46"/>
        <v>34794</v>
      </c>
      <c r="CU51" s="456">
        <f t="shared" si="46"/>
        <v>36500</v>
      </c>
      <c r="CV51" s="456">
        <f t="shared" si="46"/>
        <v>36399</v>
      </c>
      <c r="CW51" s="456">
        <f t="shared" si="46"/>
        <v>37273</v>
      </c>
      <c r="CX51" s="456">
        <f t="shared" si="46"/>
        <v>38725</v>
      </c>
      <c r="CY51" s="456">
        <f t="shared" si="46"/>
        <v>37554</v>
      </c>
      <c r="CZ51" s="456">
        <f t="shared" si="46"/>
        <v>31805</v>
      </c>
      <c r="DA51" s="456">
        <f t="shared" si="46"/>
        <v>30283</v>
      </c>
      <c r="DB51" s="456">
        <f t="shared" si="46"/>
        <v>30299</v>
      </c>
      <c r="DC51" s="456">
        <f t="shared" si="46"/>
        <v>29967</v>
      </c>
      <c r="DD51" s="456">
        <f t="shared" si="46"/>
        <v>30570</v>
      </c>
      <c r="DE51" s="456">
        <f t="shared" si="46"/>
        <v>31120</v>
      </c>
      <c r="DF51" s="456">
        <f t="shared" si="46"/>
        <v>30033</v>
      </c>
      <c r="DG51" s="456">
        <f t="shared" si="46"/>
        <v>30788</v>
      </c>
      <c r="DH51" s="456">
        <f t="shared" si="46"/>
        <v>29070</v>
      </c>
      <c r="DI51" s="456">
        <f t="shared" si="46"/>
        <v>29334</v>
      </c>
      <c r="DJ51" s="456">
        <f t="shared" si="46"/>
        <v>29288</v>
      </c>
      <c r="DK51" s="456">
        <f t="shared" si="46"/>
        <v>28377</v>
      </c>
      <c r="DL51" s="456">
        <f t="shared" si="46"/>
        <v>28184</v>
      </c>
      <c r="DM51" s="456">
        <f t="shared" si="46"/>
        <v>27676</v>
      </c>
      <c r="DN51" s="456">
        <f t="shared" si="46"/>
        <v>27766</v>
      </c>
      <c r="DO51" s="456">
        <f t="shared" si="46"/>
        <v>29282</v>
      </c>
      <c r="DP51" s="456">
        <f t="shared" si="46"/>
        <v>29387</v>
      </c>
      <c r="DQ51" s="456">
        <f t="shared" si="46"/>
        <v>30938</v>
      </c>
      <c r="DR51" s="456">
        <f t="shared" si="46"/>
        <v>30524</v>
      </c>
      <c r="DS51" s="456">
        <f t="shared" si="46"/>
        <v>30953</v>
      </c>
      <c r="DT51" s="456">
        <f t="shared" si="46"/>
        <v>30509</v>
      </c>
      <c r="DU51" s="456">
        <f t="shared" si="46"/>
        <v>31110</v>
      </c>
      <c r="DV51" s="456">
        <f t="shared" si="46"/>
        <v>31023</v>
      </c>
      <c r="DW51" s="456">
        <f t="shared" si="46"/>
        <v>30936</v>
      </c>
      <c r="DX51" s="456">
        <f t="shared" si="46"/>
        <v>29278</v>
      </c>
      <c r="DY51" s="456">
        <f t="shared" si="46"/>
        <v>27346</v>
      </c>
      <c r="DZ51" s="456">
        <f t="shared" si="46"/>
        <v>27132</v>
      </c>
      <c r="EA51" s="456">
        <f t="shared" si="46"/>
        <v>27870</v>
      </c>
      <c r="EB51" s="456">
        <f t="shared" si="46"/>
        <v>28442</v>
      </c>
      <c r="EC51" s="456">
        <f t="shared" si="46"/>
        <v>28268</v>
      </c>
      <c r="ED51" s="456">
        <f t="shared" si="46"/>
        <v>27310</v>
      </c>
      <c r="EE51" s="456">
        <f t="shared" si="46"/>
        <v>27990</v>
      </c>
      <c r="EF51" s="456">
        <f t="shared" si="46"/>
        <v>27142</v>
      </c>
      <c r="EG51" s="456">
        <f t="shared" si="46"/>
        <v>28710</v>
      </c>
      <c r="EH51" s="456">
        <f t="shared" si="46"/>
        <v>0</v>
      </c>
      <c r="EI51" s="456">
        <f t="shared" si="46"/>
        <v>0</v>
      </c>
      <c r="EJ51" s="456">
        <f t="shared" si="46"/>
        <v>0</v>
      </c>
    </row>
    <row r="52" spans="1:140" s="301" customFormat="1" ht="24" customHeight="1">
      <c r="A52" s="906"/>
      <c r="B52" s="907"/>
      <c r="C52" s="898" t="s">
        <v>56</v>
      </c>
      <c r="D52" s="704" t="s">
        <v>48</v>
      </c>
      <c r="E52" s="705"/>
      <c r="F52" s="706"/>
      <c r="G52" s="706"/>
      <c r="H52" s="707"/>
      <c r="I52" s="413">
        <f t="shared" si="41"/>
        <v>1602693.0299999998</v>
      </c>
      <c r="J52" s="413">
        <f t="shared" si="41"/>
        <v>1499670</v>
      </c>
      <c r="K52" s="413">
        <f t="shared" si="41"/>
        <v>1606277</v>
      </c>
      <c r="L52" s="413">
        <f t="shared" si="41"/>
        <v>1622189.95</v>
      </c>
      <c r="M52" s="413">
        <f t="shared" si="41"/>
        <v>1608170</v>
      </c>
      <c r="N52" s="413">
        <f t="shared" si="41"/>
        <v>1513556</v>
      </c>
      <c r="O52" s="413">
        <f t="shared" si="41"/>
        <v>1523127.02</v>
      </c>
      <c r="P52" s="413">
        <f t="shared" si="41"/>
        <v>1552013.5</v>
      </c>
      <c r="Q52" s="413">
        <f t="shared" si="41"/>
        <v>1683347.46</v>
      </c>
      <c r="R52" s="413">
        <f t="shared" si="41"/>
        <v>1692738.73</v>
      </c>
      <c r="S52" s="413">
        <f t="shared" si="41"/>
        <v>2051364.69</v>
      </c>
      <c r="T52" s="414">
        <f t="shared" si="41"/>
        <v>3088833.24</v>
      </c>
      <c r="U52" s="415">
        <f t="shared" si="41"/>
        <v>2684854.9899999998</v>
      </c>
      <c r="V52" s="416">
        <f t="shared" si="41"/>
        <v>2763278.45</v>
      </c>
      <c r="W52" s="416">
        <f t="shared" si="41"/>
        <v>3510822.4</v>
      </c>
      <c r="X52" s="416">
        <f t="shared" si="41"/>
        <v>2918783.81</v>
      </c>
      <c r="Y52" s="416">
        <f t="shared" si="43"/>
        <v>3202519.6399999997</v>
      </c>
      <c r="Z52" s="416">
        <f t="shared" si="43"/>
        <v>2920911.18</v>
      </c>
      <c r="AA52" s="416">
        <f t="shared" si="43"/>
        <v>3097360.16</v>
      </c>
      <c r="AB52" s="416">
        <f t="shared" si="43"/>
        <v>3375230.45</v>
      </c>
      <c r="AC52" s="416">
        <f t="shared" si="43"/>
        <v>2737619.27</v>
      </c>
      <c r="AD52" s="416">
        <f t="shared" si="43"/>
        <v>3249837.29</v>
      </c>
      <c r="AE52" s="416">
        <f t="shared" si="43"/>
        <v>3175766.92</v>
      </c>
      <c r="AF52" s="416">
        <f t="shared" si="43"/>
        <v>2793445.89</v>
      </c>
      <c r="AG52" s="416">
        <f t="shared" si="43"/>
        <v>3126117.04</v>
      </c>
      <c r="AH52" s="416">
        <f t="shared" si="43"/>
        <v>3203520.15</v>
      </c>
      <c r="AI52" s="416">
        <f t="shared" si="43"/>
        <v>3509129.06</v>
      </c>
      <c r="AJ52" s="416">
        <f t="shared" si="43"/>
        <v>3266995.55</v>
      </c>
      <c r="AK52" s="416">
        <f t="shared" si="43"/>
        <v>3223358.63</v>
      </c>
      <c r="AL52" s="416">
        <f t="shared" si="43"/>
        <v>3620034.58</v>
      </c>
      <c r="AM52" s="416">
        <f t="shared" si="43"/>
        <v>2741646.37</v>
      </c>
      <c r="AN52" s="416">
        <f t="shared" si="43"/>
        <v>3426883.01</v>
      </c>
      <c r="AO52" s="416">
        <f t="shared" si="43"/>
        <v>3279841.66</v>
      </c>
      <c r="AP52" s="416">
        <f t="shared" si="43"/>
        <v>3358602.79</v>
      </c>
      <c r="AQ52" s="416">
        <f t="shared" si="43"/>
        <v>3329963</v>
      </c>
      <c r="AR52" s="416">
        <f t="shared" si="43"/>
        <v>3704474.92</v>
      </c>
      <c r="AS52" s="459">
        <f t="shared" si="43"/>
        <v>3420269.09</v>
      </c>
      <c r="AT52" s="459">
        <f t="shared" si="43"/>
        <v>3465094.4000000004</v>
      </c>
      <c r="AU52" s="459">
        <f t="shared" si="43"/>
        <v>3383093.0500000003</v>
      </c>
      <c r="AV52" s="459">
        <f t="shared" si="43"/>
        <v>3478726.63</v>
      </c>
      <c r="AW52" s="459">
        <f t="shared" si="43"/>
        <v>3385971.14</v>
      </c>
      <c r="AX52" s="459">
        <f t="shared" si="43"/>
        <v>3571867.88</v>
      </c>
      <c r="AY52" s="459">
        <f t="shared" si="43"/>
        <v>2707140.7</v>
      </c>
      <c r="AZ52" s="459">
        <f t="shared" si="43"/>
        <v>3759717.9800000004</v>
      </c>
      <c r="BA52" s="459">
        <f t="shared" si="43"/>
        <v>4002822.75</v>
      </c>
      <c r="BB52" s="459">
        <f t="shared" si="43"/>
        <v>4340008.13</v>
      </c>
      <c r="BC52" s="459">
        <f t="shared" si="43"/>
        <v>4057343.41</v>
      </c>
      <c r="BD52" s="459">
        <f t="shared" si="43"/>
        <v>4196637.4000000004</v>
      </c>
      <c r="BE52" s="459">
        <f t="shared" si="43"/>
        <v>4181739.06</v>
      </c>
      <c r="BF52" s="459">
        <f t="shared" si="43"/>
        <v>4210668.47</v>
      </c>
      <c r="BG52" s="459">
        <f t="shared" si="43"/>
        <v>4131713.43</v>
      </c>
      <c r="BH52" s="459">
        <f t="shared" si="43"/>
        <v>4308056.75</v>
      </c>
      <c r="BI52" s="459">
        <f t="shared" si="43"/>
        <v>4526515.92</v>
      </c>
      <c r="BJ52" s="459">
        <f t="shared" si="43"/>
        <v>4621645.05</v>
      </c>
      <c r="BK52" s="459">
        <f t="shared" si="43"/>
        <v>4108523.06</v>
      </c>
      <c r="BL52" s="459">
        <f t="shared" si="43"/>
        <v>4994526.5999999996</v>
      </c>
      <c r="BM52" s="459">
        <f t="shared" si="43"/>
        <v>3831672.86</v>
      </c>
      <c r="BN52" s="459">
        <f t="shared" si="43"/>
        <v>4780113.8899999997</v>
      </c>
      <c r="BO52" s="459">
        <f t="shared" si="43"/>
        <v>5007990.63</v>
      </c>
      <c r="BP52" s="460">
        <f t="shared" si="43"/>
        <v>6540780.4000000004</v>
      </c>
      <c r="BQ52" s="461">
        <f t="shared" si="43"/>
        <v>6519235.8700000001</v>
      </c>
      <c r="BR52" s="459">
        <f t="shared" si="43"/>
        <v>5798183.5299999993</v>
      </c>
      <c r="BS52" s="459">
        <f t="shared" si="43"/>
        <v>6510063.71</v>
      </c>
      <c r="BT52" s="459">
        <f t="shared" si="43"/>
        <v>5913429.7199999997</v>
      </c>
      <c r="BU52" s="459">
        <f t="shared" si="43"/>
        <v>6587461.5499999998</v>
      </c>
      <c r="BV52" s="459">
        <f t="shared" si="43"/>
        <v>7573978.1100000003</v>
      </c>
      <c r="BW52" s="459">
        <f t="shared" si="43"/>
        <v>7011573.0499999998</v>
      </c>
      <c r="BX52" s="459">
        <f t="shared" si="43"/>
        <v>7503989.0800000001</v>
      </c>
      <c r="BY52" s="459">
        <f t="shared" si="46"/>
        <v>7552205.2400000002</v>
      </c>
      <c r="BZ52" s="459">
        <f t="shared" si="46"/>
        <v>9701578.1299999971</v>
      </c>
      <c r="CA52" s="459">
        <f t="shared" si="46"/>
        <v>10037235.85</v>
      </c>
      <c r="CB52" s="462">
        <f t="shared" si="46"/>
        <v>11492105.68</v>
      </c>
      <c r="CC52" s="459">
        <f t="shared" si="46"/>
        <v>10857469.92</v>
      </c>
      <c r="CD52" s="459">
        <f t="shared" si="46"/>
        <v>15526258.49</v>
      </c>
      <c r="CE52" s="459">
        <f t="shared" si="46"/>
        <v>9737632.1799999997</v>
      </c>
      <c r="CF52" s="459">
        <f t="shared" si="46"/>
        <v>10287046.129999999</v>
      </c>
      <c r="CG52" s="459">
        <f t="shared" si="46"/>
        <v>11624896.17</v>
      </c>
      <c r="CH52" s="459">
        <f t="shared" si="46"/>
        <v>10007905.24</v>
      </c>
      <c r="CI52" s="459">
        <f t="shared" si="46"/>
        <v>9204477.75</v>
      </c>
      <c r="CJ52" s="459">
        <f t="shared" si="46"/>
        <v>12763256.710000001</v>
      </c>
      <c r="CK52" s="459">
        <f t="shared" si="46"/>
        <v>12783264.199999999</v>
      </c>
      <c r="CL52" s="459">
        <f t="shared" si="46"/>
        <v>17689825.490000002</v>
      </c>
      <c r="CM52" s="459">
        <f t="shared" si="46"/>
        <v>20927213.920000002</v>
      </c>
      <c r="CN52" s="459">
        <f t="shared" si="46"/>
        <v>21089252.079999998</v>
      </c>
      <c r="CO52" s="459">
        <f t="shared" si="46"/>
        <v>21877144.789999999</v>
      </c>
      <c r="CP52" s="459">
        <f t="shared" si="46"/>
        <v>19414373.630000003</v>
      </c>
      <c r="CQ52" s="459">
        <f t="shared" si="46"/>
        <v>21500589.310000002</v>
      </c>
      <c r="CR52" s="459">
        <f t="shared" si="46"/>
        <v>21532685.219999999</v>
      </c>
      <c r="CS52" s="459">
        <f t="shared" si="46"/>
        <v>21370395.169999987</v>
      </c>
      <c r="CT52" s="459">
        <f t="shared" si="46"/>
        <v>21895585.669999994</v>
      </c>
      <c r="CU52" s="459">
        <f t="shared" si="46"/>
        <v>16906764.140000004</v>
      </c>
      <c r="CV52" s="459">
        <f t="shared" si="46"/>
        <v>21378431.189999968</v>
      </c>
      <c r="CW52" s="459">
        <f t="shared" si="46"/>
        <v>19405739.34</v>
      </c>
      <c r="CX52" s="459">
        <f t="shared" si="46"/>
        <v>17852479.199999977</v>
      </c>
      <c r="CY52" s="459">
        <f t="shared" si="46"/>
        <v>43447685.780000001</v>
      </c>
      <c r="CZ52" s="459">
        <f t="shared" si="46"/>
        <v>9857737.919999985</v>
      </c>
      <c r="DA52" s="459">
        <f t="shared" si="46"/>
        <v>20324751.649999946</v>
      </c>
      <c r="DB52" s="459">
        <f t="shared" si="46"/>
        <v>20322904.639999956</v>
      </c>
      <c r="DC52" s="459">
        <f t="shared" si="46"/>
        <v>19370179.349999964</v>
      </c>
      <c r="DD52" s="459">
        <f t="shared" si="46"/>
        <v>22363512.989999942</v>
      </c>
      <c r="DE52" s="459">
        <f t="shared" si="46"/>
        <v>23928940.969999932</v>
      </c>
      <c r="DF52" s="459">
        <f t="shared" si="46"/>
        <v>23027177.519999944</v>
      </c>
      <c r="DG52" s="459">
        <f t="shared" si="46"/>
        <v>21911259.139999971</v>
      </c>
      <c r="DH52" s="459">
        <f t="shared" si="46"/>
        <v>22808522.039999954</v>
      </c>
      <c r="DI52" s="459">
        <f t="shared" si="46"/>
        <v>23832780.259999953</v>
      </c>
      <c r="DJ52" s="459">
        <f t="shared" si="46"/>
        <v>21837110.979999952</v>
      </c>
      <c r="DK52" s="459">
        <f t="shared" si="46"/>
        <v>22008670.499999952</v>
      </c>
      <c r="DL52" s="459">
        <f t="shared" si="46"/>
        <v>22644705.199999951</v>
      </c>
      <c r="DM52" s="459">
        <f t="shared" si="46"/>
        <v>21053215.129999969</v>
      </c>
      <c r="DN52" s="459">
        <f t="shared" si="46"/>
        <v>21502433.31999997</v>
      </c>
      <c r="DO52" s="459">
        <f t="shared" si="46"/>
        <v>21957844.079999968</v>
      </c>
      <c r="DP52" s="459">
        <f t="shared" si="46"/>
        <v>23656183.399999976</v>
      </c>
      <c r="DQ52" s="459">
        <f t="shared" si="46"/>
        <v>23346470.059999943</v>
      </c>
      <c r="DR52" s="459">
        <f t="shared" si="46"/>
        <v>23944027.959999986</v>
      </c>
      <c r="DS52" s="459">
        <f t="shared" si="46"/>
        <v>25301736.579999968</v>
      </c>
      <c r="DT52" s="459">
        <f t="shared" si="46"/>
        <v>27188910.149999969</v>
      </c>
      <c r="DU52" s="459">
        <f t="shared" si="46"/>
        <v>25605343.129999995</v>
      </c>
      <c r="DV52" s="459">
        <f t="shared" si="46"/>
        <v>25819899.79999993</v>
      </c>
      <c r="DW52" s="459">
        <f t="shared" si="46"/>
        <v>27066275.459999971</v>
      </c>
      <c r="DX52" s="459">
        <f t="shared" si="46"/>
        <v>27209672.049999982</v>
      </c>
      <c r="DY52" s="459">
        <f t="shared" si="46"/>
        <v>26467684.120000031</v>
      </c>
      <c r="DZ52" s="459">
        <f t="shared" si="46"/>
        <v>24962924.009999998</v>
      </c>
      <c r="EA52" s="459">
        <f t="shared" si="46"/>
        <v>26067740.329999991</v>
      </c>
      <c r="EB52" s="459">
        <f t="shared" si="46"/>
        <v>24954809.229999993</v>
      </c>
      <c r="EC52" s="459">
        <f t="shared" si="46"/>
        <v>24338241.200000003</v>
      </c>
      <c r="ED52" s="459">
        <f t="shared" si="46"/>
        <v>25791414.530000001</v>
      </c>
      <c r="EE52" s="459">
        <f t="shared" si="46"/>
        <v>27488081.759999998</v>
      </c>
      <c r="EF52" s="459">
        <f>+EF68+EF84+EF100</f>
        <v>27607287.230000008</v>
      </c>
      <c r="EG52" s="459">
        <f>+EG68+EG84+EG100</f>
        <v>26039173.57</v>
      </c>
      <c r="EH52" s="459">
        <f t="shared" si="46"/>
        <v>0</v>
      </c>
      <c r="EI52" s="459">
        <f t="shared" si="46"/>
        <v>0</v>
      </c>
      <c r="EJ52" s="459">
        <f t="shared" si="46"/>
        <v>0</v>
      </c>
    </row>
    <row r="53" spans="1:140" s="301" customFormat="1" ht="24" customHeight="1" thickBot="1">
      <c r="A53" s="906"/>
      <c r="B53" s="907"/>
      <c r="C53" s="899"/>
      <c r="D53" s="744" t="s">
        <v>49</v>
      </c>
      <c r="E53" s="745"/>
      <c r="F53" s="746"/>
      <c r="G53" s="746"/>
      <c r="H53" s="747"/>
      <c r="I53" s="463">
        <f t="shared" si="41"/>
        <v>1006</v>
      </c>
      <c r="J53" s="463">
        <f t="shared" si="41"/>
        <v>1005</v>
      </c>
      <c r="K53" s="463">
        <f t="shared" si="41"/>
        <v>1090</v>
      </c>
      <c r="L53" s="463">
        <f t="shared" si="41"/>
        <v>1094</v>
      </c>
      <c r="M53" s="463">
        <f t="shared" si="41"/>
        <v>1083</v>
      </c>
      <c r="N53" s="463">
        <f t="shared" si="41"/>
        <v>943</v>
      </c>
      <c r="O53" s="463">
        <f t="shared" si="41"/>
        <v>1082</v>
      </c>
      <c r="P53" s="463">
        <f t="shared" si="41"/>
        <v>1034</v>
      </c>
      <c r="Q53" s="463">
        <f t="shared" si="41"/>
        <v>1125</v>
      </c>
      <c r="R53" s="463">
        <f t="shared" si="41"/>
        <v>975</v>
      </c>
      <c r="S53" s="463">
        <f t="shared" si="41"/>
        <v>1256</v>
      </c>
      <c r="T53" s="464">
        <f t="shared" si="41"/>
        <v>1838</v>
      </c>
      <c r="U53" s="465">
        <f t="shared" si="41"/>
        <v>1520</v>
      </c>
      <c r="V53" s="466">
        <f t="shared" si="41"/>
        <v>1590</v>
      </c>
      <c r="W53" s="466">
        <f t="shared" si="41"/>
        <v>2058</v>
      </c>
      <c r="X53" s="466">
        <f t="shared" si="41"/>
        <v>1809</v>
      </c>
      <c r="Y53" s="466">
        <f t="shared" si="43"/>
        <v>1748</v>
      </c>
      <c r="Z53" s="466">
        <f t="shared" si="43"/>
        <v>1702</v>
      </c>
      <c r="AA53" s="466">
        <f t="shared" si="43"/>
        <v>1612</v>
      </c>
      <c r="AB53" s="466">
        <f t="shared" si="43"/>
        <v>1789</v>
      </c>
      <c r="AC53" s="466">
        <f t="shared" si="43"/>
        <v>1572</v>
      </c>
      <c r="AD53" s="466">
        <f t="shared" si="43"/>
        <v>1575</v>
      </c>
      <c r="AE53" s="466">
        <f t="shared" si="43"/>
        <v>1523</v>
      </c>
      <c r="AF53" s="466">
        <f t="shared" si="43"/>
        <v>1279</v>
      </c>
      <c r="AG53" s="466">
        <f t="shared" si="43"/>
        <v>1473</v>
      </c>
      <c r="AH53" s="466">
        <f t="shared" si="43"/>
        <v>1498</v>
      </c>
      <c r="AI53" s="466">
        <f t="shared" si="43"/>
        <v>1780</v>
      </c>
      <c r="AJ53" s="466">
        <f t="shared" si="43"/>
        <v>1740</v>
      </c>
      <c r="AK53" s="466">
        <f t="shared" si="43"/>
        <v>1573</v>
      </c>
      <c r="AL53" s="466">
        <f t="shared" si="43"/>
        <v>1799</v>
      </c>
      <c r="AM53" s="466">
        <f t="shared" si="43"/>
        <v>1428</v>
      </c>
      <c r="AN53" s="466">
        <f t="shared" si="43"/>
        <v>1875</v>
      </c>
      <c r="AO53" s="466">
        <f t="shared" si="43"/>
        <v>1743</v>
      </c>
      <c r="AP53" s="466">
        <f t="shared" si="43"/>
        <v>1709</v>
      </c>
      <c r="AQ53" s="466">
        <f t="shared" si="43"/>
        <v>1712</v>
      </c>
      <c r="AR53" s="466">
        <f t="shared" si="43"/>
        <v>2036</v>
      </c>
      <c r="AS53" s="466">
        <f t="shared" si="43"/>
        <v>2167</v>
      </c>
      <c r="AT53" s="466">
        <f t="shared" si="43"/>
        <v>2190</v>
      </c>
      <c r="AU53" s="466">
        <f t="shared" si="43"/>
        <v>1870</v>
      </c>
      <c r="AV53" s="466">
        <f t="shared" si="43"/>
        <v>2234</v>
      </c>
      <c r="AW53" s="466">
        <f t="shared" si="43"/>
        <v>1983</v>
      </c>
      <c r="AX53" s="466">
        <f t="shared" si="43"/>
        <v>1932</v>
      </c>
      <c r="AY53" s="466">
        <f t="shared" si="43"/>
        <v>1512</v>
      </c>
      <c r="AZ53" s="466">
        <f t="shared" si="43"/>
        <v>1759</v>
      </c>
      <c r="BA53" s="466">
        <f t="shared" si="43"/>
        <v>2054</v>
      </c>
      <c r="BB53" s="466">
        <f t="shared" si="43"/>
        <v>2313</v>
      </c>
      <c r="BC53" s="466">
        <f t="shared" si="43"/>
        <v>2175</v>
      </c>
      <c r="BD53" s="466">
        <f t="shared" si="43"/>
        <v>2572</v>
      </c>
      <c r="BE53" s="466">
        <f t="shared" si="43"/>
        <v>2065</v>
      </c>
      <c r="BF53" s="466">
        <f t="shared" si="43"/>
        <v>2082</v>
      </c>
      <c r="BG53" s="466">
        <f t="shared" si="43"/>
        <v>2291</v>
      </c>
      <c r="BH53" s="466">
        <f t="shared" si="43"/>
        <v>1814</v>
      </c>
      <c r="BI53" s="466">
        <f t="shared" si="43"/>
        <v>2149</v>
      </c>
      <c r="BJ53" s="466">
        <f t="shared" si="43"/>
        <v>2036</v>
      </c>
      <c r="BK53" s="466">
        <f t="shared" si="43"/>
        <v>2150</v>
      </c>
      <c r="BL53" s="466">
        <f t="shared" si="43"/>
        <v>1891</v>
      </c>
      <c r="BM53" s="466">
        <f t="shared" si="43"/>
        <v>1322</v>
      </c>
      <c r="BN53" s="466">
        <f t="shared" si="43"/>
        <v>2675</v>
      </c>
      <c r="BO53" s="466">
        <f t="shared" si="43"/>
        <v>2197</v>
      </c>
      <c r="BP53" s="467">
        <f t="shared" si="43"/>
        <v>2821</v>
      </c>
      <c r="BQ53" s="465">
        <f t="shared" si="43"/>
        <v>2879</v>
      </c>
      <c r="BR53" s="466">
        <f t="shared" si="43"/>
        <v>2621</v>
      </c>
      <c r="BS53" s="466">
        <f t="shared" si="43"/>
        <v>2620</v>
      </c>
      <c r="BT53" s="466">
        <f t="shared" si="43"/>
        <v>2391</v>
      </c>
      <c r="BU53" s="466">
        <f t="shared" si="43"/>
        <v>2402</v>
      </c>
      <c r="BV53" s="466">
        <f t="shared" si="43"/>
        <v>3393</v>
      </c>
      <c r="BW53" s="466">
        <f t="shared" si="43"/>
        <v>2404</v>
      </c>
      <c r="BX53" s="466">
        <f t="shared" si="43"/>
        <v>3437</v>
      </c>
      <c r="BY53" s="466">
        <f t="shared" si="46"/>
        <v>2621</v>
      </c>
      <c r="BZ53" s="466">
        <f t="shared" si="46"/>
        <v>2941</v>
      </c>
      <c r="CA53" s="466">
        <f t="shared" si="46"/>
        <v>3354</v>
      </c>
      <c r="CB53" s="468">
        <f t="shared" si="46"/>
        <v>3871</v>
      </c>
      <c r="CC53" s="466">
        <f t="shared" si="46"/>
        <v>3525</v>
      </c>
      <c r="CD53" s="466">
        <f t="shared" si="46"/>
        <v>5214</v>
      </c>
      <c r="CE53" s="466">
        <f t="shared" si="46"/>
        <v>2997</v>
      </c>
      <c r="CF53" s="466">
        <f t="shared" si="46"/>
        <v>3420</v>
      </c>
      <c r="CG53" s="466">
        <f t="shared" si="46"/>
        <v>3357</v>
      </c>
      <c r="CH53" s="466">
        <f t="shared" si="46"/>
        <v>2859</v>
      </c>
      <c r="CI53" s="466">
        <f t="shared" si="46"/>
        <v>2702</v>
      </c>
      <c r="CJ53" s="466">
        <f t="shared" si="46"/>
        <v>3490</v>
      </c>
      <c r="CK53" s="466">
        <f t="shared" si="46"/>
        <v>3421</v>
      </c>
      <c r="CL53" s="466">
        <f t="shared" si="46"/>
        <v>4785</v>
      </c>
      <c r="CM53" s="466">
        <f t="shared" si="46"/>
        <v>10412</v>
      </c>
      <c r="CN53" s="466">
        <f t="shared" si="46"/>
        <v>9212</v>
      </c>
      <c r="CO53" s="466">
        <f t="shared" si="46"/>
        <v>6840</v>
      </c>
      <c r="CP53" s="466">
        <f t="shared" si="46"/>
        <v>5483</v>
      </c>
      <c r="CQ53" s="466">
        <f t="shared" si="46"/>
        <v>7510</v>
      </c>
      <c r="CR53" s="466">
        <f t="shared" si="46"/>
        <v>6205</v>
      </c>
      <c r="CS53" s="466">
        <f t="shared" si="46"/>
        <v>6272</v>
      </c>
      <c r="CT53" s="466">
        <f t="shared" si="46"/>
        <v>5728</v>
      </c>
      <c r="CU53" s="466">
        <f t="shared" si="46"/>
        <v>4480</v>
      </c>
      <c r="CV53" s="466">
        <f t="shared" si="46"/>
        <v>5766</v>
      </c>
      <c r="CW53" s="466">
        <f t="shared" si="46"/>
        <v>5331</v>
      </c>
      <c r="CX53" s="466">
        <f t="shared" si="46"/>
        <v>4699</v>
      </c>
      <c r="CY53" s="466">
        <f t="shared" si="46"/>
        <v>5099</v>
      </c>
      <c r="CZ53" s="466">
        <f t="shared" si="46"/>
        <v>10629</v>
      </c>
      <c r="DA53" s="466">
        <f t="shared" si="46"/>
        <v>5565</v>
      </c>
      <c r="DB53" s="466">
        <f t="shared" si="46"/>
        <v>5030</v>
      </c>
      <c r="DC53" s="466">
        <f t="shared" si="46"/>
        <v>4743</v>
      </c>
      <c r="DD53" s="466">
        <f t="shared" si="46"/>
        <v>4785</v>
      </c>
      <c r="DE53" s="466">
        <f t="shared" si="46"/>
        <v>5561</v>
      </c>
      <c r="DF53" s="466">
        <f t="shared" si="46"/>
        <v>5471</v>
      </c>
      <c r="DG53" s="466">
        <f t="shared" si="46"/>
        <v>4721</v>
      </c>
      <c r="DH53" s="466">
        <f t="shared" si="46"/>
        <v>4896</v>
      </c>
      <c r="DI53" s="466">
        <f t="shared" si="46"/>
        <v>4977</v>
      </c>
      <c r="DJ53" s="466">
        <f t="shared" si="46"/>
        <v>4736</v>
      </c>
      <c r="DK53" s="466">
        <f t="shared" si="46"/>
        <v>4879</v>
      </c>
      <c r="DL53" s="466">
        <f t="shared" si="46"/>
        <v>4598</v>
      </c>
      <c r="DM53" s="466">
        <f t="shared" si="46"/>
        <v>4382</v>
      </c>
      <c r="DN53" s="466">
        <f t="shared" si="46"/>
        <v>4488</v>
      </c>
      <c r="DO53" s="466">
        <f t="shared" si="46"/>
        <v>4449</v>
      </c>
      <c r="DP53" s="466">
        <f t="shared" si="46"/>
        <v>4477</v>
      </c>
      <c r="DQ53" s="466">
        <f t="shared" si="46"/>
        <v>4485</v>
      </c>
      <c r="DR53" s="466">
        <f t="shared" si="46"/>
        <v>4629</v>
      </c>
      <c r="DS53" s="466">
        <f t="shared" si="46"/>
        <v>4814</v>
      </c>
      <c r="DT53" s="466">
        <f t="shared" si="46"/>
        <v>5111</v>
      </c>
      <c r="DU53" s="466">
        <f t="shared" si="46"/>
        <v>4889</v>
      </c>
      <c r="DV53" s="466">
        <f t="shared" si="46"/>
        <v>4839</v>
      </c>
      <c r="DW53" s="466">
        <f t="shared" si="46"/>
        <v>5021</v>
      </c>
      <c r="DX53" s="466">
        <f t="shared" si="46"/>
        <v>4945</v>
      </c>
      <c r="DY53" s="466">
        <f t="shared" si="46"/>
        <v>4817</v>
      </c>
      <c r="DZ53" s="466">
        <f t="shared" si="46"/>
        <v>4413</v>
      </c>
      <c r="EA53" s="466">
        <f t="shared" si="46"/>
        <v>4705</v>
      </c>
      <c r="EB53" s="466">
        <f t="shared" si="46"/>
        <v>4451</v>
      </c>
      <c r="EC53" s="466">
        <f t="shared" si="46"/>
        <v>4231</v>
      </c>
      <c r="ED53" s="466">
        <f t="shared" si="46"/>
        <v>4292</v>
      </c>
      <c r="EE53" s="466">
        <f t="shared" si="46"/>
        <v>4621</v>
      </c>
      <c r="EF53" s="466">
        <f t="shared" si="46"/>
        <v>4704</v>
      </c>
      <c r="EG53" s="466">
        <f t="shared" si="46"/>
        <v>4683</v>
      </c>
      <c r="EH53" s="466">
        <f t="shared" si="46"/>
        <v>0</v>
      </c>
      <c r="EI53" s="466">
        <f t="shared" si="46"/>
        <v>0</v>
      </c>
      <c r="EJ53" s="466">
        <f t="shared" si="46"/>
        <v>0</v>
      </c>
    </row>
    <row r="54" spans="1:140" s="309" customFormat="1" ht="24" customHeight="1">
      <c r="A54" s="908"/>
      <c r="B54" s="909"/>
      <c r="C54" s="748" t="s">
        <v>57</v>
      </c>
      <c r="D54" s="749" t="s">
        <v>48</v>
      </c>
      <c r="E54" s="750"/>
      <c r="F54" s="748"/>
      <c r="G54" s="748"/>
      <c r="H54" s="749"/>
      <c r="I54" s="469">
        <f t="shared" si="41"/>
        <v>1891207.5</v>
      </c>
      <c r="J54" s="469">
        <f t="shared" si="41"/>
        <v>1339502.67</v>
      </c>
      <c r="K54" s="469">
        <f t="shared" si="41"/>
        <v>1509891.8</v>
      </c>
      <c r="L54" s="469">
        <f t="shared" si="41"/>
        <v>1398229.4800000009</v>
      </c>
      <c r="M54" s="469">
        <f t="shared" si="41"/>
        <v>1421465.77</v>
      </c>
      <c r="N54" s="469">
        <f t="shared" si="41"/>
        <v>1732121.3599999999</v>
      </c>
      <c r="O54" s="469">
        <f t="shared" si="41"/>
        <v>1799694.0300000003</v>
      </c>
      <c r="P54" s="469">
        <f t="shared" si="41"/>
        <v>2517933.4899999998</v>
      </c>
      <c r="Q54" s="469">
        <f t="shared" si="41"/>
        <v>2108790.040000001</v>
      </c>
      <c r="R54" s="469">
        <f t="shared" si="41"/>
        <v>2369977.63</v>
      </c>
      <c r="S54" s="469">
        <f t="shared" si="41"/>
        <v>2549523.23</v>
      </c>
      <c r="T54" s="470">
        <f t="shared" si="41"/>
        <v>2630343.69</v>
      </c>
      <c r="U54" s="471">
        <f t="shared" si="41"/>
        <v>3069862.3099999996</v>
      </c>
      <c r="V54" s="472">
        <f t="shared" si="41"/>
        <v>2796893.0300000007</v>
      </c>
      <c r="W54" s="472">
        <f t="shared" si="41"/>
        <v>3253583.25</v>
      </c>
      <c r="X54" s="472">
        <f t="shared" si="41"/>
        <v>3092416.03</v>
      </c>
      <c r="Y54" s="472">
        <f t="shared" si="43"/>
        <v>2915519.09</v>
      </c>
      <c r="Z54" s="472">
        <f t="shared" ref="Z54:CK54" si="47">+Z50+Z52-Y50</f>
        <v>3008661.6399999987</v>
      </c>
      <c r="AA54" s="472">
        <f t="shared" si="47"/>
        <v>2830932.2100000009</v>
      </c>
      <c r="AB54" s="472">
        <f t="shared" si="47"/>
        <v>3047614.5</v>
      </c>
      <c r="AC54" s="472">
        <f t="shared" si="47"/>
        <v>2875618.6999999993</v>
      </c>
      <c r="AD54" s="472">
        <f t="shared" si="47"/>
        <v>3594384.4400000013</v>
      </c>
      <c r="AE54" s="472">
        <f t="shared" si="47"/>
        <v>3981000.01</v>
      </c>
      <c r="AF54" s="472">
        <f t="shared" si="47"/>
        <v>2293620.9700000007</v>
      </c>
      <c r="AG54" s="472">
        <f t="shared" si="47"/>
        <v>2684794.3499999978</v>
      </c>
      <c r="AH54" s="472">
        <f t="shared" si="47"/>
        <v>3875730.1100000013</v>
      </c>
      <c r="AI54" s="472">
        <f t="shared" si="47"/>
        <v>3360398.6500000004</v>
      </c>
      <c r="AJ54" s="472">
        <f t="shared" si="47"/>
        <v>3136859.9699999988</v>
      </c>
      <c r="AK54" s="472">
        <f t="shared" si="47"/>
        <v>3913493.01</v>
      </c>
      <c r="AL54" s="472">
        <f t="shared" si="47"/>
        <v>3236236.2099999897</v>
      </c>
      <c r="AM54" s="472">
        <f t="shared" si="47"/>
        <v>3796203.7600000128</v>
      </c>
      <c r="AN54" s="472">
        <f t="shared" si="47"/>
        <v>3440848.1399999969</v>
      </c>
      <c r="AO54" s="472">
        <f t="shared" si="47"/>
        <v>2983550.5700000022</v>
      </c>
      <c r="AP54" s="472">
        <f t="shared" si="47"/>
        <v>3914714.0299999975</v>
      </c>
      <c r="AQ54" s="472">
        <f t="shared" si="47"/>
        <v>5040518.6000000015</v>
      </c>
      <c r="AR54" s="472">
        <f t="shared" si="47"/>
        <v>3715665.1499999966</v>
      </c>
      <c r="AS54" s="472">
        <f t="shared" si="47"/>
        <v>3472911.7199999969</v>
      </c>
      <c r="AT54" s="472">
        <f t="shared" si="47"/>
        <v>3687586.0199999996</v>
      </c>
      <c r="AU54" s="472">
        <f t="shared" si="47"/>
        <v>4028451.3200000003</v>
      </c>
      <c r="AV54" s="472">
        <f t="shared" si="47"/>
        <v>3915285.5599999987</v>
      </c>
      <c r="AW54" s="472">
        <f t="shared" si="47"/>
        <v>3678341.0400000028</v>
      </c>
      <c r="AX54" s="472">
        <f t="shared" si="47"/>
        <v>3917745.3899999969</v>
      </c>
      <c r="AY54" s="472">
        <f t="shared" si="47"/>
        <v>4820233.9800000004</v>
      </c>
      <c r="AZ54" s="472">
        <f t="shared" si="47"/>
        <v>3912347.5300000012</v>
      </c>
      <c r="BA54" s="472">
        <f t="shared" si="47"/>
        <v>5052322.5299999975</v>
      </c>
      <c r="BB54" s="472">
        <f t="shared" si="47"/>
        <v>3857303.0800000019</v>
      </c>
      <c r="BC54" s="472">
        <f t="shared" si="47"/>
        <v>4353207.7699999996</v>
      </c>
      <c r="BD54" s="472">
        <f t="shared" si="47"/>
        <v>3893151.8800000027</v>
      </c>
      <c r="BE54" s="472">
        <f t="shared" si="47"/>
        <v>4364995.1999999955</v>
      </c>
      <c r="BF54" s="472">
        <f t="shared" si="47"/>
        <v>4483696.2200000025</v>
      </c>
      <c r="BG54" s="472">
        <f t="shared" si="47"/>
        <v>4528405.8099999987</v>
      </c>
      <c r="BH54" s="472">
        <f t="shared" si="47"/>
        <v>4428725.0600000024</v>
      </c>
      <c r="BI54" s="472">
        <f t="shared" si="47"/>
        <v>5838957.4699999988</v>
      </c>
      <c r="BJ54" s="472">
        <f t="shared" si="47"/>
        <v>5401662.0099999979</v>
      </c>
      <c r="BK54" s="472">
        <f t="shared" si="47"/>
        <v>7046262.9400000013</v>
      </c>
      <c r="BL54" s="472">
        <f t="shared" si="47"/>
        <v>5885923.4400000013</v>
      </c>
      <c r="BM54" s="472">
        <f t="shared" si="47"/>
        <v>8556744.9000000022</v>
      </c>
      <c r="BN54" s="472">
        <f t="shared" si="47"/>
        <v>6332019.2999999896</v>
      </c>
      <c r="BO54" s="472">
        <f t="shared" si="47"/>
        <v>6720319.0200000107</v>
      </c>
      <c r="BP54" s="473">
        <f t="shared" si="47"/>
        <v>6490251.109999992</v>
      </c>
      <c r="BQ54" s="471">
        <f t="shared" si="47"/>
        <v>6305271.8299999982</v>
      </c>
      <c r="BR54" s="472">
        <f t="shared" si="47"/>
        <v>6381233.0000000075</v>
      </c>
      <c r="BS54" s="472">
        <f t="shared" si="47"/>
        <v>7065490.6499999985</v>
      </c>
      <c r="BT54" s="472">
        <f t="shared" si="47"/>
        <v>8742034.5300000012</v>
      </c>
      <c r="BU54" s="472">
        <f t="shared" si="47"/>
        <v>9298357.1399999931</v>
      </c>
      <c r="BV54" s="472">
        <f t="shared" si="47"/>
        <v>9901304.1800000072</v>
      </c>
      <c r="BW54" s="472">
        <f t="shared" si="47"/>
        <v>11653468.749999985</v>
      </c>
      <c r="BX54" s="472">
        <f t="shared" si="47"/>
        <v>13086085.32</v>
      </c>
      <c r="BY54" s="472">
        <f t="shared" si="47"/>
        <v>14345943.490000002</v>
      </c>
      <c r="BZ54" s="472">
        <f t="shared" si="47"/>
        <v>14335981.279999994</v>
      </c>
      <c r="CA54" s="472">
        <f t="shared" si="47"/>
        <v>13746326.899999999</v>
      </c>
      <c r="CB54" s="474">
        <f t="shared" si="47"/>
        <v>11357531.860000014</v>
      </c>
      <c r="CC54" s="472">
        <f t="shared" si="47"/>
        <v>12721581.309999987</v>
      </c>
      <c r="CD54" s="472">
        <f t="shared" si="47"/>
        <v>15038541.829999998</v>
      </c>
      <c r="CE54" s="472">
        <f t="shared" si="47"/>
        <v>16434322.49000001</v>
      </c>
      <c r="CF54" s="472">
        <f t="shared" si="47"/>
        <v>18982804.289999977</v>
      </c>
      <c r="CG54" s="472">
        <f t="shared" si="47"/>
        <v>19346329.290000021</v>
      </c>
      <c r="CH54" s="472">
        <f t="shared" si="47"/>
        <v>20388470.889999986</v>
      </c>
      <c r="CI54" s="472">
        <f t="shared" si="47"/>
        <v>19180915.359999999</v>
      </c>
      <c r="CJ54" s="472">
        <f t="shared" si="47"/>
        <v>19421740.050000027</v>
      </c>
      <c r="CK54" s="472">
        <f t="shared" si="47"/>
        <v>20679759.590000004</v>
      </c>
      <c r="CL54" s="472">
        <f t="shared" ref="CL54:EJ54" si="48">+CL50+CL52-CK50</f>
        <v>17911235.319999978</v>
      </c>
      <c r="CM54" s="472">
        <f t="shared" si="48"/>
        <v>17746577.199999988</v>
      </c>
      <c r="CN54" s="472">
        <f t="shared" si="48"/>
        <v>16068623.230000019</v>
      </c>
      <c r="CO54" s="472">
        <f t="shared" si="48"/>
        <v>17081632.179999962</v>
      </c>
      <c r="CP54" s="472">
        <f t="shared" si="48"/>
        <v>23752002.780000031</v>
      </c>
      <c r="CQ54" s="472">
        <f t="shared" si="48"/>
        <v>22469457.300000027</v>
      </c>
      <c r="CR54" s="472">
        <f t="shared" si="48"/>
        <v>20152664.99999997</v>
      </c>
      <c r="CS54" s="472">
        <f t="shared" si="48"/>
        <v>21586504.069999993</v>
      </c>
      <c r="CT54" s="472">
        <f t="shared" si="48"/>
        <v>21461774.64000003</v>
      </c>
      <c r="CU54" s="472">
        <f t="shared" si="48"/>
        <v>24772366.829999998</v>
      </c>
      <c r="CV54" s="472">
        <f t="shared" si="48"/>
        <v>21400304.36999993</v>
      </c>
      <c r="CW54" s="472">
        <f t="shared" si="48"/>
        <v>22995498.920000002</v>
      </c>
      <c r="CX54" s="472">
        <f t="shared" si="48"/>
        <v>25539320</v>
      </c>
      <c r="CY54" s="472">
        <f t="shared" si="48"/>
        <v>42294146.629999995</v>
      </c>
      <c r="CZ54" s="472">
        <f t="shared" si="48"/>
        <v>1401986.5300000012</v>
      </c>
      <c r="DA54" s="472">
        <f t="shared" si="48"/>
        <v>18947459.889999941</v>
      </c>
      <c r="DB54" s="472">
        <f t="shared" si="48"/>
        <v>24570438.519999966</v>
      </c>
      <c r="DC54" s="472">
        <f t="shared" si="48"/>
        <v>20684849.579999968</v>
      </c>
      <c r="DD54" s="472">
        <f t="shared" si="48"/>
        <v>25456747.029999927</v>
      </c>
      <c r="DE54" s="472">
        <f t="shared" si="48"/>
        <v>29072026.029999942</v>
      </c>
      <c r="DF54" s="472">
        <f t="shared" si="48"/>
        <v>20920716.919999957</v>
      </c>
      <c r="DG54" s="472">
        <f t="shared" si="48"/>
        <v>26995601.839999974</v>
      </c>
      <c r="DH54" s="472">
        <f t="shared" si="48"/>
        <v>14443488.939999938</v>
      </c>
      <c r="DI54" s="472">
        <f t="shared" si="48"/>
        <v>27109558.699999958</v>
      </c>
      <c r="DJ54" s="472">
        <f t="shared" si="48"/>
        <v>23231084.969999939</v>
      </c>
      <c r="DK54" s="472">
        <f t="shared" si="48"/>
        <v>18539806.029999912</v>
      </c>
      <c r="DL54" s="472">
        <f t="shared" si="48"/>
        <v>26196171.409999996</v>
      </c>
      <c r="DM54" s="472">
        <f t="shared" si="48"/>
        <v>23394453.020000011</v>
      </c>
      <c r="DN54" s="472">
        <f t="shared" si="48"/>
        <v>24451364.98999992</v>
      </c>
      <c r="DO54" s="472">
        <f t="shared" si="48"/>
        <v>32535380.50999999</v>
      </c>
      <c r="DP54" s="472">
        <f t="shared" si="48"/>
        <v>23462429.939999998</v>
      </c>
      <c r="DQ54" s="472">
        <f t="shared" si="48"/>
        <v>32507219.219999939</v>
      </c>
      <c r="DR54" s="472">
        <f t="shared" si="48"/>
        <v>23277517.049999952</v>
      </c>
      <c r="DS54" s="472">
        <f t="shared" si="48"/>
        <v>27974524.780000001</v>
      </c>
      <c r="DT54" s="472">
        <f t="shared" si="48"/>
        <v>24895574.459999949</v>
      </c>
      <c r="DU54" s="472">
        <f t="shared" si="48"/>
        <v>29797336.479999959</v>
      </c>
      <c r="DV54" s="472">
        <f t="shared" si="48"/>
        <v>27145605.379999906</v>
      </c>
      <c r="DW54" s="472">
        <f t="shared" si="48"/>
        <v>27274826.290000021</v>
      </c>
      <c r="DX54" s="472">
        <f t="shared" si="48"/>
        <v>17991330.509999961</v>
      </c>
      <c r="DY54" s="472">
        <f t="shared" si="48"/>
        <v>18714613.150000036</v>
      </c>
      <c r="DZ54" s="472">
        <f t="shared" si="48"/>
        <v>26563414.230000019</v>
      </c>
      <c r="EA54" s="472">
        <f t="shared" si="48"/>
        <v>32857391.379999965</v>
      </c>
      <c r="EB54" s="472">
        <f t="shared" si="48"/>
        <v>27631700.970000029</v>
      </c>
      <c r="EC54" s="472">
        <f t="shared" si="48"/>
        <v>21274961.429999918</v>
      </c>
      <c r="ED54" s="472">
        <f t="shared" si="48"/>
        <v>20226053.26000002</v>
      </c>
      <c r="EE54" s="472">
        <f t="shared" si="48"/>
        <v>30438402.700000048</v>
      </c>
      <c r="EF54" s="472">
        <f t="shared" si="48"/>
        <v>22756002.090000033</v>
      </c>
      <c r="EG54" s="472">
        <f t="shared" si="48"/>
        <v>36019889.169999778</v>
      </c>
      <c r="EH54" s="472">
        <f t="shared" si="48"/>
        <v>-165480460.48999983</v>
      </c>
      <c r="EI54" s="472">
        <f t="shared" si="48"/>
        <v>0</v>
      </c>
      <c r="EJ54" s="472">
        <f t="shared" si="48"/>
        <v>0</v>
      </c>
    </row>
    <row r="55" spans="1:140" s="302" customFormat="1" ht="22.5" hidden="1" customHeight="1" thickTop="1">
      <c r="A55" s="912"/>
      <c r="B55" s="887" t="s">
        <v>11</v>
      </c>
      <c r="C55" s="931" t="s">
        <v>47</v>
      </c>
      <c r="D55" s="635" t="s">
        <v>48</v>
      </c>
      <c r="E55" s="751"/>
      <c r="F55" s="752"/>
      <c r="G55" s="752"/>
      <c r="H55" s="753"/>
      <c r="I55" s="754"/>
      <c r="J55" s="752"/>
      <c r="K55" s="475"/>
      <c r="L55" s="337">
        <v>1469</v>
      </c>
      <c r="M55" s="337">
        <v>10661.5</v>
      </c>
      <c r="N55" s="337">
        <v>13117</v>
      </c>
      <c r="O55" s="337">
        <v>6560</v>
      </c>
      <c r="P55" s="337">
        <v>9603</v>
      </c>
      <c r="Q55" s="337">
        <v>9996.5</v>
      </c>
      <c r="R55" s="337">
        <v>11963.5</v>
      </c>
      <c r="S55" s="337">
        <v>12408.5</v>
      </c>
      <c r="T55" s="338">
        <f>10030+AB55</f>
        <v>10030</v>
      </c>
      <c r="U55" s="476">
        <v>4895</v>
      </c>
      <c r="V55" s="477">
        <v>21291</v>
      </c>
      <c r="W55" s="477">
        <v>11620.5</v>
      </c>
      <c r="X55" s="477"/>
      <c r="Y55" s="477"/>
      <c r="Z55" s="477"/>
      <c r="AA55" s="477"/>
      <c r="AB55" s="477"/>
      <c r="AC55" s="477"/>
      <c r="AD55" s="477"/>
      <c r="AE55" s="477"/>
      <c r="AF55" s="477"/>
      <c r="AG55" s="477"/>
      <c r="AH55" s="477"/>
      <c r="AI55" s="477"/>
      <c r="AJ55" s="477"/>
      <c r="AK55" s="477"/>
      <c r="AL55" s="477"/>
      <c r="AM55" s="477"/>
      <c r="AN55" s="477"/>
      <c r="AO55" s="477"/>
      <c r="AP55" s="477"/>
      <c r="AQ55" s="477"/>
      <c r="AR55" s="477"/>
      <c r="AS55" s="477"/>
      <c r="AT55" s="477"/>
      <c r="AU55" s="477"/>
      <c r="AV55" s="477"/>
      <c r="AW55" s="477"/>
      <c r="AX55" s="477"/>
      <c r="AY55" s="477"/>
      <c r="AZ55" s="477"/>
      <c r="BA55" s="477"/>
      <c r="BB55" s="477"/>
      <c r="BC55" s="477"/>
      <c r="BD55" s="477"/>
      <c r="BE55" s="477"/>
      <c r="BF55" s="477"/>
      <c r="BG55" s="477"/>
      <c r="BH55" s="477"/>
      <c r="BI55" s="477"/>
      <c r="BJ55" s="477"/>
      <c r="BK55" s="477"/>
      <c r="BL55" s="477"/>
      <c r="BM55" s="477"/>
      <c r="BN55" s="477"/>
      <c r="BO55" s="477"/>
      <c r="BP55" s="478"/>
      <c r="BQ55" s="476"/>
      <c r="BR55" s="477"/>
      <c r="BS55" s="477"/>
      <c r="BT55" s="477"/>
      <c r="BU55" s="477"/>
      <c r="BV55" s="477"/>
      <c r="BW55" s="477"/>
      <c r="BX55" s="477"/>
      <c r="BY55" s="477"/>
      <c r="BZ55" s="477"/>
      <c r="CA55" s="477"/>
      <c r="CB55" s="479"/>
      <c r="CC55" s="477"/>
      <c r="CD55" s="477"/>
      <c r="CE55" s="477"/>
      <c r="CF55" s="477"/>
      <c r="CG55" s="477"/>
      <c r="CH55" s="477"/>
      <c r="CI55" s="477"/>
      <c r="CJ55" s="477"/>
      <c r="CK55" s="477"/>
      <c r="CL55" s="477"/>
      <c r="CM55" s="477"/>
      <c r="CN55" s="477"/>
      <c r="CO55" s="477"/>
      <c r="CP55" s="477"/>
      <c r="CQ55" s="477"/>
      <c r="CR55" s="477"/>
      <c r="CS55" s="477"/>
      <c r="CT55" s="477"/>
      <c r="CU55" s="477"/>
      <c r="CV55" s="477"/>
      <c r="CW55" s="477"/>
      <c r="CX55" s="477"/>
      <c r="CY55" s="477"/>
      <c r="CZ55" s="477"/>
      <c r="DA55" s="477"/>
      <c r="DB55" s="477"/>
      <c r="DC55" s="477"/>
      <c r="DD55" s="477"/>
      <c r="DE55" s="477"/>
      <c r="DF55" s="477"/>
      <c r="DG55" s="477"/>
      <c r="DH55" s="477"/>
      <c r="DI55" s="477"/>
      <c r="DJ55" s="477"/>
      <c r="DK55" s="477"/>
      <c r="DL55" s="477"/>
      <c r="DM55" s="477"/>
      <c r="DN55" s="477"/>
      <c r="DO55" s="477"/>
      <c r="DP55" s="477"/>
      <c r="DQ55" s="477"/>
      <c r="DR55" s="477"/>
      <c r="DS55" s="477"/>
      <c r="DT55" s="477"/>
      <c r="DU55" s="477"/>
      <c r="DV55" s="477"/>
      <c r="DW55" s="477"/>
      <c r="DX55" s="477"/>
      <c r="DY55" s="477"/>
      <c r="DZ55" s="477"/>
      <c r="EA55" s="477"/>
      <c r="EB55" s="477"/>
      <c r="EC55" s="477"/>
      <c r="ED55" s="477"/>
      <c r="EE55" s="477"/>
      <c r="EF55" s="477"/>
      <c r="EG55" s="477"/>
      <c r="EH55" s="477"/>
      <c r="EI55" s="477"/>
      <c r="EJ55" s="477"/>
    </row>
    <row r="56" spans="1:140" s="303" customFormat="1" ht="22.5" hidden="1" customHeight="1">
      <c r="A56" s="912"/>
      <c r="B56" s="887"/>
      <c r="C56" s="890"/>
      <c r="D56" s="640" t="s">
        <v>49</v>
      </c>
      <c r="E56" s="700"/>
      <c r="F56" s="701"/>
      <c r="G56" s="701"/>
      <c r="H56" s="702"/>
      <c r="I56" s="703"/>
      <c r="J56" s="701"/>
      <c r="K56" s="410"/>
      <c r="L56" s="344">
        <v>2</v>
      </c>
      <c r="M56" s="344">
        <v>5</v>
      </c>
      <c r="N56" s="344">
        <v>9</v>
      </c>
      <c r="O56" s="344">
        <v>7</v>
      </c>
      <c r="P56" s="344">
        <v>6</v>
      </c>
      <c r="Q56" s="344">
        <v>7</v>
      </c>
      <c r="R56" s="344">
        <v>9</v>
      </c>
      <c r="S56" s="344">
        <v>10</v>
      </c>
      <c r="T56" s="345">
        <f>8+AB56</f>
        <v>8</v>
      </c>
      <c r="U56" s="390">
        <v>4</v>
      </c>
      <c r="V56" s="388">
        <v>16</v>
      </c>
      <c r="W56" s="388">
        <v>6</v>
      </c>
      <c r="X56" s="388"/>
      <c r="Y56" s="388"/>
      <c r="Z56" s="388"/>
      <c r="AA56" s="388"/>
      <c r="AB56" s="388"/>
      <c r="AC56" s="388"/>
      <c r="AD56" s="388"/>
      <c r="AE56" s="388"/>
      <c r="AF56" s="388"/>
      <c r="AG56" s="388"/>
      <c r="AH56" s="388"/>
      <c r="AI56" s="388"/>
      <c r="AJ56" s="388"/>
      <c r="AK56" s="388"/>
      <c r="AL56" s="388"/>
      <c r="AM56" s="388"/>
      <c r="AN56" s="388"/>
      <c r="AO56" s="388"/>
      <c r="AP56" s="388"/>
      <c r="AQ56" s="388"/>
      <c r="AR56" s="388"/>
      <c r="AS56" s="388"/>
      <c r="AT56" s="388"/>
      <c r="AU56" s="388"/>
      <c r="AV56" s="388"/>
      <c r="AW56" s="388"/>
      <c r="AX56" s="388"/>
      <c r="AY56" s="388"/>
      <c r="AZ56" s="388"/>
      <c r="BA56" s="388"/>
      <c r="BB56" s="388"/>
      <c r="BC56" s="388"/>
      <c r="BD56" s="388"/>
      <c r="BE56" s="388"/>
      <c r="BF56" s="388"/>
      <c r="BG56" s="388"/>
      <c r="BH56" s="388"/>
      <c r="BI56" s="388"/>
      <c r="BJ56" s="388"/>
      <c r="BK56" s="388"/>
      <c r="BL56" s="388"/>
      <c r="BM56" s="388"/>
      <c r="BN56" s="388"/>
      <c r="BO56" s="388"/>
      <c r="BP56" s="389"/>
      <c r="BQ56" s="390"/>
      <c r="BR56" s="388"/>
      <c r="BS56" s="388"/>
      <c r="BT56" s="388"/>
      <c r="BU56" s="388"/>
      <c r="BV56" s="388"/>
      <c r="BW56" s="388"/>
      <c r="BX56" s="388"/>
      <c r="BY56" s="388"/>
      <c r="BZ56" s="388"/>
      <c r="CA56" s="388"/>
      <c r="CB56" s="391"/>
      <c r="CC56" s="388"/>
      <c r="CD56" s="388"/>
      <c r="CE56" s="388"/>
      <c r="CF56" s="388"/>
      <c r="CG56" s="388"/>
      <c r="CH56" s="388"/>
      <c r="CI56" s="388"/>
      <c r="CJ56" s="388"/>
      <c r="CK56" s="388"/>
      <c r="CL56" s="388"/>
      <c r="CM56" s="388"/>
      <c r="CN56" s="388"/>
      <c r="CO56" s="388"/>
      <c r="CP56" s="388"/>
      <c r="CQ56" s="388"/>
      <c r="CR56" s="388"/>
      <c r="CS56" s="388"/>
      <c r="CT56" s="388"/>
      <c r="CU56" s="388"/>
      <c r="CV56" s="388"/>
      <c r="CW56" s="388"/>
      <c r="CX56" s="388"/>
      <c r="CY56" s="388"/>
      <c r="CZ56" s="388"/>
      <c r="DA56" s="388"/>
      <c r="DB56" s="388"/>
      <c r="DC56" s="388"/>
      <c r="DD56" s="388"/>
      <c r="DE56" s="388"/>
      <c r="DF56" s="388"/>
      <c r="DG56" s="388"/>
      <c r="DH56" s="388"/>
      <c r="DI56" s="388"/>
      <c r="DJ56" s="388"/>
      <c r="DK56" s="388"/>
      <c r="DL56" s="388"/>
      <c r="DM56" s="388"/>
      <c r="DN56" s="388"/>
      <c r="DO56" s="388"/>
      <c r="DP56" s="388"/>
      <c r="DQ56" s="388"/>
      <c r="DR56" s="388"/>
      <c r="DS56" s="388"/>
      <c r="DT56" s="388"/>
      <c r="DU56" s="388"/>
      <c r="DV56" s="388"/>
      <c r="DW56" s="388"/>
      <c r="DX56" s="388"/>
      <c r="DY56" s="388"/>
      <c r="DZ56" s="388"/>
      <c r="EA56" s="388"/>
      <c r="EB56" s="388"/>
      <c r="EC56" s="388"/>
      <c r="ED56" s="388"/>
      <c r="EE56" s="388"/>
      <c r="EF56" s="388"/>
      <c r="EG56" s="388"/>
      <c r="EH56" s="388"/>
      <c r="EI56" s="388"/>
      <c r="EJ56" s="388"/>
    </row>
    <row r="57" spans="1:140" s="299" customFormat="1" ht="22.5" hidden="1" customHeight="1">
      <c r="A57" s="912"/>
      <c r="B57" s="887"/>
      <c r="C57" s="891" t="s">
        <v>50</v>
      </c>
      <c r="D57" s="704" t="s">
        <v>48</v>
      </c>
      <c r="E57" s="705"/>
      <c r="F57" s="706"/>
      <c r="G57" s="706"/>
      <c r="H57" s="707"/>
      <c r="I57" s="708"/>
      <c r="J57" s="706"/>
      <c r="K57" s="411"/>
      <c r="L57" s="412">
        <v>0</v>
      </c>
      <c r="M57" s="412">
        <v>0</v>
      </c>
      <c r="N57" s="412">
        <v>0</v>
      </c>
      <c r="O57" s="412">
        <v>0</v>
      </c>
      <c r="P57" s="412">
        <v>0</v>
      </c>
      <c r="Q57" s="412">
        <v>0</v>
      </c>
      <c r="R57" s="412">
        <v>0</v>
      </c>
      <c r="S57" s="413">
        <v>791</v>
      </c>
      <c r="T57" s="480">
        <v>0</v>
      </c>
      <c r="U57" s="481">
        <v>1545</v>
      </c>
      <c r="V57" s="482">
        <v>1928</v>
      </c>
      <c r="W57" s="482">
        <v>17</v>
      </c>
      <c r="X57" s="482"/>
      <c r="Y57" s="482"/>
      <c r="Z57" s="482"/>
      <c r="AA57" s="482"/>
      <c r="AB57" s="482"/>
      <c r="AC57" s="482"/>
      <c r="AD57" s="482"/>
      <c r="AE57" s="482"/>
      <c r="AF57" s="482"/>
      <c r="AG57" s="482"/>
      <c r="AH57" s="482"/>
      <c r="AI57" s="482"/>
      <c r="AJ57" s="482"/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  <c r="AY57" s="482"/>
      <c r="AZ57" s="482"/>
      <c r="BA57" s="482"/>
      <c r="BB57" s="482"/>
      <c r="BC57" s="482"/>
      <c r="BD57" s="482"/>
      <c r="BE57" s="482"/>
      <c r="BF57" s="482"/>
      <c r="BG57" s="482"/>
      <c r="BH57" s="482"/>
      <c r="BI57" s="482"/>
      <c r="BJ57" s="482"/>
      <c r="BK57" s="482"/>
      <c r="BL57" s="482"/>
      <c r="BM57" s="482"/>
      <c r="BN57" s="482"/>
      <c r="BO57" s="482"/>
      <c r="BP57" s="483"/>
      <c r="BQ57" s="481"/>
      <c r="BR57" s="482"/>
      <c r="BS57" s="482"/>
      <c r="BT57" s="482"/>
      <c r="BU57" s="482"/>
      <c r="BV57" s="482"/>
      <c r="BW57" s="482"/>
      <c r="BX57" s="482"/>
      <c r="BY57" s="482"/>
      <c r="BZ57" s="482"/>
      <c r="CA57" s="482"/>
      <c r="CB57" s="484"/>
      <c r="CC57" s="482"/>
      <c r="CD57" s="482"/>
      <c r="CE57" s="482"/>
      <c r="CF57" s="482"/>
      <c r="CG57" s="482"/>
      <c r="CH57" s="482"/>
      <c r="CI57" s="482"/>
      <c r="CJ57" s="482"/>
      <c r="CK57" s="482"/>
      <c r="CL57" s="482"/>
      <c r="CM57" s="482"/>
      <c r="CN57" s="482"/>
      <c r="CO57" s="482"/>
      <c r="CP57" s="482"/>
      <c r="CQ57" s="482"/>
      <c r="CR57" s="482"/>
      <c r="CS57" s="482"/>
      <c r="CT57" s="482"/>
      <c r="CU57" s="482"/>
      <c r="CV57" s="482"/>
      <c r="CW57" s="482"/>
      <c r="CX57" s="482"/>
      <c r="CY57" s="482"/>
      <c r="CZ57" s="482"/>
      <c r="DA57" s="482"/>
      <c r="DB57" s="482"/>
      <c r="DC57" s="482"/>
      <c r="DD57" s="482"/>
      <c r="DE57" s="482"/>
      <c r="DF57" s="482"/>
      <c r="DG57" s="482"/>
      <c r="DH57" s="482"/>
      <c r="DI57" s="482"/>
      <c r="DJ57" s="482"/>
      <c r="DK57" s="482"/>
      <c r="DL57" s="482"/>
      <c r="DM57" s="482"/>
      <c r="DN57" s="482"/>
      <c r="DO57" s="482"/>
      <c r="DP57" s="482"/>
      <c r="DQ57" s="482"/>
      <c r="DR57" s="482"/>
      <c r="DS57" s="482"/>
      <c r="DT57" s="482"/>
      <c r="DU57" s="482"/>
      <c r="DV57" s="482"/>
      <c r="DW57" s="482"/>
      <c r="DX57" s="482"/>
      <c r="DY57" s="482"/>
      <c r="DZ57" s="482"/>
      <c r="EA57" s="482"/>
      <c r="EB57" s="482"/>
      <c r="EC57" s="482"/>
      <c r="ED57" s="482"/>
      <c r="EE57" s="482"/>
      <c r="EF57" s="482"/>
      <c r="EG57" s="482"/>
      <c r="EH57" s="482"/>
      <c r="EI57" s="482"/>
      <c r="EJ57" s="482"/>
    </row>
    <row r="58" spans="1:140" s="299" customFormat="1" ht="22.5" hidden="1" customHeight="1">
      <c r="A58" s="912"/>
      <c r="B58" s="887"/>
      <c r="C58" s="890"/>
      <c r="D58" s="709" t="s">
        <v>49</v>
      </c>
      <c r="E58" s="710"/>
      <c r="F58" s="711"/>
      <c r="G58" s="711"/>
      <c r="H58" s="712"/>
      <c r="I58" s="713"/>
      <c r="J58" s="711"/>
      <c r="K58" s="419"/>
      <c r="L58" s="420">
        <v>0</v>
      </c>
      <c r="M58" s="420">
        <v>0</v>
      </c>
      <c r="N58" s="420">
        <v>0</v>
      </c>
      <c r="O58" s="420">
        <v>0</v>
      </c>
      <c r="P58" s="420">
        <v>0</v>
      </c>
      <c r="Q58" s="420">
        <v>0</v>
      </c>
      <c r="R58" s="420">
        <v>0</v>
      </c>
      <c r="S58" s="344">
        <v>4</v>
      </c>
      <c r="T58" s="485">
        <v>0</v>
      </c>
      <c r="U58" s="486">
        <v>1</v>
      </c>
      <c r="V58" s="487">
        <v>4</v>
      </c>
      <c r="W58" s="487">
        <v>1</v>
      </c>
      <c r="X58" s="487"/>
      <c r="Y58" s="487"/>
      <c r="Z58" s="487"/>
      <c r="AA58" s="487"/>
      <c r="AB58" s="487"/>
      <c r="AC58" s="487"/>
      <c r="AD58" s="487"/>
      <c r="AE58" s="487"/>
      <c r="AF58" s="487"/>
      <c r="AG58" s="487"/>
      <c r="AH58" s="487"/>
      <c r="AI58" s="487"/>
      <c r="AJ58" s="487"/>
      <c r="AK58" s="487"/>
      <c r="AL58" s="487"/>
      <c r="AM58" s="487"/>
      <c r="AN58" s="487"/>
      <c r="AO58" s="487"/>
      <c r="AP58" s="487"/>
      <c r="AQ58" s="487"/>
      <c r="AR58" s="487"/>
      <c r="AS58" s="487"/>
      <c r="AT58" s="487"/>
      <c r="AU58" s="487"/>
      <c r="AV58" s="487"/>
      <c r="AW58" s="487"/>
      <c r="AX58" s="487"/>
      <c r="AY58" s="487"/>
      <c r="AZ58" s="487"/>
      <c r="BA58" s="487"/>
      <c r="BB58" s="487"/>
      <c r="BC58" s="487"/>
      <c r="BD58" s="487"/>
      <c r="BE58" s="487"/>
      <c r="BF58" s="487"/>
      <c r="BG58" s="487"/>
      <c r="BH58" s="487"/>
      <c r="BI58" s="487"/>
      <c r="BJ58" s="487"/>
      <c r="BK58" s="487"/>
      <c r="BL58" s="487"/>
      <c r="BM58" s="487"/>
      <c r="BN58" s="487"/>
      <c r="BO58" s="487"/>
      <c r="BP58" s="488"/>
      <c r="BQ58" s="486"/>
      <c r="BR58" s="487"/>
      <c r="BS58" s="487"/>
      <c r="BT58" s="487"/>
      <c r="BU58" s="487"/>
      <c r="BV58" s="487"/>
      <c r="BW58" s="487"/>
      <c r="BX58" s="487"/>
      <c r="BY58" s="487"/>
      <c r="BZ58" s="487"/>
      <c r="CA58" s="487"/>
      <c r="CB58" s="489"/>
      <c r="CC58" s="487"/>
      <c r="CD58" s="487"/>
      <c r="CE58" s="487"/>
      <c r="CF58" s="487"/>
      <c r="CG58" s="487"/>
      <c r="CH58" s="487"/>
      <c r="CI58" s="487"/>
      <c r="CJ58" s="487"/>
      <c r="CK58" s="487"/>
      <c r="CL58" s="487"/>
      <c r="CM58" s="487"/>
      <c r="CN58" s="487"/>
      <c r="CO58" s="487"/>
      <c r="CP58" s="487"/>
      <c r="CQ58" s="487"/>
      <c r="CR58" s="487"/>
      <c r="CS58" s="487"/>
      <c r="CT58" s="487"/>
      <c r="CU58" s="487"/>
      <c r="CV58" s="487"/>
      <c r="CW58" s="487"/>
      <c r="CX58" s="487"/>
      <c r="CY58" s="487"/>
      <c r="CZ58" s="487"/>
      <c r="DA58" s="487"/>
      <c r="DB58" s="487"/>
      <c r="DC58" s="487"/>
      <c r="DD58" s="487"/>
      <c r="DE58" s="487"/>
      <c r="DF58" s="487"/>
      <c r="DG58" s="487"/>
      <c r="DH58" s="487"/>
      <c r="DI58" s="487"/>
      <c r="DJ58" s="487"/>
      <c r="DK58" s="487"/>
      <c r="DL58" s="487"/>
      <c r="DM58" s="487"/>
      <c r="DN58" s="487"/>
      <c r="DO58" s="487"/>
      <c r="DP58" s="487"/>
      <c r="DQ58" s="487"/>
      <c r="DR58" s="487"/>
      <c r="DS58" s="487"/>
      <c r="DT58" s="487"/>
      <c r="DU58" s="487"/>
      <c r="DV58" s="487"/>
      <c r="DW58" s="487"/>
      <c r="DX58" s="487"/>
      <c r="DY58" s="487"/>
      <c r="DZ58" s="487"/>
      <c r="EA58" s="487"/>
      <c r="EB58" s="487"/>
      <c r="EC58" s="487"/>
      <c r="ED58" s="487"/>
      <c r="EE58" s="487"/>
      <c r="EF58" s="487"/>
      <c r="EG58" s="487"/>
      <c r="EH58" s="487"/>
      <c r="EI58" s="487"/>
      <c r="EJ58" s="487"/>
    </row>
    <row r="59" spans="1:140" s="302" customFormat="1" ht="22.5" hidden="1" customHeight="1">
      <c r="A59" s="912"/>
      <c r="B59" s="887"/>
      <c r="C59" s="714" t="s">
        <v>51</v>
      </c>
      <c r="D59" s="677" t="s">
        <v>48</v>
      </c>
      <c r="E59" s="715"/>
      <c r="F59" s="716"/>
      <c r="G59" s="716"/>
      <c r="H59" s="717"/>
      <c r="I59" s="718"/>
      <c r="J59" s="716"/>
      <c r="K59" s="421"/>
      <c r="L59" s="412">
        <v>0</v>
      </c>
      <c r="M59" s="383">
        <v>64</v>
      </c>
      <c r="N59" s="383">
        <v>129</v>
      </c>
      <c r="O59" s="383">
        <v>246</v>
      </c>
      <c r="P59" s="383">
        <v>294</v>
      </c>
      <c r="Q59" s="383">
        <v>785.5</v>
      </c>
      <c r="R59" s="383">
        <v>571</v>
      </c>
      <c r="S59" s="383">
        <v>821.5</v>
      </c>
      <c r="T59" s="352">
        <v>1143.5</v>
      </c>
      <c r="U59" s="353">
        <v>795</v>
      </c>
      <c r="V59" s="354">
        <v>356</v>
      </c>
      <c r="W59" s="354">
        <v>877</v>
      </c>
      <c r="X59" s="354"/>
      <c r="Y59" s="354"/>
      <c r="Z59" s="354"/>
      <c r="AA59" s="354"/>
      <c r="AB59" s="354"/>
      <c r="AC59" s="354"/>
      <c r="AD59" s="354"/>
      <c r="AE59" s="354"/>
      <c r="AF59" s="354"/>
      <c r="AG59" s="354"/>
      <c r="AH59" s="354"/>
      <c r="AI59" s="354"/>
      <c r="AJ59" s="354"/>
      <c r="AK59" s="354"/>
      <c r="AL59" s="354"/>
      <c r="AM59" s="354"/>
      <c r="AN59" s="354"/>
      <c r="AO59" s="354"/>
      <c r="AP59" s="354"/>
      <c r="AQ59" s="354"/>
      <c r="AR59" s="354"/>
      <c r="AS59" s="354"/>
      <c r="AT59" s="354"/>
      <c r="AU59" s="354"/>
      <c r="AV59" s="354"/>
      <c r="AW59" s="354"/>
      <c r="AX59" s="354"/>
      <c r="AY59" s="354"/>
      <c r="AZ59" s="354"/>
      <c r="BA59" s="354"/>
      <c r="BB59" s="354"/>
      <c r="BC59" s="354"/>
      <c r="BD59" s="354"/>
      <c r="BE59" s="354"/>
      <c r="BF59" s="354"/>
      <c r="BG59" s="354"/>
      <c r="BH59" s="354"/>
      <c r="BI59" s="354"/>
      <c r="BJ59" s="354"/>
      <c r="BK59" s="354"/>
      <c r="BL59" s="354"/>
      <c r="BM59" s="354"/>
      <c r="BN59" s="354"/>
      <c r="BO59" s="354"/>
      <c r="BP59" s="355"/>
      <c r="BQ59" s="353"/>
      <c r="BR59" s="354"/>
      <c r="BS59" s="354"/>
      <c r="BT59" s="354"/>
      <c r="BU59" s="354"/>
      <c r="BV59" s="354"/>
      <c r="BW59" s="354"/>
      <c r="BX59" s="354"/>
      <c r="BY59" s="354"/>
      <c r="BZ59" s="354"/>
      <c r="CA59" s="354"/>
      <c r="CB59" s="356"/>
      <c r="CC59" s="354"/>
      <c r="CD59" s="354"/>
      <c r="CE59" s="354"/>
      <c r="CF59" s="354"/>
      <c r="CG59" s="354"/>
      <c r="CH59" s="354"/>
      <c r="CI59" s="354"/>
      <c r="CJ59" s="354"/>
      <c r="CK59" s="354"/>
      <c r="CL59" s="354"/>
      <c r="CM59" s="354"/>
      <c r="CN59" s="354"/>
      <c r="CO59" s="354"/>
      <c r="CP59" s="354"/>
      <c r="CQ59" s="354"/>
      <c r="CR59" s="354"/>
      <c r="CS59" s="354"/>
      <c r="CT59" s="354"/>
      <c r="CU59" s="354"/>
      <c r="CV59" s="354"/>
      <c r="CW59" s="354"/>
      <c r="CX59" s="354"/>
      <c r="CY59" s="354"/>
      <c r="CZ59" s="354"/>
      <c r="DA59" s="354"/>
      <c r="DB59" s="354"/>
      <c r="DC59" s="354"/>
      <c r="DD59" s="354"/>
      <c r="DE59" s="354"/>
      <c r="DF59" s="354"/>
      <c r="DG59" s="354"/>
      <c r="DH59" s="354"/>
      <c r="DI59" s="354"/>
      <c r="DJ59" s="354"/>
      <c r="DK59" s="354"/>
      <c r="DL59" s="354"/>
      <c r="DM59" s="354"/>
      <c r="DN59" s="354"/>
      <c r="DO59" s="354"/>
      <c r="DP59" s="354"/>
      <c r="DQ59" s="354"/>
      <c r="DR59" s="354"/>
      <c r="DS59" s="354"/>
      <c r="DT59" s="354"/>
      <c r="DU59" s="354"/>
      <c r="DV59" s="354"/>
      <c r="DW59" s="354"/>
      <c r="DX59" s="354"/>
      <c r="DY59" s="354"/>
      <c r="DZ59" s="354"/>
      <c r="EA59" s="354"/>
      <c r="EB59" s="354"/>
      <c r="EC59" s="354"/>
      <c r="ED59" s="354"/>
      <c r="EE59" s="354"/>
      <c r="EF59" s="354"/>
      <c r="EG59" s="354"/>
      <c r="EH59" s="354"/>
      <c r="EI59" s="354"/>
      <c r="EJ59" s="354"/>
    </row>
    <row r="60" spans="1:140" s="302" customFormat="1" ht="22.5" customHeight="1">
      <c r="A60" s="912"/>
      <c r="B60" s="887"/>
      <c r="C60" s="892" t="s">
        <v>52</v>
      </c>
      <c r="D60" s="657" t="s">
        <v>48</v>
      </c>
      <c r="E60" s="719"/>
      <c r="F60" s="720"/>
      <c r="G60" s="720"/>
      <c r="H60" s="721"/>
      <c r="I60" s="722"/>
      <c r="J60" s="720"/>
      <c r="K60" s="422"/>
      <c r="L60" s="423">
        <f>+L62</f>
        <v>1469</v>
      </c>
      <c r="M60" s="423">
        <f t="shared" ref="M60:BX61" si="49">+M62-L62</f>
        <v>10597.5</v>
      </c>
      <c r="N60" s="423">
        <f t="shared" si="49"/>
        <v>12988</v>
      </c>
      <c r="O60" s="423">
        <f t="shared" si="49"/>
        <v>6314</v>
      </c>
      <c r="P60" s="423">
        <f t="shared" si="49"/>
        <v>9309</v>
      </c>
      <c r="Q60" s="423">
        <f t="shared" si="49"/>
        <v>9211</v>
      </c>
      <c r="R60" s="423">
        <f t="shared" si="49"/>
        <v>11392.5</v>
      </c>
      <c r="S60" s="423">
        <f t="shared" si="49"/>
        <v>10796</v>
      </c>
      <c r="T60" s="424">
        <f t="shared" si="49"/>
        <v>8886.5</v>
      </c>
      <c r="U60" s="425">
        <f t="shared" si="49"/>
        <v>2555</v>
      </c>
      <c r="V60" s="426">
        <f t="shared" si="49"/>
        <v>19007</v>
      </c>
      <c r="W60" s="426">
        <f t="shared" si="49"/>
        <v>10726.5</v>
      </c>
      <c r="X60" s="426">
        <f t="shared" si="49"/>
        <v>14784</v>
      </c>
      <c r="Y60" s="426">
        <f t="shared" si="49"/>
        <v>48041.5</v>
      </c>
      <c r="Z60" s="426">
        <f t="shared" si="49"/>
        <v>32045.5</v>
      </c>
      <c r="AA60" s="426">
        <f t="shared" si="49"/>
        <v>978</v>
      </c>
      <c r="AB60" s="426">
        <f t="shared" si="49"/>
        <v>1248.5</v>
      </c>
      <c r="AC60" s="426">
        <f t="shared" si="49"/>
        <v>28512</v>
      </c>
      <c r="AD60" s="426">
        <f t="shared" si="49"/>
        <v>26456</v>
      </c>
      <c r="AE60" s="426">
        <f t="shared" si="49"/>
        <v>17755</v>
      </c>
      <c r="AF60" s="426">
        <f t="shared" si="49"/>
        <v>14082</v>
      </c>
      <c r="AG60" s="426">
        <f t="shared" si="49"/>
        <v>35218.5</v>
      </c>
      <c r="AH60" s="426">
        <f t="shared" si="49"/>
        <v>14605.5</v>
      </c>
      <c r="AI60" s="426">
        <f t="shared" si="49"/>
        <v>11300</v>
      </c>
      <c r="AJ60" s="426">
        <f t="shared" si="49"/>
        <v>16701.5</v>
      </c>
      <c r="AK60" s="426">
        <f t="shared" si="49"/>
        <v>-12528.5</v>
      </c>
      <c r="AL60" s="426">
        <f t="shared" si="49"/>
        <v>8292</v>
      </c>
      <c r="AM60" s="426">
        <f t="shared" si="49"/>
        <v>37854</v>
      </c>
      <c r="AN60" s="426">
        <f t="shared" si="49"/>
        <v>18112.5</v>
      </c>
      <c r="AO60" s="426">
        <f t="shared" si="49"/>
        <v>20573.5</v>
      </c>
      <c r="AP60" s="426">
        <f t="shared" si="49"/>
        <v>12211</v>
      </c>
      <c r="AQ60" s="426">
        <f t="shared" si="49"/>
        <v>44405.5</v>
      </c>
      <c r="AR60" s="426">
        <f t="shared" si="49"/>
        <v>6667.5</v>
      </c>
      <c r="AS60" s="426">
        <f t="shared" si="49"/>
        <v>-3593</v>
      </c>
      <c r="AT60" s="426">
        <f t="shared" si="49"/>
        <v>19000.5</v>
      </c>
      <c r="AU60" s="426">
        <f t="shared" si="49"/>
        <v>6582</v>
      </c>
      <c r="AV60" s="426">
        <f t="shared" si="49"/>
        <v>24676.5</v>
      </c>
      <c r="AW60" s="426">
        <f t="shared" si="49"/>
        <v>10126</v>
      </c>
      <c r="AX60" s="426">
        <f t="shared" si="49"/>
        <v>8992.5</v>
      </c>
      <c r="AY60" s="426">
        <f t="shared" si="49"/>
        <v>21830</v>
      </c>
      <c r="AZ60" s="426">
        <f t="shared" si="49"/>
        <v>3489.5</v>
      </c>
      <c r="BA60" s="426">
        <f t="shared" si="49"/>
        <v>11060.5</v>
      </c>
      <c r="BB60" s="426">
        <f t="shared" si="49"/>
        <v>17248</v>
      </c>
      <c r="BC60" s="426">
        <f t="shared" si="49"/>
        <v>16043</v>
      </c>
      <c r="BD60" s="426">
        <f t="shared" si="49"/>
        <v>281</v>
      </c>
      <c r="BE60" s="426">
        <f t="shared" si="49"/>
        <v>10839.5</v>
      </c>
      <c r="BF60" s="426">
        <f t="shared" si="49"/>
        <v>10629</v>
      </c>
      <c r="BG60" s="426">
        <f t="shared" si="49"/>
        <v>1426</v>
      </c>
      <c r="BH60" s="426">
        <f t="shared" si="49"/>
        <v>59</v>
      </c>
      <c r="BI60" s="426">
        <f t="shared" si="49"/>
        <v>-3967.4000000000233</v>
      </c>
      <c r="BJ60" s="426">
        <f t="shared" si="49"/>
        <v>-5529.5999999999767</v>
      </c>
      <c r="BK60" s="426">
        <f t="shared" si="49"/>
        <v>-7782.5</v>
      </c>
      <c r="BL60" s="426">
        <f t="shared" si="49"/>
        <v>-4249</v>
      </c>
      <c r="BM60" s="426">
        <f t="shared" si="49"/>
        <v>14945.5</v>
      </c>
      <c r="BN60" s="426">
        <f t="shared" si="49"/>
        <v>-1812.5</v>
      </c>
      <c r="BO60" s="426">
        <f t="shared" si="49"/>
        <v>-9399.5</v>
      </c>
      <c r="BP60" s="427">
        <f t="shared" si="49"/>
        <v>-6448</v>
      </c>
      <c r="BQ60" s="425">
        <f t="shared" si="49"/>
        <v>9863.5</v>
      </c>
      <c r="BR60" s="426">
        <f t="shared" si="49"/>
        <v>-12692.5</v>
      </c>
      <c r="BS60" s="426">
        <f t="shared" si="49"/>
        <v>2483</v>
      </c>
      <c r="BT60" s="426">
        <f t="shared" si="49"/>
        <v>6869.5</v>
      </c>
      <c r="BU60" s="426">
        <f t="shared" si="49"/>
        <v>-13739</v>
      </c>
      <c r="BV60" s="426">
        <f t="shared" si="49"/>
        <v>76.5</v>
      </c>
      <c r="BW60" s="426">
        <f t="shared" si="49"/>
        <v>2489.5</v>
      </c>
      <c r="BX60" s="426">
        <f t="shared" si="49"/>
        <v>85359</v>
      </c>
      <c r="BY60" s="426">
        <f t="shared" ref="BY60:EJ61" si="50">+BY62-BX62</f>
        <v>756</v>
      </c>
      <c r="BZ60" s="426">
        <f t="shared" si="50"/>
        <v>6257.5</v>
      </c>
      <c r="CA60" s="426">
        <f t="shared" si="50"/>
        <v>7251.5</v>
      </c>
      <c r="CB60" s="428">
        <f t="shared" si="50"/>
        <v>17007</v>
      </c>
      <c r="CC60" s="426">
        <f t="shared" si="50"/>
        <v>15411.670000000042</v>
      </c>
      <c r="CD60" s="426">
        <f t="shared" si="50"/>
        <v>12112.999999999884</v>
      </c>
      <c r="CE60" s="426">
        <f t="shared" si="50"/>
        <v>30286.500000000116</v>
      </c>
      <c r="CF60" s="426">
        <f t="shared" si="50"/>
        <v>676</v>
      </c>
      <c r="CG60" s="426">
        <f t="shared" si="50"/>
        <v>20554</v>
      </c>
      <c r="CH60" s="426">
        <f t="shared" si="50"/>
        <v>10369.5</v>
      </c>
      <c r="CI60" s="426">
        <f t="shared" si="50"/>
        <v>-2445.5</v>
      </c>
      <c r="CJ60" s="426">
        <f t="shared" si="50"/>
        <v>-45014</v>
      </c>
      <c r="CK60" s="426">
        <f t="shared" si="50"/>
        <v>14370</v>
      </c>
      <c r="CL60" s="426">
        <f t="shared" si="50"/>
        <v>27979.5</v>
      </c>
      <c r="CM60" s="426">
        <f t="shared" si="50"/>
        <v>-63737</v>
      </c>
      <c r="CN60" s="426">
        <f t="shared" si="50"/>
        <v>13341.630000000005</v>
      </c>
      <c r="CO60" s="426">
        <f t="shared" si="50"/>
        <v>-16220.400000000023</v>
      </c>
      <c r="CP60" s="426">
        <f t="shared" si="50"/>
        <v>37936.390000000014</v>
      </c>
      <c r="CQ60" s="426">
        <f t="shared" si="50"/>
        <v>49092.010000000009</v>
      </c>
      <c r="CR60" s="426">
        <f t="shared" si="50"/>
        <v>-5577.7600000000093</v>
      </c>
      <c r="CS60" s="426">
        <f t="shared" si="50"/>
        <v>-2573.8200000000652</v>
      </c>
      <c r="CT60" s="426">
        <f t="shared" si="50"/>
        <v>81888.680000000168</v>
      </c>
      <c r="CU60" s="426">
        <f t="shared" si="50"/>
        <v>21132.609999999753</v>
      </c>
      <c r="CV60" s="426">
        <f t="shared" si="50"/>
        <v>10182.920000000042</v>
      </c>
      <c r="CW60" s="426">
        <f t="shared" si="50"/>
        <v>23623.870000000112</v>
      </c>
      <c r="CX60" s="426">
        <f t="shared" si="50"/>
        <v>21420.979999999981</v>
      </c>
      <c r="CY60" s="426">
        <f t="shared" si="50"/>
        <v>14780.159999999683</v>
      </c>
      <c r="CZ60" s="426">
        <f t="shared" si="50"/>
        <v>15330.720000000321</v>
      </c>
      <c r="DA60" s="426">
        <f t="shared" si="50"/>
        <v>-104434.65000000002</v>
      </c>
      <c r="DB60" s="426">
        <f t="shared" si="50"/>
        <v>19863.570000000182</v>
      </c>
      <c r="DC60" s="426">
        <f t="shared" si="50"/>
        <v>-9546.8599999997532</v>
      </c>
      <c r="DD60" s="426">
        <f t="shared" si="50"/>
        <v>41960.399999999092</v>
      </c>
      <c r="DE60" s="426">
        <f t="shared" si="50"/>
        <v>-14241.679999999935</v>
      </c>
      <c r="DF60" s="426">
        <f t="shared" si="50"/>
        <v>51201.000000000931</v>
      </c>
      <c r="DG60" s="426">
        <f t="shared" si="50"/>
        <v>35188.039999999455</v>
      </c>
      <c r="DH60" s="426">
        <f t="shared" si="50"/>
        <v>44429.950000000419</v>
      </c>
      <c r="DI60" s="426">
        <f t="shared" si="50"/>
        <v>26049.599999999395</v>
      </c>
      <c r="DJ60" s="426">
        <f t="shared" si="50"/>
        <v>20165.519999999553</v>
      </c>
      <c r="DK60" s="426">
        <f t="shared" si="50"/>
        <v>16435.350000000559</v>
      </c>
      <c r="DL60" s="426">
        <f t="shared" si="50"/>
        <v>-326.98000000044703</v>
      </c>
      <c r="DM60" s="426">
        <f t="shared" si="50"/>
        <v>51651.040000000503</v>
      </c>
      <c r="DN60" s="426">
        <f t="shared" si="50"/>
        <v>46414.969999999972</v>
      </c>
      <c r="DO60" s="426">
        <f t="shared" si="50"/>
        <v>25437.009999998845</v>
      </c>
      <c r="DP60" s="426">
        <f t="shared" si="50"/>
        <v>49466.760000000941</v>
      </c>
      <c r="DQ60" s="426">
        <f t="shared" si="50"/>
        <v>21077.299999999348</v>
      </c>
      <c r="DR60" s="426">
        <f t="shared" si="50"/>
        <v>6128.7299999999814</v>
      </c>
      <c r="DS60" s="426">
        <f t="shared" si="50"/>
        <v>85856.490000003483</v>
      </c>
      <c r="DT60" s="426">
        <f t="shared" si="50"/>
        <v>23558.989999996964</v>
      </c>
      <c r="DU60" s="426">
        <f t="shared" si="50"/>
        <v>84481.340000000317</v>
      </c>
      <c r="DV60" s="426">
        <f t="shared" si="50"/>
        <v>24321.120000000112</v>
      </c>
      <c r="DW60" s="426">
        <f t="shared" si="50"/>
        <v>83484.89000000176</v>
      </c>
      <c r="DX60" s="426">
        <f t="shared" si="50"/>
        <v>75899.179999998538</v>
      </c>
      <c r="DY60" s="426">
        <f t="shared" si="50"/>
        <v>-46746.179999999469</v>
      </c>
      <c r="DZ60" s="426">
        <f t="shared" si="50"/>
        <v>76155.149999997811</v>
      </c>
      <c r="EA60" s="426">
        <f t="shared" si="50"/>
        <v>91840.130000003148</v>
      </c>
      <c r="EB60" s="426">
        <f t="shared" si="50"/>
        <v>126840.55999999912</v>
      </c>
      <c r="EC60" s="426">
        <f t="shared" si="50"/>
        <v>19869.329999999842</v>
      </c>
      <c r="ED60" s="426">
        <f t="shared" si="50"/>
        <v>59073.080000001471</v>
      </c>
      <c r="EE60" s="426">
        <f t="shared" si="50"/>
        <v>94115.49999999837</v>
      </c>
      <c r="EF60" s="426">
        <f t="shared" si="50"/>
        <v>-18398.16999999946</v>
      </c>
      <c r="EG60" s="426">
        <f t="shared" si="50"/>
        <v>22636.279999999795</v>
      </c>
      <c r="EH60" s="426">
        <f t="shared" si="50"/>
        <v>-2171824.4200000009</v>
      </c>
      <c r="EI60" s="426">
        <f t="shared" si="50"/>
        <v>0</v>
      </c>
      <c r="EJ60" s="426">
        <f t="shared" si="50"/>
        <v>0</v>
      </c>
    </row>
    <row r="61" spans="1:140" s="299" customFormat="1" ht="22.5" customHeight="1" thickBot="1">
      <c r="A61" s="912"/>
      <c r="B61" s="887"/>
      <c r="C61" s="893"/>
      <c r="D61" s="723" t="s">
        <v>49</v>
      </c>
      <c r="E61" s="724"/>
      <c r="F61" s="725"/>
      <c r="G61" s="725"/>
      <c r="H61" s="726"/>
      <c r="I61" s="727"/>
      <c r="J61" s="725"/>
      <c r="K61" s="429"/>
      <c r="L61" s="430">
        <f>+L63</f>
        <v>2</v>
      </c>
      <c r="M61" s="430">
        <f t="shared" si="49"/>
        <v>5</v>
      </c>
      <c r="N61" s="430">
        <f t="shared" si="49"/>
        <v>9</v>
      </c>
      <c r="O61" s="430">
        <f t="shared" si="49"/>
        <v>7</v>
      </c>
      <c r="P61" s="430">
        <f t="shared" si="49"/>
        <v>6</v>
      </c>
      <c r="Q61" s="430">
        <f t="shared" si="49"/>
        <v>7</v>
      </c>
      <c r="R61" s="430">
        <f t="shared" si="49"/>
        <v>9</v>
      </c>
      <c r="S61" s="430">
        <f t="shared" si="49"/>
        <v>6</v>
      </c>
      <c r="T61" s="431">
        <f t="shared" si="49"/>
        <v>8</v>
      </c>
      <c r="U61" s="432">
        <f t="shared" si="49"/>
        <v>3</v>
      </c>
      <c r="V61" s="433">
        <f t="shared" si="49"/>
        <v>12</v>
      </c>
      <c r="W61" s="433">
        <f t="shared" si="49"/>
        <v>5</v>
      </c>
      <c r="X61" s="433">
        <f t="shared" si="49"/>
        <v>13</v>
      </c>
      <c r="Y61" s="433">
        <f t="shared" si="49"/>
        <v>26</v>
      </c>
      <c r="Z61" s="433">
        <f t="shared" si="49"/>
        <v>23</v>
      </c>
      <c r="AA61" s="433">
        <f t="shared" si="49"/>
        <v>1</v>
      </c>
      <c r="AB61" s="433">
        <f t="shared" si="49"/>
        <v>2</v>
      </c>
      <c r="AC61" s="433">
        <f t="shared" si="49"/>
        <v>10</v>
      </c>
      <c r="AD61" s="433">
        <f t="shared" si="49"/>
        <v>13</v>
      </c>
      <c r="AE61" s="433">
        <f t="shared" si="49"/>
        <v>12</v>
      </c>
      <c r="AF61" s="433">
        <f t="shared" si="49"/>
        <v>6</v>
      </c>
      <c r="AG61" s="433">
        <f t="shared" si="49"/>
        <v>15</v>
      </c>
      <c r="AH61" s="433">
        <f t="shared" si="49"/>
        <v>10</v>
      </c>
      <c r="AI61" s="433">
        <f t="shared" si="49"/>
        <v>8</v>
      </c>
      <c r="AJ61" s="433">
        <f t="shared" si="49"/>
        <v>9</v>
      </c>
      <c r="AK61" s="433">
        <f t="shared" si="49"/>
        <v>-5</v>
      </c>
      <c r="AL61" s="433">
        <f t="shared" si="49"/>
        <v>11</v>
      </c>
      <c r="AM61" s="433">
        <f t="shared" si="49"/>
        <v>22</v>
      </c>
      <c r="AN61" s="433">
        <f t="shared" si="49"/>
        <v>8</v>
      </c>
      <c r="AO61" s="433">
        <f t="shared" si="49"/>
        <v>14</v>
      </c>
      <c r="AP61" s="433">
        <f t="shared" si="49"/>
        <v>6</v>
      </c>
      <c r="AQ61" s="433">
        <f t="shared" si="49"/>
        <v>46</v>
      </c>
      <c r="AR61" s="433">
        <f t="shared" si="49"/>
        <v>5</v>
      </c>
      <c r="AS61" s="433">
        <f t="shared" si="49"/>
        <v>-2</v>
      </c>
      <c r="AT61" s="433">
        <f t="shared" si="49"/>
        <v>9</v>
      </c>
      <c r="AU61" s="433">
        <f t="shared" si="49"/>
        <v>0</v>
      </c>
      <c r="AV61" s="433">
        <f t="shared" si="49"/>
        <v>14</v>
      </c>
      <c r="AW61" s="433">
        <f t="shared" si="49"/>
        <v>4</v>
      </c>
      <c r="AX61" s="433">
        <f t="shared" si="49"/>
        <v>6</v>
      </c>
      <c r="AY61" s="433">
        <f t="shared" si="49"/>
        <v>13</v>
      </c>
      <c r="AZ61" s="433">
        <f t="shared" si="49"/>
        <v>5</v>
      </c>
      <c r="BA61" s="433">
        <f t="shared" si="49"/>
        <v>11</v>
      </c>
      <c r="BB61" s="433">
        <f t="shared" si="49"/>
        <v>11</v>
      </c>
      <c r="BC61" s="433">
        <f t="shared" si="49"/>
        <v>17</v>
      </c>
      <c r="BD61" s="433">
        <f t="shared" si="49"/>
        <v>8</v>
      </c>
      <c r="BE61" s="433">
        <f t="shared" si="49"/>
        <v>6</v>
      </c>
      <c r="BF61" s="433">
        <f t="shared" si="49"/>
        <v>9</v>
      </c>
      <c r="BG61" s="433">
        <f t="shared" si="49"/>
        <v>8</v>
      </c>
      <c r="BH61" s="433">
        <f t="shared" si="49"/>
        <v>7</v>
      </c>
      <c r="BI61" s="433">
        <f t="shared" si="49"/>
        <v>6</v>
      </c>
      <c r="BJ61" s="433">
        <f t="shared" si="49"/>
        <v>-1</v>
      </c>
      <c r="BK61" s="433">
        <f t="shared" si="49"/>
        <v>0</v>
      </c>
      <c r="BL61" s="433">
        <f t="shared" si="49"/>
        <v>-1</v>
      </c>
      <c r="BM61" s="433">
        <f t="shared" si="49"/>
        <v>8</v>
      </c>
      <c r="BN61" s="433">
        <f t="shared" si="49"/>
        <v>1</v>
      </c>
      <c r="BO61" s="433">
        <f t="shared" si="49"/>
        <v>-3</v>
      </c>
      <c r="BP61" s="434">
        <f t="shared" si="49"/>
        <v>6</v>
      </c>
      <c r="BQ61" s="432">
        <f t="shared" si="49"/>
        <v>7</v>
      </c>
      <c r="BR61" s="433">
        <f t="shared" si="49"/>
        <v>-3</v>
      </c>
      <c r="BS61" s="433">
        <f t="shared" si="49"/>
        <v>6</v>
      </c>
      <c r="BT61" s="433">
        <f t="shared" si="49"/>
        <v>3</v>
      </c>
      <c r="BU61" s="433">
        <f t="shared" si="49"/>
        <v>-5</v>
      </c>
      <c r="BV61" s="433">
        <f t="shared" si="49"/>
        <v>0</v>
      </c>
      <c r="BW61" s="433">
        <f t="shared" si="49"/>
        <v>6</v>
      </c>
      <c r="BX61" s="433">
        <f t="shared" si="49"/>
        <v>7</v>
      </c>
      <c r="BY61" s="433">
        <f t="shared" si="50"/>
        <v>6</v>
      </c>
      <c r="BZ61" s="433">
        <f t="shared" si="50"/>
        <v>4</v>
      </c>
      <c r="CA61" s="433">
        <f t="shared" si="50"/>
        <v>0</v>
      </c>
      <c r="CB61" s="435">
        <f t="shared" si="50"/>
        <v>8</v>
      </c>
      <c r="CC61" s="433">
        <f t="shared" si="50"/>
        <v>6</v>
      </c>
      <c r="CD61" s="433">
        <f t="shared" si="50"/>
        <v>-1</v>
      </c>
      <c r="CE61" s="433">
        <f t="shared" si="50"/>
        <v>18</v>
      </c>
      <c r="CF61" s="433">
        <f t="shared" si="50"/>
        <v>6</v>
      </c>
      <c r="CG61" s="433">
        <f t="shared" si="50"/>
        <v>18</v>
      </c>
      <c r="CH61" s="433">
        <f t="shared" si="50"/>
        <v>5</v>
      </c>
      <c r="CI61" s="433">
        <f t="shared" si="50"/>
        <v>-1</v>
      </c>
      <c r="CJ61" s="433">
        <f t="shared" si="50"/>
        <v>-43</v>
      </c>
      <c r="CK61" s="433">
        <f t="shared" si="50"/>
        <v>10</v>
      </c>
      <c r="CL61" s="433">
        <f t="shared" si="50"/>
        <v>14</v>
      </c>
      <c r="CM61" s="433">
        <f t="shared" si="50"/>
        <v>-62</v>
      </c>
      <c r="CN61" s="433">
        <f t="shared" si="50"/>
        <v>10</v>
      </c>
      <c r="CO61" s="433">
        <f t="shared" si="50"/>
        <v>-4</v>
      </c>
      <c r="CP61" s="433">
        <f t="shared" si="50"/>
        <v>14</v>
      </c>
      <c r="CQ61" s="433">
        <f t="shared" si="50"/>
        <v>8</v>
      </c>
      <c r="CR61" s="433">
        <f t="shared" si="50"/>
        <v>3</v>
      </c>
      <c r="CS61" s="433">
        <f t="shared" si="50"/>
        <v>-3</v>
      </c>
      <c r="CT61" s="433">
        <f t="shared" si="50"/>
        <v>13</v>
      </c>
      <c r="CU61" s="433">
        <f t="shared" si="50"/>
        <v>17</v>
      </c>
      <c r="CV61" s="433">
        <f t="shared" si="50"/>
        <v>4</v>
      </c>
      <c r="CW61" s="433">
        <f t="shared" si="50"/>
        <v>8</v>
      </c>
      <c r="CX61" s="433">
        <f t="shared" si="50"/>
        <v>15</v>
      </c>
      <c r="CY61" s="433">
        <f t="shared" si="50"/>
        <v>5</v>
      </c>
      <c r="CZ61" s="433">
        <f t="shared" si="50"/>
        <v>-414</v>
      </c>
      <c r="DA61" s="433">
        <f t="shared" si="50"/>
        <v>372</v>
      </c>
      <c r="DB61" s="433">
        <f t="shared" si="50"/>
        <v>12</v>
      </c>
      <c r="DC61" s="433">
        <f t="shared" si="50"/>
        <v>-10</v>
      </c>
      <c r="DD61" s="433">
        <f t="shared" si="50"/>
        <v>25</v>
      </c>
      <c r="DE61" s="433">
        <f t="shared" si="50"/>
        <v>-5</v>
      </c>
      <c r="DF61" s="433">
        <f t="shared" si="50"/>
        <v>10</v>
      </c>
      <c r="DG61" s="433">
        <f t="shared" si="50"/>
        <v>12</v>
      </c>
      <c r="DH61" s="433">
        <f t="shared" si="50"/>
        <v>34</v>
      </c>
      <c r="DI61" s="433">
        <f t="shared" si="50"/>
        <v>14</v>
      </c>
      <c r="DJ61" s="433">
        <f t="shared" si="50"/>
        <v>7</v>
      </c>
      <c r="DK61" s="433">
        <f t="shared" si="50"/>
        <v>4</v>
      </c>
      <c r="DL61" s="433">
        <f t="shared" si="50"/>
        <v>14</v>
      </c>
      <c r="DM61" s="433">
        <f t="shared" si="50"/>
        <v>24</v>
      </c>
      <c r="DN61" s="433">
        <f t="shared" si="50"/>
        <v>33</v>
      </c>
      <c r="DO61" s="433">
        <f t="shared" si="50"/>
        <v>16</v>
      </c>
      <c r="DP61" s="433">
        <f t="shared" si="50"/>
        <v>25</v>
      </c>
      <c r="DQ61" s="433">
        <f t="shared" si="50"/>
        <v>10</v>
      </c>
      <c r="DR61" s="433">
        <f t="shared" si="50"/>
        <v>17</v>
      </c>
      <c r="DS61" s="433">
        <f t="shared" si="50"/>
        <v>41</v>
      </c>
      <c r="DT61" s="433">
        <f t="shared" si="50"/>
        <v>21</v>
      </c>
      <c r="DU61" s="433">
        <f t="shared" si="50"/>
        <v>44</v>
      </c>
      <c r="DV61" s="433">
        <f t="shared" si="50"/>
        <v>10</v>
      </c>
      <c r="DW61" s="433">
        <f t="shared" si="50"/>
        <v>42</v>
      </c>
      <c r="DX61" s="433">
        <f t="shared" si="50"/>
        <v>36</v>
      </c>
      <c r="DY61" s="433">
        <f t="shared" si="50"/>
        <v>-19</v>
      </c>
      <c r="DZ61" s="433">
        <f t="shared" si="50"/>
        <v>27</v>
      </c>
      <c r="EA61" s="433">
        <f t="shared" si="50"/>
        <v>68</v>
      </c>
      <c r="EB61" s="433">
        <f t="shared" si="50"/>
        <v>66</v>
      </c>
      <c r="EC61" s="433">
        <f t="shared" si="50"/>
        <v>13</v>
      </c>
      <c r="ED61" s="433">
        <f t="shared" si="50"/>
        <v>32</v>
      </c>
      <c r="EE61" s="433">
        <f t="shared" si="50"/>
        <v>36</v>
      </c>
      <c r="EF61" s="433">
        <f t="shared" si="50"/>
        <v>-9</v>
      </c>
      <c r="EG61" s="433">
        <f t="shared" si="50"/>
        <v>25</v>
      </c>
      <c r="EH61" s="433">
        <f t="shared" si="50"/>
        <v>-1208</v>
      </c>
      <c r="EI61" s="433">
        <f t="shared" si="50"/>
        <v>0</v>
      </c>
      <c r="EJ61" s="433">
        <f t="shared" si="50"/>
        <v>0</v>
      </c>
    </row>
    <row r="62" spans="1:140" s="310" customFormat="1" ht="22.5" customHeight="1">
      <c r="A62" s="912"/>
      <c r="B62" s="887"/>
      <c r="C62" s="880" t="s">
        <v>53</v>
      </c>
      <c r="D62" s="728" t="s">
        <v>48</v>
      </c>
      <c r="E62" s="729"/>
      <c r="F62" s="730"/>
      <c r="G62" s="730"/>
      <c r="H62" s="728"/>
      <c r="I62" s="731">
        <v>0</v>
      </c>
      <c r="J62" s="732">
        <v>0</v>
      </c>
      <c r="K62" s="732">
        <v>0</v>
      </c>
      <c r="L62" s="363">
        <v>1469</v>
      </c>
      <c r="M62" s="363">
        <f t="shared" ref="M62:W62" si="51">+L62+M55-M57-M59</f>
        <v>12066.5</v>
      </c>
      <c r="N62" s="363">
        <f t="shared" si="51"/>
        <v>25054.5</v>
      </c>
      <c r="O62" s="363">
        <f t="shared" si="51"/>
        <v>31368.5</v>
      </c>
      <c r="P62" s="363">
        <f t="shared" si="51"/>
        <v>40677.5</v>
      </c>
      <c r="Q62" s="363">
        <f t="shared" si="51"/>
        <v>49888.5</v>
      </c>
      <c r="R62" s="363">
        <f t="shared" si="51"/>
        <v>61281</v>
      </c>
      <c r="S62" s="363">
        <f t="shared" si="51"/>
        <v>72077</v>
      </c>
      <c r="T62" s="364">
        <f t="shared" si="51"/>
        <v>80963.5</v>
      </c>
      <c r="U62" s="365">
        <f t="shared" si="51"/>
        <v>83518.5</v>
      </c>
      <c r="V62" s="366">
        <f t="shared" si="51"/>
        <v>102525.5</v>
      </c>
      <c r="W62" s="366">
        <f t="shared" si="51"/>
        <v>113252</v>
      </c>
      <c r="X62" s="366">
        <v>128036</v>
      </c>
      <c r="Y62" s="366">
        <v>176077.5</v>
      </c>
      <c r="Z62" s="366">
        <v>208123</v>
      </c>
      <c r="AA62" s="366">
        <v>209101</v>
      </c>
      <c r="AB62" s="366">
        <v>210349.5</v>
      </c>
      <c r="AC62" s="366">
        <v>238861.5</v>
      </c>
      <c r="AD62" s="366">
        <v>265317.5</v>
      </c>
      <c r="AE62" s="366">
        <v>283072.5</v>
      </c>
      <c r="AF62" s="366">
        <v>297154.5</v>
      </c>
      <c r="AG62" s="366">
        <v>332373</v>
      </c>
      <c r="AH62" s="366">
        <v>346978.5</v>
      </c>
      <c r="AI62" s="366">
        <v>358278.5</v>
      </c>
      <c r="AJ62" s="366">
        <v>374980</v>
      </c>
      <c r="AK62" s="366">
        <v>362451.5</v>
      </c>
      <c r="AL62" s="366">
        <v>370743.5</v>
      </c>
      <c r="AM62" s="366">
        <v>408597.5</v>
      </c>
      <c r="AN62" s="366">
        <v>426710</v>
      </c>
      <c r="AO62" s="366">
        <v>447283.5</v>
      </c>
      <c r="AP62" s="366">
        <v>459494.5</v>
      </c>
      <c r="AQ62" s="366">
        <v>503900</v>
      </c>
      <c r="AR62" s="366">
        <v>510567.5</v>
      </c>
      <c r="AS62" s="366">
        <v>506974.5</v>
      </c>
      <c r="AT62" s="366">
        <v>525975</v>
      </c>
      <c r="AU62" s="366">
        <v>532557</v>
      </c>
      <c r="AV62" s="366">
        <v>557233.5</v>
      </c>
      <c r="AW62" s="366">
        <v>567359.5</v>
      </c>
      <c r="AX62" s="366">
        <v>576352</v>
      </c>
      <c r="AY62" s="366">
        <v>598182</v>
      </c>
      <c r="AZ62" s="366">
        <v>601671.5</v>
      </c>
      <c r="BA62" s="366">
        <v>612732</v>
      </c>
      <c r="BB62" s="366">
        <v>629980</v>
      </c>
      <c r="BC62" s="366">
        <v>646023</v>
      </c>
      <c r="BD62" s="366">
        <v>646304</v>
      </c>
      <c r="BE62" s="366">
        <v>657143.5</v>
      </c>
      <c r="BF62" s="366">
        <v>667772.5</v>
      </c>
      <c r="BG62" s="366">
        <v>669198.5</v>
      </c>
      <c r="BH62" s="366">
        <v>669257.5</v>
      </c>
      <c r="BI62" s="366">
        <v>665290.1</v>
      </c>
      <c r="BJ62" s="366">
        <v>659760.5</v>
      </c>
      <c r="BK62" s="366">
        <v>651978</v>
      </c>
      <c r="BL62" s="366">
        <v>647729</v>
      </c>
      <c r="BM62" s="366">
        <v>662674.5</v>
      </c>
      <c r="BN62" s="366">
        <v>660862</v>
      </c>
      <c r="BO62" s="366">
        <v>651462.5</v>
      </c>
      <c r="BP62" s="436">
        <v>645014.5</v>
      </c>
      <c r="BQ62" s="365">
        <v>654878</v>
      </c>
      <c r="BR62" s="366">
        <v>642185.5</v>
      </c>
      <c r="BS62" s="366">
        <v>644668.5</v>
      </c>
      <c r="BT62" s="366">
        <v>651538</v>
      </c>
      <c r="BU62" s="366">
        <v>637799</v>
      </c>
      <c r="BV62" s="366">
        <v>637875.5</v>
      </c>
      <c r="BW62" s="366">
        <v>640365</v>
      </c>
      <c r="BX62" s="366">
        <v>725724</v>
      </c>
      <c r="BY62" s="366">
        <v>726480</v>
      </c>
      <c r="BZ62" s="366">
        <v>732737.5</v>
      </c>
      <c r="CA62" s="366">
        <v>739989</v>
      </c>
      <c r="CB62" s="437">
        <v>756996</v>
      </c>
      <c r="CC62" s="366">
        <v>772407.67</v>
      </c>
      <c r="CD62" s="366">
        <v>784520.66999999993</v>
      </c>
      <c r="CE62" s="366">
        <v>814807.17</v>
      </c>
      <c r="CF62" s="366">
        <v>815483.17</v>
      </c>
      <c r="CG62" s="366">
        <v>836037.17</v>
      </c>
      <c r="CH62" s="366">
        <v>846406.67</v>
      </c>
      <c r="CI62" s="366">
        <v>843961.17</v>
      </c>
      <c r="CJ62" s="366">
        <v>798947.17</v>
      </c>
      <c r="CK62" s="366">
        <v>813317.17</v>
      </c>
      <c r="CL62" s="366">
        <v>841296.67</v>
      </c>
      <c r="CM62" s="366">
        <v>777559.67</v>
      </c>
      <c r="CN62" s="366">
        <v>790901.3</v>
      </c>
      <c r="CO62" s="366">
        <v>774680.9</v>
      </c>
      <c r="CP62" s="366">
        <v>812617.29</v>
      </c>
      <c r="CQ62" s="366">
        <v>861709.3</v>
      </c>
      <c r="CR62" s="366">
        <v>856131.54</v>
      </c>
      <c r="CS62" s="366">
        <v>853557.72</v>
      </c>
      <c r="CT62" s="366">
        <v>935446.40000000014</v>
      </c>
      <c r="CU62" s="366">
        <v>956579.00999999989</v>
      </c>
      <c r="CV62" s="366">
        <v>966761.92999999993</v>
      </c>
      <c r="CW62" s="366">
        <v>990385.8</v>
      </c>
      <c r="CX62" s="366">
        <v>1011806.78</v>
      </c>
      <c r="CY62" s="366">
        <v>1026586.9399999997</v>
      </c>
      <c r="CZ62" s="366">
        <v>1041917.66</v>
      </c>
      <c r="DA62" s="366">
        <v>937483.01</v>
      </c>
      <c r="DB62" s="366">
        <v>957346.58000000019</v>
      </c>
      <c r="DC62" s="366">
        <v>947799.72000000044</v>
      </c>
      <c r="DD62" s="366">
        <v>989760.11999999953</v>
      </c>
      <c r="DE62" s="366">
        <v>975518.43999999959</v>
      </c>
      <c r="DF62" s="366">
        <v>1026719.4400000005</v>
      </c>
      <c r="DG62" s="366">
        <v>1061907.48</v>
      </c>
      <c r="DH62" s="366">
        <v>1106337.4300000004</v>
      </c>
      <c r="DI62" s="366">
        <v>1132387.0299999998</v>
      </c>
      <c r="DJ62" s="366">
        <v>1152552.5499999993</v>
      </c>
      <c r="DK62" s="366">
        <v>1168987.8999999999</v>
      </c>
      <c r="DL62" s="366">
        <v>1168660.9199999995</v>
      </c>
      <c r="DM62" s="366">
        <v>1220311.96</v>
      </c>
      <c r="DN62" s="366">
        <v>1266726.93</v>
      </c>
      <c r="DO62" s="366">
        <v>1292163.9399999988</v>
      </c>
      <c r="DP62" s="366">
        <v>1341630.6999999997</v>
      </c>
      <c r="DQ62" s="366">
        <v>1362707.9999999991</v>
      </c>
      <c r="DR62" s="366">
        <v>1368836.7299999991</v>
      </c>
      <c r="DS62" s="366">
        <v>1454693.2200000025</v>
      </c>
      <c r="DT62" s="366">
        <v>1478252.2099999995</v>
      </c>
      <c r="DU62" s="366">
        <v>1562733.5499999998</v>
      </c>
      <c r="DV62" s="366">
        <v>1587054.67</v>
      </c>
      <c r="DW62" s="366">
        <v>1670539.5600000017</v>
      </c>
      <c r="DX62" s="366">
        <v>1746438.7400000002</v>
      </c>
      <c r="DY62" s="366">
        <v>1699692.5600000008</v>
      </c>
      <c r="DZ62" s="366">
        <v>1775847.7099999986</v>
      </c>
      <c r="EA62" s="366">
        <v>1867687.8400000017</v>
      </c>
      <c r="EB62" s="366">
        <v>1994528.4000000008</v>
      </c>
      <c r="EC62" s="366">
        <v>2014397.7300000007</v>
      </c>
      <c r="ED62" s="366">
        <v>2073470.8100000022</v>
      </c>
      <c r="EE62" s="366">
        <v>2167586.3100000005</v>
      </c>
      <c r="EF62" s="366">
        <v>2149188.1400000011</v>
      </c>
      <c r="EG62" s="366">
        <v>2171824.4200000009</v>
      </c>
      <c r="EH62" s="366"/>
      <c r="EI62" s="366"/>
      <c r="EJ62" s="366"/>
    </row>
    <row r="63" spans="1:140" s="300" customFormat="1" ht="22.5" customHeight="1" thickBot="1">
      <c r="A63" s="912"/>
      <c r="B63" s="887"/>
      <c r="C63" s="881"/>
      <c r="D63" s="602" t="s">
        <v>49</v>
      </c>
      <c r="E63" s="733"/>
      <c r="F63" s="734"/>
      <c r="G63" s="734"/>
      <c r="H63" s="602"/>
      <c r="I63" s="735">
        <v>0</v>
      </c>
      <c r="J63" s="736">
        <v>0</v>
      </c>
      <c r="K63" s="736">
        <v>0</v>
      </c>
      <c r="L63" s="371">
        <v>2</v>
      </c>
      <c r="M63" s="371">
        <f t="shared" ref="M63:W63" si="52">+L63+M56-M58</f>
        <v>7</v>
      </c>
      <c r="N63" s="371">
        <f t="shared" si="52"/>
        <v>16</v>
      </c>
      <c r="O63" s="371">
        <f t="shared" si="52"/>
        <v>23</v>
      </c>
      <c r="P63" s="371">
        <f t="shared" si="52"/>
        <v>29</v>
      </c>
      <c r="Q63" s="371">
        <f t="shared" si="52"/>
        <v>36</v>
      </c>
      <c r="R63" s="371">
        <f t="shared" si="52"/>
        <v>45</v>
      </c>
      <c r="S63" s="371">
        <f t="shared" si="52"/>
        <v>51</v>
      </c>
      <c r="T63" s="372">
        <f t="shared" si="52"/>
        <v>59</v>
      </c>
      <c r="U63" s="373">
        <f t="shared" si="52"/>
        <v>62</v>
      </c>
      <c r="V63" s="438">
        <f t="shared" si="52"/>
        <v>74</v>
      </c>
      <c r="W63" s="438">
        <f t="shared" si="52"/>
        <v>79</v>
      </c>
      <c r="X63" s="438">
        <v>92</v>
      </c>
      <c r="Y63" s="438">
        <v>118</v>
      </c>
      <c r="Z63" s="438">
        <v>141</v>
      </c>
      <c r="AA63" s="438">
        <v>142</v>
      </c>
      <c r="AB63" s="438">
        <v>144</v>
      </c>
      <c r="AC63" s="438">
        <v>154</v>
      </c>
      <c r="AD63" s="438">
        <v>167</v>
      </c>
      <c r="AE63" s="438">
        <v>179</v>
      </c>
      <c r="AF63" s="438">
        <v>185</v>
      </c>
      <c r="AG63" s="438">
        <v>200</v>
      </c>
      <c r="AH63" s="438">
        <v>210</v>
      </c>
      <c r="AI63" s="438">
        <v>218</v>
      </c>
      <c r="AJ63" s="438">
        <v>227</v>
      </c>
      <c r="AK63" s="438">
        <v>222</v>
      </c>
      <c r="AL63" s="438">
        <v>233</v>
      </c>
      <c r="AM63" s="438">
        <v>255</v>
      </c>
      <c r="AN63" s="438">
        <v>263</v>
      </c>
      <c r="AO63" s="438">
        <v>277</v>
      </c>
      <c r="AP63" s="438">
        <v>283</v>
      </c>
      <c r="AQ63" s="438">
        <v>329</v>
      </c>
      <c r="AR63" s="438">
        <v>334</v>
      </c>
      <c r="AS63" s="438">
        <v>332</v>
      </c>
      <c r="AT63" s="438">
        <v>341</v>
      </c>
      <c r="AU63" s="438">
        <v>341</v>
      </c>
      <c r="AV63" s="438">
        <v>355</v>
      </c>
      <c r="AW63" s="438">
        <v>359</v>
      </c>
      <c r="AX63" s="438">
        <v>365</v>
      </c>
      <c r="AY63" s="438">
        <v>378</v>
      </c>
      <c r="AZ63" s="438">
        <v>383</v>
      </c>
      <c r="BA63" s="438">
        <v>394</v>
      </c>
      <c r="BB63" s="438">
        <v>405</v>
      </c>
      <c r="BC63" s="438">
        <v>422</v>
      </c>
      <c r="BD63" s="438">
        <v>430</v>
      </c>
      <c r="BE63" s="438">
        <v>436</v>
      </c>
      <c r="BF63" s="438">
        <v>445</v>
      </c>
      <c r="BG63" s="438">
        <v>453</v>
      </c>
      <c r="BH63" s="438">
        <v>460</v>
      </c>
      <c r="BI63" s="438">
        <v>466</v>
      </c>
      <c r="BJ63" s="438">
        <v>465</v>
      </c>
      <c r="BK63" s="438">
        <v>465</v>
      </c>
      <c r="BL63" s="438">
        <v>464</v>
      </c>
      <c r="BM63" s="438">
        <v>472</v>
      </c>
      <c r="BN63" s="438">
        <v>473</v>
      </c>
      <c r="BO63" s="438">
        <v>470</v>
      </c>
      <c r="BP63" s="439">
        <v>476</v>
      </c>
      <c r="BQ63" s="373">
        <v>483</v>
      </c>
      <c r="BR63" s="438">
        <v>480</v>
      </c>
      <c r="BS63" s="438">
        <v>486</v>
      </c>
      <c r="BT63" s="438">
        <v>489</v>
      </c>
      <c r="BU63" s="438">
        <v>484</v>
      </c>
      <c r="BV63" s="438">
        <v>484</v>
      </c>
      <c r="BW63" s="438">
        <v>490</v>
      </c>
      <c r="BX63" s="438">
        <v>497</v>
      </c>
      <c r="BY63" s="438">
        <v>503</v>
      </c>
      <c r="BZ63" s="438">
        <v>507</v>
      </c>
      <c r="CA63" s="438">
        <v>507</v>
      </c>
      <c r="CB63" s="440">
        <v>515</v>
      </c>
      <c r="CC63" s="438">
        <v>521</v>
      </c>
      <c r="CD63" s="438">
        <v>520</v>
      </c>
      <c r="CE63" s="438">
        <v>538</v>
      </c>
      <c r="CF63" s="438">
        <v>544</v>
      </c>
      <c r="CG63" s="438">
        <v>562</v>
      </c>
      <c r="CH63" s="438">
        <v>567</v>
      </c>
      <c r="CI63" s="438">
        <v>566</v>
      </c>
      <c r="CJ63" s="438">
        <v>523</v>
      </c>
      <c r="CK63" s="438">
        <v>533</v>
      </c>
      <c r="CL63" s="438">
        <v>547</v>
      </c>
      <c r="CM63" s="438">
        <v>485</v>
      </c>
      <c r="CN63" s="438">
        <v>495</v>
      </c>
      <c r="CO63" s="438">
        <v>491</v>
      </c>
      <c r="CP63" s="438">
        <v>505</v>
      </c>
      <c r="CQ63" s="438">
        <v>513</v>
      </c>
      <c r="CR63" s="438">
        <v>516</v>
      </c>
      <c r="CS63" s="438">
        <v>513</v>
      </c>
      <c r="CT63" s="438">
        <v>526</v>
      </c>
      <c r="CU63" s="438">
        <v>543</v>
      </c>
      <c r="CV63" s="438">
        <v>547</v>
      </c>
      <c r="CW63" s="438">
        <v>555</v>
      </c>
      <c r="CX63" s="438">
        <v>570</v>
      </c>
      <c r="CY63" s="438">
        <v>575</v>
      </c>
      <c r="CZ63" s="438">
        <v>161</v>
      </c>
      <c r="DA63" s="438">
        <v>533</v>
      </c>
      <c r="DB63" s="438">
        <v>545</v>
      </c>
      <c r="DC63" s="438">
        <v>535</v>
      </c>
      <c r="DD63" s="438">
        <v>560</v>
      </c>
      <c r="DE63" s="438">
        <v>555</v>
      </c>
      <c r="DF63" s="438">
        <v>565</v>
      </c>
      <c r="DG63" s="438">
        <v>577</v>
      </c>
      <c r="DH63" s="438">
        <v>611</v>
      </c>
      <c r="DI63" s="438">
        <v>625</v>
      </c>
      <c r="DJ63" s="438">
        <v>632</v>
      </c>
      <c r="DK63" s="438">
        <v>636</v>
      </c>
      <c r="DL63" s="438">
        <v>650</v>
      </c>
      <c r="DM63" s="438">
        <v>674</v>
      </c>
      <c r="DN63" s="438">
        <v>707</v>
      </c>
      <c r="DO63" s="438">
        <v>723</v>
      </c>
      <c r="DP63" s="438">
        <v>748</v>
      </c>
      <c r="DQ63" s="438">
        <v>758</v>
      </c>
      <c r="DR63" s="438">
        <v>775</v>
      </c>
      <c r="DS63" s="438">
        <v>816</v>
      </c>
      <c r="DT63" s="438">
        <v>837</v>
      </c>
      <c r="DU63" s="438">
        <v>881</v>
      </c>
      <c r="DV63" s="438">
        <v>891</v>
      </c>
      <c r="DW63" s="438">
        <v>933</v>
      </c>
      <c r="DX63" s="438">
        <v>969</v>
      </c>
      <c r="DY63" s="438">
        <v>950</v>
      </c>
      <c r="DZ63" s="438">
        <v>977</v>
      </c>
      <c r="EA63" s="438">
        <v>1045</v>
      </c>
      <c r="EB63" s="438">
        <v>1111</v>
      </c>
      <c r="EC63" s="438">
        <v>1124</v>
      </c>
      <c r="ED63" s="438">
        <v>1156</v>
      </c>
      <c r="EE63" s="438">
        <v>1192</v>
      </c>
      <c r="EF63" s="438">
        <v>1183</v>
      </c>
      <c r="EG63" s="438">
        <v>1208</v>
      </c>
      <c r="EH63" s="438"/>
      <c r="EI63" s="438"/>
      <c r="EJ63" s="438"/>
    </row>
    <row r="64" spans="1:140" s="301" customFormat="1" ht="22.5" customHeight="1">
      <c r="A64" s="912"/>
      <c r="B64" s="887"/>
      <c r="C64" s="894" t="s">
        <v>54</v>
      </c>
      <c r="D64" s="704" t="s">
        <v>48</v>
      </c>
      <c r="E64" s="705"/>
      <c r="F64" s="706"/>
      <c r="G64" s="706"/>
      <c r="H64" s="707"/>
      <c r="I64" s="413">
        <v>3124392.85</v>
      </c>
      <c r="J64" s="413">
        <v>3106063.85</v>
      </c>
      <c r="K64" s="413">
        <v>3117873.45</v>
      </c>
      <c r="L64" s="413">
        <v>2956318.6</v>
      </c>
      <c r="M64" s="413">
        <v>2868984.85</v>
      </c>
      <c r="N64" s="413">
        <v>2840137.35</v>
      </c>
      <c r="O64" s="413">
        <v>2879502.85</v>
      </c>
      <c r="P64" s="413">
        <v>3112521.67</v>
      </c>
      <c r="Q64" s="413">
        <v>3090207.47</v>
      </c>
      <c r="R64" s="413">
        <v>3316049.42</v>
      </c>
      <c r="S64" s="413">
        <v>3459351.47</v>
      </c>
      <c r="T64" s="414">
        <v>3232125.5</v>
      </c>
      <c r="U64" s="415">
        <v>3438896.17</v>
      </c>
      <c r="V64" s="416">
        <v>3298851.35</v>
      </c>
      <c r="W64" s="416">
        <v>3046961.35</v>
      </c>
      <c r="X64" s="416">
        <v>3111135</v>
      </c>
      <c r="Y64" s="416">
        <v>3037828.1</v>
      </c>
      <c r="Z64" s="416">
        <v>3104388.1</v>
      </c>
      <c r="AA64" s="416">
        <v>2809183.7</v>
      </c>
      <c r="AB64" s="416">
        <v>2543511.7000000002</v>
      </c>
      <c r="AC64" s="416">
        <v>2368593.7000000002</v>
      </c>
      <c r="AD64" s="416">
        <v>2213140.6</v>
      </c>
      <c r="AE64" s="416">
        <v>2515127.4900000002</v>
      </c>
      <c r="AF64" s="416">
        <v>2458227.04</v>
      </c>
      <c r="AG64" s="416">
        <v>2410114.04</v>
      </c>
      <c r="AH64" s="416">
        <v>2277173.54</v>
      </c>
      <c r="AI64" s="416">
        <v>2860694.54</v>
      </c>
      <c r="AJ64" s="416">
        <v>2713299.5</v>
      </c>
      <c r="AK64" s="416">
        <v>2725665.49</v>
      </c>
      <c r="AL64" s="416">
        <v>3272703.4099999899</v>
      </c>
      <c r="AM64" s="416">
        <v>3978644.28</v>
      </c>
      <c r="AN64" s="416">
        <v>3601835.07</v>
      </c>
      <c r="AO64" s="416">
        <v>3108217.95</v>
      </c>
      <c r="AP64" s="416">
        <v>3318693.25</v>
      </c>
      <c r="AQ64" s="416">
        <v>4285554.03</v>
      </c>
      <c r="AR64" s="416">
        <v>4733251.07</v>
      </c>
      <c r="AS64" s="416">
        <v>4537898.43</v>
      </c>
      <c r="AT64" s="416">
        <f>4461.54955*1000</f>
        <v>4461549.55</v>
      </c>
      <c r="AU64" s="416">
        <v>4577222.4400000004</v>
      </c>
      <c r="AV64" s="416">
        <v>4560445.59</v>
      </c>
      <c r="AW64" s="416">
        <v>4824937.6500000004</v>
      </c>
      <c r="AX64" s="416">
        <v>4925047.34</v>
      </c>
      <c r="AY64" s="416">
        <v>5540740.4000000004</v>
      </c>
      <c r="AZ64" s="416">
        <v>5585942.5899999999</v>
      </c>
      <c r="BA64" s="416">
        <v>6112803.2300000004</v>
      </c>
      <c r="BB64" s="416">
        <v>6063708.9800000004</v>
      </c>
      <c r="BC64" s="416">
        <v>6065504.5300000003</v>
      </c>
      <c r="BD64" s="416">
        <v>5814974.6500000004</v>
      </c>
      <c r="BE64" s="416">
        <v>5695105.2800000003</v>
      </c>
      <c r="BF64" s="416">
        <v>5718222.1200000001</v>
      </c>
      <c r="BG64" s="416">
        <v>5832291.3099999996</v>
      </c>
      <c r="BH64" s="416">
        <v>6210978.2800000003</v>
      </c>
      <c r="BI64" s="416">
        <v>6618656.79</v>
      </c>
      <c r="BJ64" s="416">
        <v>6745650.2000000002</v>
      </c>
      <c r="BK64" s="416">
        <v>7435414.2000000002</v>
      </c>
      <c r="BL64" s="416">
        <v>7637446.6500000004</v>
      </c>
      <c r="BM64" s="416">
        <v>8790255.5099999998</v>
      </c>
      <c r="BN64" s="416">
        <v>8818836.3499999996</v>
      </c>
      <c r="BO64" s="416">
        <v>8960941.4499999993</v>
      </c>
      <c r="BP64" s="417">
        <v>8947964.9600000009</v>
      </c>
      <c r="BQ64" s="415">
        <v>8836470.1399999987</v>
      </c>
      <c r="BR64" s="416">
        <v>8417808.0500000007</v>
      </c>
      <c r="BS64" s="416">
        <v>7924398.8399999999</v>
      </c>
      <c r="BT64" s="416">
        <v>7956195.6799999997</v>
      </c>
      <c r="BU64" s="416">
        <v>8241784.9400000004</v>
      </c>
      <c r="BV64" s="416">
        <f>8406.86153*1000</f>
        <v>8406861.5299999993</v>
      </c>
      <c r="BW64" s="416">
        <v>9087521.3000000007</v>
      </c>
      <c r="BX64" s="416">
        <v>9927885.2100000009</v>
      </c>
      <c r="BY64" s="416">
        <v>11132090.689999999</v>
      </c>
      <c r="BZ64" s="416">
        <v>11817290.639999999</v>
      </c>
      <c r="CA64" s="416">
        <v>11986131.34</v>
      </c>
      <c r="CB64" s="418">
        <v>11519673.689999999</v>
      </c>
      <c r="CC64" s="416">
        <v>12098282.4</v>
      </c>
      <c r="CD64" s="416">
        <v>12585514.26</v>
      </c>
      <c r="CE64" s="416">
        <v>13578751.970000001</v>
      </c>
      <c r="CF64" s="416">
        <v>14625062.559999999</v>
      </c>
      <c r="CG64" s="416">
        <v>15810123.109999999</v>
      </c>
      <c r="CH64" s="416">
        <v>18086644.140000001</v>
      </c>
      <c r="CI64" s="416">
        <v>19694844.280000001</v>
      </c>
      <c r="CJ64" s="416">
        <v>21746267.559999999</v>
      </c>
      <c r="CK64" s="416">
        <v>24231677.009999998</v>
      </c>
      <c r="CL64" s="416">
        <v>24685519.189999998</v>
      </c>
      <c r="CM64" s="416">
        <v>24360982.400000002</v>
      </c>
      <c r="CN64" s="416">
        <v>24017614.099999998</v>
      </c>
      <c r="CO64" s="416">
        <v>24318133.52</v>
      </c>
      <c r="CP64" s="416">
        <v>24901334.400000002</v>
      </c>
      <c r="CQ64" s="416">
        <v>23202616.620000001</v>
      </c>
      <c r="CR64" s="416">
        <v>21223797.66</v>
      </c>
      <c r="CS64" s="416">
        <v>19989038.41</v>
      </c>
      <c r="CT64" s="416">
        <v>19574783.82</v>
      </c>
      <c r="CU64" s="416">
        <v>19129710.119999997</v>
      </c>
      <c r="CV64" s="416">
        <v>18095222.199999999</v>
      </c>
      <c r="CW64" s="416">
        <v>17255362.580000002</v>
      </c>
      <c r="CX64" s="416">
        <v>16943374.52</v>
      </c>
      <c r="CY64" s="416">
        <v>15143952.5</v>
      </c>
      <c r="CZ64" s="416">
        <v>13072983.58</v>
      </c>
      <c r="DA64" s="416">
        <v>12122582.57</v>
      </c>
      <c r="DB64" s="416">
        <v>11968299.510000002</v>
      </c>
      <c r="DC64" s="416">
        <v>11439592.66</v>
      </c>
      <c r="DD64" s="416">
        <v>11477365.540000001</v>
      </c>
      <c r="DE64" s="416">
        <v>11527526.85</v>
      </c>
      <c r="DF64" s="416">
        <v>10764966.880000001</v>
      </c>
      <c r="DG64" s="416">
        <v>11035035.200000001</v>
      </c>
      <c r="DH64" s="416">
        <v>10335890.939999999</v>
      </c>
      <c r="DI64" s="416">
        <v>10423998.520000001</v>
      </c>
      <c r="DJ64" s="416">
        <v>10315162.000000002</v>
      </c>
      <c r="DK64" s="416">
        <v>9899988.6900000013</v>
      </c>
      <c r="DL64" s="416">
        <v>9754323.9999999981</v>
      </c>
      <c r="DM64" s="416">
        <v>9783878.5</v>
      </c>
      <c r="DN64" s="416">
        <v>9655762.4299999997</v>
      </c>
      <c r="DO64" s="416">
        <v>10375141.33</v>
      </c>
      <c r="DP64" s="416">
        <v>10932726.939999999</v>
      </c>
      <c r="DQ64" s="416">
        <v>11090122.560000001</v>
      </c>
      <c r="DR64" s="416">
        <v>11130028.18</v>
      </c>
      <c r="DS64" s="416">
        <v>11099144.66</v>
      </c>
      <c r="DT64" s="416">
        <v>11068912.279999999</v>
      </c>
      <c r="DU64" s="416">
        <v>11588178.269999998</v>
      </c>
      <c r="DV64" s="416">
        <v>11831743.68</v>
      </c>
      <c r="DW64" s="416">
        <v>11608946.040000001</v>
      </c>
      <c r="DX64" s="416">
        <v>11052120.719999999</v>
      </c>
      <c r="DY64" s="416">
        <v>10132888.68</v>
      </c>
      <c r="DZ64" s="416">
        <v>9703663.6999999993</v>
      </c>
      <c r="EA64" s="416">
        <v>10089483.76</v>
      </c>
      <c r="EB64" s="416">
        <v>9835838.6100000013</v>
      </c>
      <c r="EC64" s="416">
        <v>10643754.76</v>
      </c>
      <c r="ED64" s="416">
        <v>10565119.880000001</v>
      </c>
      <c r="EE64" s="416">
        <v>11060774.870000003</v>
      </c>
      <c r="EF64" s="416">
        <v>11099377.029999997</v>
      </c>
      <c r="EG64" s="416">
        <v>11730154.649999999</v>
      </c>
      <c r="EH64" s="416"/>
      <c r="EI64" s="416"/>
      <c r="EJ64" s="416"/>
    </row>
    <row r="65" spans="1:140" s="301" customFormat="1" ht="22.5" customHeight="1">
      <c r="A65" s="912"/>
      <c r="B65" s="887"/>
      <c r="C65" s="895"/>
      <c r="D65" s="709" t="s">
        <v>49</v>
      </c>
      <c r="E65" s="710"/>
      <c r="F65" s="711"/>
      <c r="G65" s="711"/>
      <c r="H65" s="712"/>
      <c r="I65" s="441">
        <v>4065</v>
      </c>
      <c r="J65" s="441">
        <v>3955</v>
      </c>
      <c r="K65" s="441">
        <v>3946</v>
      </c>
      <c r="L65" s="441">
        <v>3817</v>
      </c>
      <c r="M65" s="441">
        <v>3676</v>
      </c>
      <c r="N65" s="441">
        <v>3688</v>
      </c>
      <c r="O65" s="441">
        <v>3673</v>
      </c>
      <c r="P65" s="441">
        <v>3888</v>
      </c>
      <c r="Q65" s="441">
        <v>3902</v>
      </c>
      <c r="R65" s="441">
        <v>4060</v>
      </c>
      <c r="S65" s="441">
        <v>4159</v>
      </c>
      <c r="T65" s="442">
        <v>3911</v>
      </c>
      <c r="U65" s="443">
        <v>4219</v>
      </c>
      <c r="V65" s="444">
        <v>3946</v>
      </c>
      <c r="W65" s="444">
        <v>3580</v>
      </c>
      <c r="X65" s="444">
        <v>3490</v>
      </c>
      <c r="Y65" s="444">
        <v>3439</v>
      </c>
      <c r="Z65" s="444">
        <v>3585</v>
      </c>
      <c r="AA65" s="444">
        <v>3166</v>
      </c>
      <c r="AB65" s="444">
        <v>2731</v>
      </c>
      <c r="AC65" s="444">
        <v>2491</v>
      </c>
      <c r="AD65" s="444">
        <v>2173</v>
      </c>
      <c r="AE65" s="444">
        <v>2390</v>
      </c>
      <c r="AF65" s="444">
        <v>2326</v>
      </c>
      <c r="AG65" s="444">
        <v>2259</v>
      </c>
      <c r="AH65" s="444">
        <v>2055</v>
      </c>
      <c r="AI65" s="444">
        <v>2623</v>
      </c>
      <c r="AJ65" s="444">
        <v>2422</v>
      </c>
      <c r="AK65" s="444">
        <v>2454</v>
      </c>
      <c r="AL65" s="444">
        <v>3146</v>
      </c>
      <c r="AM65" s="444">
        <v>3982</v>
      </c>
      <c r="AN65" s="444">
        <v>3636</v>
      </c>
      <c r="AO65" s="444">
        <v>3165</v>
      </c>
      <c r="AP65" s="444">
        <v>3309</v>
      </c>
      <c r="AQ65" s="444">
        <v>5205</v>
      </c>
      <c r="AR65" s="444">
        <v>5970</v>
      </c>
      <c r="AS65" s="444">
        <v>5674</v>
      </c>
      <c r="AT65" s="444">
        <v>5443</v>
      </c>
      <c r="AU65" s="444">
        <v>5537</v>
      </c>
      <c r="AV65" s="444">
        <v>5233</v>
      </c>
      <c r="AW65" s="444">
        <v>5322</v>
      </c>
      <c r="AX65" s="444">
        <v>5381</v>
      </c>
      <c r="AY65" s="444">
        <v>5832</v>
      </c>
      <c r="AZ65" s="444">
        <v>5989</v>
      </c>
      <c r="BA65" s="444">
        <v>6627</v>
      </c>
      <c r="BB65" s="444">
        <v>6589</v>
      </c>
      <c r="BC65" s="444">
        <v>6594</v>
      </c>
      <c r="BD65" s="444">
        <v>6175</v>
      </c>
      <c r="BE65" s="444">
        <v>6318</v>
      </c>
      <c r="BF65" s="444">
        <v>6494</v>
      </c>
      <c r="BG65" s="444">
        <v>6387</v>
      </c>
      <c r="BH65" s="444">
        <v>6661</v>
      </c>
      <c r="BI65" s="444">
        <v>7019</v>
      </c>
      <c r="BJ65" s="444">
        <v>7147</v>
      </c>
      <c r="BK65" s="444">
        <v>7649</v>
      </c>
      <c r="BL65" s="444">
        <v>7969</v>
      </c>
      <c r="BM65" s="444">
        <v>8990</v>
      </c>
      <c r="BN65" s="444">
        <v>8515</v>
      </c>
      <c r="BO65" s="444">
        <v>8613</v>
      </c>
      <c r="BP65" s="445">
        <v>8665</v>
      </c>
      <c r="BQ65" s="443">
        <v>8651</v>
      </c>
      <c r="BR65" s="444">
        <v>8256</v>
      </c>
      <c r="BS65" s="444">
        <v>8076</v>
      </c>
      <c r="BT65" s="444">
        <v>8149</v>
      </c>
      <c r="BU65" s="444">
        <v>8310</v>
      </c>
      <c r="BV65" s="444">
        <v>8167</v>
      </c>
      <c r="BW65" s="444">
        <v>8590</v>
      </c>
      <c r="BX65" s="444">
        <v>8754</v>
      </c>
      <c r="BY65" s="444">
        <v>9714</v>
      </c>
      <c r="BZ65" s="444">
        <v>10226</v>
      </c>
      <c r="CA65" s="444">
        <v>10627</v>
      </c>
      <c r="CB65" s="446">
        <v>10192</v>
      </c>
      <c r="CC65" s="444">
        <v>10537</v>
      </c>
      <c r="CD65" s="444">
        <v>10946</v>
      </c>
      <c r="CE65" s="444">
        <v>11638</v>
      </c>
      <c r="CF65" s="444">
        <v>12545</v>
      </c>
      <c r="CG65" s="444">
        <v>13396</v>
      </c>
      <c r="CH65" s="444">
        <v>14708</v>
      </c>
      <c r="CI65" s="444">
        <v>15846</v>
      </c>
      <c r="CJ65" s="444">
        <v>16748</v>
      </c>
      <c r="CK65" s="444">
        <v>18130</v>
      </c>
      <c r="CL65" s="444">
        <v>18375</v>
      </c>
      <c r="CM65" s="444">
        <v>15031</v>
      </c>
      <c r="CN65" s="444">
        <v>13316</v>
      </c>
      <c r="CO65" s="444">
        <v>12621</v>
      </c>
      <c r="CP65" s="444">
        <v>13402</v>
      </c>
      <c r="CQ65" s="444">
        <v>12121</v>
      </c>
      <c r="CR65" s="444">
        <v>11815</v>
      </c>
      <c r="CS65" s="444">
        <v>11548</v>
      </c>
      <c r="CT65" s="444">
        <v>11794</v>
      </c>
      <c r="CU65" s="444">
        <v>12102</v>
      </c>
      <c r="CV65" s="444">
        <v>11971</v>
      </c>
      <c r="CW65" s="444">
        <v>11842</v>
      </c>
      <c r="CX65" s="444">
        <v>12016</v>
      </c>
      <c r="CY65" s="444">
        <v>11016</v>
      </c>
      <c r="CZ65" s="444">
        <v>8442</v>
      </c>
      <c r="DA65" s="444">
        <v>8264</v>
      </c>
      <c r="DB65" s="444">
        <v>8145</v>
      </c>
      <c r="DC65" s="444">
        <v>7851</v>
      </c>
      <c r="DD65" s="444">
        <v>7834</v>
      </c>
      <c r="DE65" s="444">
        <v>7850</v>
      </c>
      <c r="DF65" s="444">
        <v>7290</v>
      </c>
      <c r="DG65" s="444">
        <v>7447</v>
      </c>
      <c r="DH65" s="444">
        <v>7043</v>
      </c>
      <c r="DI65" s="444">
        <v>7084</v>
      </c>
      <c r="DJ65" s="444">
        <v>7017</v>
      </c>
      <c r="DK65" s="444">
        <v>6673</v>
      </c>
      <c r="DL65" s="444">
        <v>6382</v>
      </c>
      <c r="DM65" s="444">
        <v>6272</v>
      </c>
      <c r="DN65" s="444">
        <v>6232</v>
      </c>
      <c r="DO65" s="444">
        <v>6509</v>
      </c>
      <c r="DP65" s="444">
        <v>6602</v>
      </c>
      <c r="DQ65" s="444">
        <v>6764</v>
      </c>
      <c r="DR65" s="444">
        <v>6770</v>
      </c>
      <c r="DS65" s="444">
        <v>6913</v>
      </c>
      <c r="DT65" s="444">
        <v>6870</v>
      </c>
      <c r="DU65" s="444">
        <v>7153</v>
      </c>
      <c r="DV65" s="444">
        <v>7147</v>
      </c>
      <c r="DW65" s="444">
        <v>7059</v>
      </c>
      <c r="DX65" s="444">
        <v>6775</v>
      </c>
      <c r="DY65" s="444">
        <v>6132</v>
      </c>
      <c r="DZ65" s="444">
        <v>5933</v>
      </c>
      <c r="EA65" s="444">
        <v>5906</v>
      </c>
      <c r="EB65" s="444">
        <v>5979</v>
      </c>
      <c r="EC65" s="444">
        <v>6271</v>
      </c>
      <c r="ED65" s="444">
        <v>6180</v>
      </c>
      <c r="EE65" s="444">
        <v>6522</v>
      </c>
      <c r="EF65" s="444">
        <v>6475</v>
      </c>
      <c r="EG65" s="444">
        <v>6888</v>
      </c>
      <c r="EH65" s="444"/>
      <c r="EI65" s="444"/>
      <c r="EJ65" s="444"/>
    </row>
    <row r="66" spans="1:140" s="301" customFormat="1" ht="22.5" customHeight="1">
      <c r="A66" s="912"/>
      <c r="B66" s="887"/>
      <c r="C66" s="896" t="s">
        <v>55</v>
      </c>
      <c r="D66" s="737" t="s">
        <v>48</v>
      </c>
      <c r="E66" s="738"/>
      <c r="F66" s="739"/>
      <c r="G66" s="739"/>
      <c r="H66" s="740"/>
      <c r="I66" s="447">
        <f t="shared" ref="I66:BT67" si="53">+I64-I62</f>
        <v>3124392.85</v>
      </c>
      <c r="J66" s="447">
        <f t="shared" si="53"/>
        <v>3106063.85</v>
      </c>
      <c r="K66" s="447">
        <f t="shared" si="53"/>
        <v>3117873.45</v>
      </c>
      <c r="L66" s="447">
        <f t="shared" si="53"/>
        <v>2954849.6</v>
      </c>
      <c r="M66" s="447">
        <f t="shared" si="53"/>
        <v>2856918.35</v>
      </c>
      <c r="N66" s="447">
        <f t="shared" si="53"/>
        <v>2815082.85</v>
      </c>
      <c r="O66" s="447">
        <f t="shared" si="53"/>
        <v>2848134.35</v>
      </c>
      <c r="P66" s="447">
        <f t="shared" si="53"/>
        <v>3071844.17</v>
      </c>
      <c r="Q66" s="447">
        <f t="shared" si="53"/>
        <v>3040318.97</v>
      </c>
      <c r="R66" s="447">
        <f t="shared" si="53"/>
        <v>3254768.42</v>
      </c>
      <c r="S66" s="447">
        <f t="shared" si="53"/>
        <v>3387274.47</v>
      </c>
      <c r="T66" s="448">
        <f t="shared" si="53"/>
        <v>3151162</v>
      </c>
      <c r="U66" s="449">
        <f t="shared" si="53"/>
        <v>3355377.67</v>
      </c>
      <c r="V66" s="450">
        <f t="shared" si="53"/>
        <v>3196325.85</v>
      </c>
      <c r="W66" s="450">
        <f t="shared" si="53"/>
        <v>2933709.35</v>
      </c>
      <c r="X66" s="450">
        <f t="shared" si="53"/>
        <v>2983099</v>
      </c>
      <c r="Y66" s="450">
        <f t="shared" si="53"/>
        <v>2861750.6</v>
      </c>
      <c r="Z66" s="450">
        <f t="shared" si="53"/>
        <v>2896265.1</v>
      </c>
      <c r="AA66" s="450">
        <f t="shared" si="53"/>
        <v>2600082.7000000002</v>
      </c>
      <c r="AB66" s="450">
        <f t="shared" si="53"/>
        <v>2333162.2000000002</v>
      </c>
      <c r="AC66" s="450">
        <f t="shared" si="53"/>
        <v>2129732.2000000002</v>
      </c>
      <c r="AD66" s="450">
        <f t="shared" si="53"/>
        <v>1947823.1</v>
      </c>
      <c r="AE66" s="450">
        <f t="shared" si="53"/>
        <v>2232054.9900000002</v>
      </c>
      <c r="AF66" s="450">
        <f t="shared" si="53"/>
        <v>2161072.54</v>
      </c>
      <c r="AG66" s="450">
        <f t="shared" si="53"/>
        <v>2077741.04</v>
      </c>
      <c r="AH66" s="450">
        <f t="shared" si="53"/>
        <v>1930195.04</v>
      </c>
      <c r="AI66" s="450">
        <f t="shared" si="53"/>
        <v>2502416.04</v>
      </c>
      <c r="AJ66" s="450">
        <f t="shared" si="53"/>
        <v>2338319.5</v>
      </c>
      <c r="AK66" s="450">
        <f t="shared" si="53"/>
        <v>2363213.9900000002</v>
      </c>
      <c r="AL66" s="450">
        <f t="shared" si="53"/>
        <v>2901959.9099999899</v>
      </c>
      <c r="AM66" s="450">
        <f t="shared" si="53"/>
        <v>3570046.78</v>
      </c>
      <c r="AN66" s="450">
        <f t="shared" si="53"/>
        <v>3175125.07</v>
      </c>
      <c r="AO66" s="450">
        <f t="shared" si="53"/>
        <v>2660934.4500000002</v>
      </c>
      <c r="AP66" s="450">
        <f t="shared" si="53"/>
        <v>2859198.75</v>
      </c>
      <c r="AQ66" s="450">
        <f t="shared" si="53"/>
        <v>3781654.0300000003</v>
      </c>
      <c r="AR66" s="450">
        <f t="shared" si="53"/>
        <v>4222683.57</v>
      </c>
      <c r="AS66" s="450">
        <f t="shared" si="53"/>
        <v>4030923.9299999997</v>
      </c>
      <c r="AT66" s="450">
        <f t="shared" si="53"/>
        <v>3935574.55</v>
      </c>
      <c r="AU66" s="450">
        <f t="shared" si="53"/>
        <v>4044665.4400000004</v>
      </c>
      <c r="AV66" s="450">
        <f t="shared" si="53"/>
        <v>4003212.09</v>
      </c>
      <c r="AW66" s="450">
        <f t="shared" si="53"/>
        <v>4257578.1500000004</v>
      </c>
      <c r="AX66" s="450">
        <f t="shared" si="53"/>
        <v>4348695.34</v>
      </c>
      <c r="AY66" s="450">
        <f t="shared" si="53"/>
        <v>4942558.4000000004</v>
      </c>
      <c r="AZ66" s="450">
        <f t="shared" si="53"/>
        <v>4984271.09</v>
      </c>
      <c r="BA66" s="450">
        <f t="shared" si="53"/>
        <v>5500071.2300000004</v>
      </c>
      <c r="BB66" s="450">
        <f t="shared" si="53"/>
        <v>5433728.9800000004</v>
      </c>
      <c r="BC66" s="450">
        <f t="shared" si="53"/>
        <v>5419481.5300000003</v>
      </c>
      <c r="BD66" s="450">
        <f t="shared" si="53"/>
        <v>5168670.6500000004</v>
      </c>
      <c r="BE66" s="450">
        <f t="shared" si="53"/>
        <v>5037961.78</v>
      </c>
      <c r="BF66" s="450">
        <f t="shared" si="53"/>
        <v>5050449.62</v>
      </c>
      <c r="BG66" s="450">
        <f t="shared" si="53"/>
        <v>5163092.8099999996</v>
      </c>
      <c r="BH66" s="450">
        <f t="shared" si="53"/>
        <v>5541720.7800000003</v>
      </c>
      <c r="BI66" s="450">
        <f t="shared" si="53"/>
        <v>5953366.6900000004</v>
      </c>
      <c r="BJ66" s="450">
        <f t="shared" si="53"/>
        <v>6085889.7000000002</v>
      </c>
      <c r="BK66" s="450">
        <f t="shared" si="53"/>
        <v>6783436.2000000002</v>
      </c>
      <c r="BL66" s="450">
        <f t="shared" si="53"/>
        <v>6989717.6500000004</v>
      </c>
      <c r="BM66" s="450">
        <f t="shared" si="53"/>
        <v>8127581.0099999998</v>
      </c>
      <c r="BN66" s="450">
        <f t="shared" si="53"/>
        <v>8157974.3499999996</v>
      </c>
      <c r="BO66" s="450">
        <f t="shared" si="53"/>
        <v>8309478.9499999993</v>
      </c>
      <c r="BP66" s="451">
        <f t="shared" si="53"/>
        <v>8302950.4600000009</v>
      </c>
      <c r="BQ66" s="449">
        <f t="shared" si="53"/>
        <v>8181592.1399999987</v>
      </c>
      <c r="BR66" s="450">
        <f t="shared" si="53"/>
        <v>7775622.5500000007</v>
      </c>
      <c r="BS66" s="450">
        <f t="shared" si="53"/>
        <v>7279730.3399999999</v>
      </c>
      <c r="BT66" s="450">
        <f t="shared" si="53"/>
        <v>7304657.6799999997</v>
      </c>
      <c r="BU66" s="450">
        <f t="shared" ref="BU66:EF67" si="54">+BU64-BU62</f>
        <v>7603985.9400000004</v>
      </c>
      <c r="BV66" s="450">
        <f t="shared" si="54"/>
        <v>7768986.0299999993</v>
      </c>
      <c r="BW66" s="450">
        <f t="shared" si="54"/>
        <v>8447156.3000000007</v>
      </c>
      <c r="BX66" s="450">
        <f t="shared" si="54"/>
        <v>9202161.2100000009</v>
      </c>
      <c r="BY66" s="450">
        <f t="shared" si="54"/>
        <v>10405610.689999999</v>
      </c>
      <c r="BZ66" s="450">
        <f t="shared" si="54"/>
        <v>11084553.139999999</v>
      </c>
      <c r="CA66" s="450">
        <f t="shared" si="54"/>
        <v>11246142.34</v>
      </c>
      <c r="CB66" s="452">
        <f t="shared" si="54"/>
        <v>10762677.689999999</v>
      </c>
      <c r="CC66" s="450">
        <f t="shared" si="54"/>
        <v>11325874.73</v>
      </c>
      <c r="CD66" s="450">
        <f t="shared" si="54"/>
        <v>11800993.59</v>
      </c>
      <c r="CE66" s="450">
        <f t="shared" si="54"/>
        <v>12763944.800000001</v>
      </c>
      <c r="CF66" s="450">
        <f t="shared" si="54"/>
        <v>13809579.389999999</v>
      </c>
      <c r="CG66" s="450">
        <f t="shared" si="54"/>
        <v>14974085.939999999</v>
      </c>
      <c r="CH66" s="450">
        <f t="shared" si="54"/>
        <v>17240237.469999999</v>
      </c>
      <c r="CI66" s="450">
        <f t="shared" si="54"/>
        <v>18850883.109999999</v>
      </c>
      <c r="CJ66" s="450">
        <f t="shared" si="54"/>
        <v>20947320.389999997</v>
      </c>
      <c r="CK66" s="450">
        <f t="shared" si="54"/>
        <v>23418359.839999996</v>
      </c>
      <c r="CL66" s="450">
        <f t="shared" si="54"/>
        <v>23844222.519999996</v>
      </c>
      <c r="CM66" s="450">
        <f t="shared" si="54"/>
        <v>23583422.73</v>
      </c>
      <c r="CN66" s="450">
        <f t="shared" si="54"/>
        <v>23226712.799999997</v>
      </c>
      <c r="CO66" s="450">
        <f t="shared" si="54"/>
        <v>23543452.620000001</v>
      </c>
      <c r="CP66" s="450">
        <f t="shared" si="54"/>
        <v>24088717.110000003</v>
      </c>
      <c r="CQ66" s="450">
        <f t="shared" si="54"/>
        <v>22340907.32</v>
      </c>
      <c r="CR66" s="450">
        <f t="shared" si="54"/>
        <v>20367666.120000001</v>
      </c>
      <c r="CS66" s="450">
        <f t="shared" si="54"/>
        <v>19135480.690000001</v>
      </c>
      <c r="CT66" s="450">
        <f t="shared" si="54"/>
        <v>18639337.420000002</v>
      </c>
      <c r="CU66" s="450">
        <f t="shared" si="54"/>
        <v>18173131.109999996</v>
      </c>
      <c r="CV66" s="450">
        <f t="shared" si="54"/>
        <v>17128460.27</v>
      </c>
      <c r="CW66" s="450">
        <f t="shared" si="54"/>
        <v>16264976.780000001</v>
      </c>
      <c r="CX66" s="450">
        <f t="shared" si="54"/>
        <v>15931567.74</v>
      </c>
      <c r="CY66" s="450">
        <f t="shared" si="54"/>
        <v>14117365.560000001</v>
      </c>
      <c r="CZ66" s="450">
        <f t="shared" si="54"/>
        <v>12031065.92</v>
      </c>
      <c r="DA66" s="450">
        <f t="shared" si="54"/>
        <v>11185099.560000001</v>
      </c>
      <c r="DB66" s="450">
        <f t="shared" si="54"/>
        <v>11010952.930000002</v>
      </c>
      <c r="DC66" s="450">
        <f t="shared" si="54"/>
        <v>10491792.939999999</v>
      </c>
      <c r="DD66" s="450">
        <f t="shared" si="54"/>
        <v>10487605.420000002</v>
      </c>
      <c r="DE66" s="450">
        <f t="shared" si="54"/>
        <v>10552008.41</v>
      </c>
      <c r="DF66" s="450">
        <f t="shared" si="54"/>
        <v>9738247.4399999995</v>
      </c>
      <c r="DG66" s="450">
        <f t="shared" si="54"/>
        <v>9973127.7200000007</v>
      </c>
      <c r="DH66" s="450">
        <f t="shared" si="54"/>
        <v>9229553.5099999998</v>
      </c>
      <c r="DI66" s="450">
        <f t="shared" si="54"/>
        <v>9291611.4900000021</v>
      </c>
      <c r="DJ66" s="450">
        <f t="shared" si="54"/>
        <v>9162609.450000003</v>
      </c>
      <c r="DK66" s="450">
        <f t="shared" si="54"/>
        <v>8731000.790000001</v>
      </c>
      <c r="DL66" s="450">
        <f t="shared" si="54"/>
        <v>8585663.0799999982</v>
      </c>
      <c r="DM66" s="450">
        <f t="shared" si="54"/>
        <v>8563566.5399999991</v>
      </c>
      <c r="DN66" s="450">
        <f t="shared" si="54"/>
        <v>8389035.5</v>
      </c>
      <c r="DO66" s="450">
        <f t="shared" si="54"/>
        <v>9082977.3900000006</v>
      </c>
      <c r="DP66" s="450">
        <f t="shared" si="54"/>
        <v>9591096.2400000002</v>
      </c>
      <c r="DQ66" s="450">
        <f t="shared" si="54"/>
        <v>9727414.5600000024</v>
      </c>
      <c r="DR66" s="450">
        <f t="shared" si="54"/>
        <v>9761191.4500000011</v>
      </c>
      <c r="DS66" s="450">
        <f t="shared" si="54"/>
        <v>9644451.4399999976</v>
      </c>
      <c r="DT66" s="450">
        <f t="shared" si="54"/>
        <v>9590660.0700000003</v>
      </c>
      <c r="DU66" s="450">
        <f t="shared" si="54"/>
        <v>10025444.719999999</v>
      </c>
      <c r="DV66" s="450">
        <f t="shared" si="54"/>
        <v>10244689.01</v>
      </c>
      <c r="DW66" s="450">
        <f t="shared" si="54"/>
        <v>9938406.4799999986</v>
      </c>
      <c r="DX66" s="450">
        <f t="shared" si="54"/>
        <v>9305681.9799999986</v>
      </c>
      <c r="DY66" s="450">
        <f t="shared" si="54"/>
        <v>8433196.1199999992</v>
      </c>
      <c r="DZ66" s="450">
        <f t="shared" si="54"/>
        <v>7927815.9900000002</v>
      </c>
      <c r="EA66" s="450">
        <f t="shared" si="54"/>
        <v>8221795.9199999981</v>
      </c>
      <c r="EB66" s="450">
        <f t="shared" si="54"/>
        <v>7841310.2100000009</v>
      </c>
      <c r="EC66" s="450">
        <f t="shared" si="54"/>
        <v>8629357.0299999993</v>
      </c>
      <c r="ED66" s="450">
        <f t="shared" si="54"/>
        <v>8491649.0699999984</v>
      </c>
      <c r="EE66" s="450">
        <f t="shared" si="54"/>
        <v>8893188.5600000024</v>
      </c>
      <c r="EF66" s="450">
        <f t="shared" si="54"/>
        <v>8950188.8899999969</v>
      </c>
      <c r="EG66" s="450">
        <f t="shared" ref="EG66:EJ67" si="55">+EG64-EG62</f>
        <v>9558330.2299999967</v>
      </c>
      <c r="EH66" s="450">
        <f t="shared" si="55"/>
        <v>0</v>
      </c>
      <c r="EI66" s="450">
        <f t="shared" si="55"/>
        <v>0</v>
      </c>
      <c r="EJ66" s="450">
        <f t="shared" si="55"/>
        <v>0</v>
      </c>
    </row>
    <row r="67" spans="1:140" s="301" customFormat="1" ht="22.5" customHeight="1" thickBot="1">
      <c r="A67" s="912"/>
      <c r="B67" s="887"/>
      <c r="C67" s="897"/>
      <c r="D67" s="723" t="s">
        <v>49</v>
      </c>
      <c r="E67" s="741"/>
      <c r="F67" s="742"/>
      <c r="G67" s="742"/>
      <c r="H67" s="743"/>
      <c r="I67" s="453">
        <f t="shared" si="53"/>
        <v>4065</v>
      </c>
      <c r="J67" s="453">
        <f t="shared" si="53"/>
        <v>3955</v>
      </c>
      <c r="K67" s="453">
        <f t="shared" si="53"/>
        <v>3946</v>
      </c>
      <c r="L67" s="453">
        <f t="shared" si="53"/>
        <v>3815</v>
      </c>
      <c r="M67" s="453">
        <f t="shared" si="53"/>
        <v>3669</v>
      </c>
      <c r="N67" s="453">
        <f t="shared" si="53"/>
        <v>3672</v>
      </c>
      <c r="O67" s="453">
        <f t="shared" si="53"/>
        <v>3650</v>
      </c>
      <c r="P67" s="453">
        <f t="shared" si="53"/>
        <v>3859</v>
      </c>
      <c r="Q67" s="453">
        <f t="shared" si="53"/>
        <v>3866</v>
      </c>
      <c r="R67" s="453">
        <f t="shared" si="53"/>
        <v>4015</v>
      </c>
      <c r="S67" s="453">
        <f t="shared" si="53"/>
        <v>4108</v>
      </c>
      <c r="T67" s="454">
        <f t="shared" si="53"/>
        <v>3852</v>
      </c>
      <c r="U67" s="455">
        <f t="shared" si="53"/>
        <v>4157</v>
      </c>
      <c r="V67" s="456">
        <f t="shared" si="53"/>
        <v>3872</v>
      </c>
      <c r="W67" s="456">
        <f t="shared" si="53"/>
        <v>3501</v>
      </c>
      <c r="X67" s="456">
        <f t="shared" si="53"/>
        <v>3398</v>
      </c>
      <c r="Y67" s="456">
        <f t="shared" si="53"/>
        <v>3321</v>
      </c>
      <c r="Z67" s="456">
        <f t="shared" si="53"/>
        <v>3444</v>
      </c>
      <c r="AA67" s="456">
        <f t="shared" si="53"/>
        <v>3024</v>
      </c>
      <c r="AB67" s="456">
        <f t="shared" si="53"/>
        <v>2587</v>
      </c>
      <c r="AC67" s="456">
        <f t="shared" si="53"/>
        <v>2337</v>
      </c>
      <c r="AD67" s="456">
        <f t="shared" si="53"/>
        <v>2006</v>
      </c>
      <c r="AE67" s="456">
        <f t="shared" si="53"/>
        <v>2211</v>
      </c>
      <c r="AF67" s="456">
        <f t="shared" si="53"/>
        <v>2141</v>
      </c>
      <c r="AG67" s="456">
        <f t="shared" si="53"/>
        <v>2059</v>
      </c>
      <c r="AH67" s="456">
        <f t="shared" si="53"/>
        <v>1845</v>
      </c>
      <c r="AI67" s="456">
        <f t="shared" si="53"/>
        <v>2405</v>
      </c>
      <c r="AJ67" s="456">
        <f t="shared" si="53"/>
        <v>2195</v>
      </c>
      <c r="AK67" s="456">
        <f t="shared" si="53"/>
        <v>2232</v>
      </c>
      <c r="AL67" s="456">
        <f t="shared" si="53"/>
        <v>2913</v>
      </c>
      <c r="AM67" s="456">
        <f t="shared" si="53"/>
        <v>3727</v>
      </c>
      <c r="AN67" s="456">
        <f t="shared" si="53"/>
        <v>3373</v>
      </c>
      <c r="AO67" s="456">
        <f t="shared" si="53"/>
        <v>2888</v>
      </c>
      <c r="AP67" s="456">
        <f t="shared" si="53"/>
        <v>3026</v>
      </c>
      <c r="AQ67" s="456">
        <f t="shared" si="53"/>
        <v>4876</v>
      </c>
      <c r="AR67" s="456">
        <f t="shared" si="53"/>
        <v>5636</v>
      </c>
      <c r="AS67" s="456">
        <f t="shared" si="53"/>
        <v>5342</v>
      </c>
      <c r="AT67" s="456">
        <f t="shared" si="53"/>
        <v>5102</v>
      </c>
      <c r="AU67" s="456">
        <f t="shared" si="53"/>
        <v>5196</v>
      </c>
      <c r="AV67" s="456">
        <f t="shared" si="53"/>
        <v>4878</v>
      </c>
      <c r="AW67" s="456">
        <f t="shared" si="53"/>
        <v>4963</v>
      </c>
      <c r="AX67" s="456">
        <f t="shared" si="53"/>
        <v>5016</v>
      </c>
      <c r="AY67" s="456">
        <f t="shared" si="53"/>
        <v>5454</v>
      </c>
      <c r="AZ67" s="456">
        <f t="shared" si="53"/>
        <v>5606</v>
      </c>
      <c r="BA67" s="456">
        <f t="shared" si="53"/>
        <v>6233</v>
      </c>
      <c r="BB67" s="456">
        <f t="shared" si="53"/>
        <v>6184</v>
      </c>
      <c r="BC67" s="456">
        <f t="shared" si="53"/>
        <v>6172</v>
      </c>
      <c r="BD67" s="456">
        <f t="shared" si="53"/>
        <v>5745</v>
      </c>
      <c r="BE67" s="456">
        <f t="shared" si="53"/>
        <v>5882</v>
      </c>
      <c r="BF67" s="456">
        <f t="shared" si="53"/>
        <v>6049</v>
      </c>
      <c r="BG67" s="456">
        <f t="shared" si="53"/>
        <v>5934</v>
      </c>
      <c r="BH67" s="456">
        <f t="shared" si="53"/>
        <v>6201</v>
      </c>
      <c r="BI67" s="456">
        <f t="shared" si="53"/>
        <v>6553</v>
      </c>
      <c r="BJ67" s="456">
        <f t="shared" si="53"/>
        <v>6682</v>
      </c>
      <c r="BK67" s="456">
        <f t="shared" si="53"/>
        <v>7184</v>
      </c>
      <c r="BL67" s="456">
        <f t="shared" si="53"/>
        <v>7505</v>
      </c>
      <c r="BM67" s="456">
        <f t="shared" si="53"/>
        <v>8518</v>
      </c>
      <c r="BN67" s="456">
        <f t="shared" si="53"/>
        <v>8042</v>
      </c>
      <c r="BO67" s="456">
        <f t="shared" si="53"/>
        <v>8143</v>
      </c>
      <c r="BP67" s="457">
        <f t="shared" si="53"/>
        <v>8189</v>
      </c>
      <c r="BQ67" s="455">
        <f t="shared" si="53"/>
        <v>8168</v>
      </c>
      <c r="BR67" s="456">
        <f t="shared" si="53"/>
        <v>7776</v>
      </c>
      <c r="BS67" s="456">
        <f t="shared" si="53"/>
        <v>7590</v>
      </c>
      <c r="BT67" s="456">
        <f t="shared" si="53"/>
        <v>7660</v>
      </c>
      <c r="BU67" s="456">
        <f t="shared" si="54"/>
        <v>7826</v>
      </c>
      <c r="BV67" s="456">
        <f t="shared" si="54"/>
        <v>7683</v>
      </c>
      <c r="BW67" s="456">
        <f t="shared" si="54"/>
        <v>8100</v>
      </c>
      <c r="BX67" s="456">
        <f t="shared" si="54"/>
        <v>8257</v>
      </c>
      <c r="BY67" s="456">
        <f t="shared" si="54"/>
        <v>9211</v>
      </c>
      <c r="BZ67" s="456">
        <f t="shared" si="54"/>
        <v>9719</v>
      </c>
      <c r="CA67" s="456">
        <f t="shared" si="54"/>
        <v>10120</v>
      </c>
      <c r="CB67" s="458">
        <f t="shared" si="54"/>
        <v>9677</v>
      </c>
      <c r="CC67" s="456">
        <f t="shared" si="54"/>
        <v>10016</v>
      </c>
      <c r="CD67" s="456">
        <f t="shared" si="54"/>
        <v>10426</v>
      </c>
      <c r="CE67" s="456">
        <f t="shared" si="54"/>
        <v>11100</v>
      </c>
      <c r="CF67" s="456">
        <f t="shared" si="54"/>
        <v>12001</v>
      </c>
      <c r="CG67" s="456">
        <f t="shared" si="54"/>
        <v>12834</v>
      </c>
      <c r="CH67" s="456">
        <f t="shared" si="54"/>
        <v>14141</v>
      </c>
      <c r="CI67" s="456">
        <f t="shared" si="54"/>
        <v>15280</v>
      </c>
      <c r="CJ67" s="456">
        <f t="shared" si="54"/>
        <v>16225</v>
      </c>
      <c r="CK67" s="456">
        <f t="shared" si="54"/>
        <v>17597</v>
      </c>
      <c r="CL67" s="456">
        <f t="shared" si="54"/>
        <v>17828</v>
      </c>
      <c r="CM67" s="456">
        <f t="shared" si="54"/>
        <v>14546</v>
      </c>
      <c r="CN67" s="456">
        <f t="shared" si="54"/>
        <v>12821</v>
      </c>
      <c r="CO67" s="456">
        <f t="shared" si="54"/>
        <v>12130</v>
      </c>
      <c r="CP67" s="456">
        <f t="shared" si="54"/>
        <v>12897</v>
      </c>
      <c r="CQ67" s="456">
        <f t="shared" si="54"/>
        <v>11608</v>
      </c>
      <c r="CR67" s="456">
        <f t="shared" si="54"/>
        <v>11299</v>
      </c>
      <c r="CS67" s="456">
        <f t="shared" si="54"/>
        <v>11035</v>
      </c>
      <c r="CT67" s="456">
        <f t="shared" si="54"/>
        <v>11268</v>
      </c>
      <c r="CU67" s="456">
        <f t="shared" si="54"/>
        <v>11559</v>
      </c>
      <c r="CV67" s="456">
        <f t="shared" si="54"/>
        <v>11424</v>
      </c>
      <c r="CW67" s="456">
        <f t="shared" si="54"/>
        <v>11287</v>
      </c>
      <c r="CX67" s="456">
        <f t="shared" si="54"/>
        <v>11446</v>
      </c>
      <c r="CY67" s="456">
        <f t="shared" si="54"/>
        <v>10441</v>
      </c>
      <c r="CZ67" s="456">
        <f t="shared" si="54"/>
        <v>8281</v>
      </c>
      <c r="DA67" s="456">
        <f t="shared" si="54"/>
        <v>7731</v>
      </c>
      <c r="DB67" s="456">
        <f t="shared" si="54"/>
        <v>7600</v>
      </c>
      <c r="DC67" s="456">
        <f t="shared" si="54"/>
        <v>7316</v>
      </c>
      <c r="DD67" s="456">
        <f t="shared" si="54"/>
        <v>7274</v>
      </c>
      <c r="DE67" s="456">
        <f t="shared" si="54"/>
        <v>7295</v>
      </c>
      <c r="DF67" s="456">
        <f t="shared" si="54"/>
        <v>6725</v>
      </c>
      <c r="DG67" s="456">
        <f t="shared" si="54"/>
        <v>6870</v>
      </c>
      <c r="DH67" s="456">
        <f t="shared" si="54"/>
        <v>6432</v>
      </c>
      <c r="DI67" s="456">
        <f t="shared" si="54"/>
        <v>6459</v>
      </c>
      <c r="DJ67" s="456">
        <f t="shared" si="54"/>
        <v>6385</v>
      </c>
      <c r="DK67" s="456">
        <f t="shared" si="54"/>
        <v>6037</v>
      </c>
      <c r="DL67" s="456">
        <f t="shared" si="54"/>
        <v>5732</v>
      </c>
      <c r="DM67" s="456">
        <f t="shared" si="54"/>
        <v>5598</v>
      </c>
      <c r="DN67" s="456">
        <f t="shared" si="54"/>
        <v>5525</v>
      </c>
      <c r="DO67" s="456">
        <f t="shared" si="54"/>
        <v>5786</v>
      </c>
      <c r="DP67" s="456">
        <f t="shared" si="54"/>
        <v>5854</v>
      </c>
      <c r="DQ67" s="456">
        <f t="shared" si="54"/>
        <v>6006</v>
      </c>
      <c r="DR67" s="456">
        <f t="shared" si="54"/>
        <v>5995</v>
      </c>
      <c r="DS67" s="456">
        <f t="shared" si="54"/>
        <v>6097</v>
      </c>
      <c r="DT67" s="456">
        <f t="shared" si="54"/>
        <v>6033</v>
      </c>
      <c r="DU67" s="456">
        <f t="shared" si="54"/>
        <v>6272</v>
      </c>
      <c r="DV67" s="456">
        <f t="shared" si="54"/>
        <v>6256</v>
      </c>
      <c r="DW67" s="456">
        <f t="shared" si="54"/>
        <v>6126</v>
      </c>
      <c r="DX67" s="456">
        <f t="shared" si="54"/>
        <v>5806</v>
      </c>
      <c r="DY67" s="456">
        <f t="shared" si="54"/>
        <v>5182</v>
      </c>
      <c r="DZ67" s="456">
        <f t="shared" si="54"/>
        <v>4956</v>
      </c>
      <c r="EA67" s="456">
        <f t="shared" si="54"/>
        <v>4861</v>
      </c>
      <c r="EB67" s="456">
        <f t="shared" si="54"/>
        <v>4868</v>
      </c>
      <c r="EC67" s="456">
        <f t="shared" si="54"/>
        <v>5147</v>
      </c>
      <c r="ED67" s="456">
        <f t="shared" si="54"/>
        <v>5024</v>
      </c>
      <c r="EE67" s="456">
        <f t="shared" si="54"/>
        <v>5330</v>
      </c>
      <c r="EF67" s="456">
        <f t="shared" si="54"/>
        <v>5292</v>
      </c>
      <c r="EG67" s="456">
        <f t="shared" si="55"/>
        <v>5680</v>
      </c>
      <c r="EH67" s="456">
        <f t="shared" si="55"/>
        <v>0</v>
      </c>
      <c r="EI67" s="456">
        <f t="shared" si="55"/>
        <v>0</v>
      </c>
      <c r="EJ67" s="456">
        <f t="shared" si="55"/>
        <v>0</v>
      </c>
    </row>
    <row r="68" spans="1:140" s="301" customFormat="1" ht="22.5" customHeight="1">
      <c r="A68" s="912"/>
      <c r="B68" s="887"/>
      <c r="C68" s="898" t="s">
        <v>56</v>
      </c>
      <c r="D68" s="704" t="s">
        <v>48</v>
      </c>
      <c r="E68" s="705"/>
      <c r="F68" s="706"/>
      <c r="G68" s="706"/>
      <c r="H68" s="707"/>
      <c r="I68" s="413">
        <v>493594</v>
      </c>
      <c r="J68" s="413">
        <v>463256.5</v>
      </c>
      <c r="K68" s="413">
        <v>513377</v>
      </c>
      <c r="L68" s="413">
        <v>523439.95</v>
      </c>
      <c r="M68" s="413">
        <v>527334.5</v>
      </c>
      <c r="N68" s="413">
        <v>515956</v>
      </c>
      <c r="O68" s="413">
        <v>476541.5</v>
      </c>
      <c r="P68" s="413">
        <v>468863.5</v>
      </c>
      <c r="Q68" s="413">
        <v>508876.5</v>
      </c>
      <c r="R68" s="413">
        <v>452069</v>
      </c>
      <c r="S68" s="413">
        <v>578066.9</v>
      </c>
      <c r="T68" s="414">
        <v>826584</v>
      </c>
      <c r="U68" s="415">
        <v>773071.6</v>
      </c>
      <c r="V68" s="416">
        <v>804633.5</v>
      </c>
      <c r="W68" s="416">
        <v>885452</v>
      </c>
      <c r="X68" s="416">
        <v>682531.5</v>
      </c>
      <c r="Y68" s="416">
        <v>792057.4</v>
      </c>
      <c r="Z68" s="459">
        <v>672587.5</v>
      </c>
      <c r="AA68" s="459">
        <v>699842</v>
      </c>
      <c r="AB68" s="459">
        <v>767039</v>
      </c>
      <c r="AC68" s="459">
        <v>588761.5</v>
      </c>
      <c r="AD68" s="459">
        <v>702735.6</v>
      </c>
      <c r="AE68" s="459">
        <v>488290.6</v>
      </c>
      <c r="AF68" s="459">
        <v>500103</v>
      </c>
      <c r="AG68" s="459">
        <v>589819</v>
      </c>
      <c r="AH68" s="459">
        <v>546095.5</v>
      </c>
      <c r="AI68" s="459">
        <v>532428</v>
      </c>
      <c r="AJ68" s="459">
        <v>752524.5</v>
      </c>
      <c r="AK68" s="459">
        <v>605400</v>
      </c>
      <c r="AL68" s="459">
        <v>681273</v>
      </c>
      <c r="AM68" s="459">
        <v>506982</v>
      </c>
      <c r="AN68" s="459">
        <v>958353</v>
      </c>
      <c r="AO68" s="459">
        <v>889965.7</v>
      </c>
      <c r="AP68" s="459">
        <v>762625.5</v>
      </c>
      <c r="AQ68" s="459">
        <v>640994</v>
      </c>
      <c r="AR68" s="459">
        <v>701328</v>
      </c>
      <c r="AS68" s="459">
        <v>935143</v>
      </c>
      <c r="AT68" s="459">
        <v>958592.8</v>
      </c>
      <c r="AU68" s="459">
        <v>776727.89</v>
      </c>
      <c r="AV68" s="459">
        <v>913219.5</v>
      </c>
      <c r="AW68" s="459">
        <v>909595</v>
      </c>
      <c r="AX68" s="459">
        <v>952695.9</v>
      </c>
      <c r="AY68" s="459">
        <v>499397.88</v>
      </c>
      <c r="AZ68" s="459">
        <v>1155428</v>
      </c>
      <c r="BA68" s="459">
        <v>853493.5</v>
      </c>
      <c r="BB68" s="459">
        <v>1266645</v>
      </c>
      <c r="BC68" s="459">
        <v>1122690.5</v>
      </c>
      <c r="BD68" s="459">
        <v>1335734.75</v>
      </c>
      <c r="BE68" s="459">
        <v>1160399</v>
      </c>
      <c r="BF68" s="459">
        <v>1212878.5</v>
      </c>
      <c r="BG68" s="459">
        <v>1044135.7</v>
      </c>
      <c r="BH68" s="459">
        <v>802885.7</v>
      </c>
      <c r="BI68" s="459">
        <v>969439</v>
      </c>
      <c r="BJ68" s="459">
        <v>1125340</v>
      </c>
      <c r="BK68" s="459">
        <v>923508.5</v>
      </c>
      <c r="BL68" s="459">
        <v>1101857.5</v>
      </c>
      <c r="BM68" s="459">
        <v>769927</v>
      </c>
      <c r="BN68" s="459">
        <v>1270879.25</v>
      </c>
      <c r="BO68" s="459">
        <v>1226275.5</v>
      </c>
      <c r="BP68" s="460">
        <v>1351366.5</v>
      </c>
      <c r="BQ68" s="461">
        <v>1465497.5</v>
      </c>
      <c r="BR68" s="459">
        <v>1515778</v>
      </c>
      <c r="BS68" s="459">
        <v>1532871</v>
      </c>
      <c r="BT68" s="459">
        <v>1476065.1</v>
      </c>
      <c r="BU68" s="459">
        <v>1375685</v>
      </c>
      <c r="BV68" s="459">
        <v>1615778.9</v>
      </c>
      <c r="BW68" s="459">
        <v>1048182.1</v>
      </c>
      <c r="BX68" s="459">
        <v>1762661.75</v>
      </c>
      <c r="BY68" s="459">
        <v>1207368.5</v>
      </c>
      <c r="BZ68" s="459">
        <v>1980196</v>
      </c>
      <c r="CA68" s="459">
        <v>1939124.8</v>
      </c>
      <c r="CB68" s="462">
        <v>2229990.94</v>
      </c>
      <c r="CC68" s="459">
        <v>1369261.5</v>
      </c>
      <c r="CD68" s="459">
        <v>1869953</v>
      </c>
      <c r="CE68" s="459">
        <v>1622951.5</v>
      </c>
      <c r="CF68" s="459">
        <v>1899788.62</v>
      </c>
      <c r="CG68" s="459">
        <v>1996381</v>
      </c>
      <c r="CH68" s="459">
        <v>1089427.5</v>
      </c>
      <c r="CI68" s="459">
        <v>1712563.81</v>
      </c>
      <c r="CJ68" s="459">
        <v>2010394.8</v>
      </c>
      <c r="CK68" s="459">
        <v>1980572</v>
      </c>
      <c r="CL68" s="459">
        <v>3441323.5</v>
      </c>
      <c r="CM68" s="459">
        <v>4013224.8</v>
      </c>
      <c r="CN68" s="459">
        <v>3720579.65</v>
      </c>
      <c r="CO68" s="459">
        <v>3318981</v>
      </c>
      <c r="CP68" s="459">
        <v>4087852.17</v>
      </c>
      <c r="CQ68" s="459">
        <v>5236553.3499999996</v>
      </c>
      <c r="CR68" s="459">
        <v>4377712.25</v>
      </c>
      <c r="CS68" s="459">
        <v>4757158.459999999</v>
      </c>
      <c r="CT68" s="459">
        <v>3723533.8800000008</v>
      </c>
      <c r="CU68" s="459">
        <v>3131291.6900000004</v>
      </c>
      <c r="CV68" s="459">
        <v>3878068.9500000039</v>
      </c>
      <c r="CW68" s="459">
        <v>3543225.9400000032</v>
      </c>
      <c r="CX68" s="459">
        <v>2881330.0600000066</v>
      </c>
      <c r="CY68" s="459">
        <v>5429221.820000005</v>
      </c>
      <c r="CZ68" s="459">
        <v>1472827.6100000094</v>
      </c>
      <c r="DA68" s="459">
        <v>2292722.530000004</v>
      </c>
      <c r="DB68" s="459">
        <v>2261661.1200000048</v>
      </c>
      <c r="DC68" s="459">
        <v>2072441.240000006</v>
      </c>
      <c r="DD68" s="459">
        <v>2057997.6300000048</v>
      </c>
      <c r="DE68" s="459">
        <v>1906297.0100000051</v>
      </c>
      <c r="DF68" s="459">
        <v>2327701.0600000052</v>
      </c>
      <c r="DG68" s="459">
        <v>1836727.5700000031</v>
      </c>
      <c r="DH68" s="459">
        <v>1859111.2200000065</v>
      </c>
      <c r="DI68" s="459">
        <v>1828241.2000000055</v>
      </c>
      <c r="DJ68" s="459">
        <v>1647125.0900000059</v>
      </c>
      <c r="DK68" s="459">
        <v>1700510.0900000024</v>
      </c>
      <c r="DL68" s="459">
        <v>1669335.7200000032</v>
      </c>
      <c r="DM68" s="459">
        <v>1507755.4000000032</v>
      </c>
      <c r="DN68" s="459">
        <v>1648735.5000000081</v>
      </c>
      <c r="DO68" s="459">
        <v>1391336.8500000024</v>
      </c>
      <c r="DP68" s="459">
        <v>1470771.9800000046</v>
      </c>
      <c r="DQ68" s="459">
        <v>1575163.8000000052</v>
      </c>
      <c r="DR68" s="459">
        <v>1657788.0700000068</v>
      </c>
      <c r="DS68" s="459">
        <v>1829375.0800000061</v>
      </c>
      <c r="DT68" s="459">
        <v>1986332.0600000087</v>
      </c>
      <c r="DU68" s="459">
        <v>1676514.2299999991</v>
      </c>
      <c r="DV68" s="459">
        <v>1698931.6500000062</v>
      </c>
      <c r="DW68" s="459">
        <v>1784007.9500000086</v>
      </c>
      <c r="DX68" s="459">
        <v>1804840.1100000066</v>
      </c>
      <c r="DY68" s="459">
        <v>2001574.4500000093</v>
      </c>
      <c r="DZ68" s="459">
        <v>1659815.5100000068</v>
      </c>
      <c r="EA68" s="459">
        <v>1716841.7000000081</v>
      </c>
      <c r="EB68" s="459">
        <v>1567300.0300000063</v>
      </c>
      <c r="EC68" s="459">
        <v>1393499.1000000066</v>
      </c>
      <c r="ED68" s="459">
        <v>1437125.0800000068</v>
      </c>
      <c r="EE68" s="459">
        <v>1481225.4300000074</v>
      </c>
      <c r="EF68" s="459">
        <v>1542069.1700000069</v>
      </c>
      <c r="EG68" s="459">
        <v>1871119.2000000072</v>
      </c>
      <c r="EH68" s="459"/>
      <c r="EI68" s="459"/>
      <c r="EJ68" s="459"/>
    </row>
    <row r="69" spans="1:140" s="301" customFormat="1" ht="22.5" customHeight="1" thickBot="1">
      <c r="A69" s="912"/>
      <c r="B69" s="887"/>
      <c r="C69" s="899"/>
      <c r="D69" s="744" t="s">
        <v>49</v>
      </c>
      <c r="E69" s="745"/>
      <c r="F69" s="746"/>
      <c r="G69" s="746"/>
      <c r="H69" s="747"/>
      <c r="I69" s="463">
        <v>552</v>
      </c>
      <c r="J69" s="463">
        <v>558</v>
      </c>
      <c r="K69" s="463">
        <v>617</v>
      </c>
      <c r="L69" s="463">
        <v>620</v>
      </c>
      <c r="M69" s="463">
        <v>594</v>
      </c>
      <c r="N69" s="463">
        <v>512</v>
      </c>
      <c r="O69" s="463">
        <v>579</v>
      </c>
      <c r="P69" s="463">
        <v>559</v>
      </c>
      <c r="Q69" s="463">
        <v>562</v>
      </c>
      <c r="R69" s="463">
        <v>497</v>
      </c>
      <c r="S69" s="463">
        <v>612</v>
      </c>
      <c r="T69" s="464">
        <v>861</v>
      </c>
      <c r="U69" s="465">
        <v>791</v>
      </c>
      <c r="V69" s="466">
        <v>787</v>
      </c>
      <c r="W69" s="466">
        <v>979</v>
      </c>
      <c r="X69" s="466">
        <v>872</v>
      </c>
      <c r="Y69" s="466">
        <v>767</v>
      </c>
      <c r="Z69" s="490">
        <v>701</v>
      </c>
      <c r="AA69" s="490">
        <v>696</v>
      </c>
      <c r="AB69" s="490">
        <v>789</v>
      </c>
      <c r="AC69" s="490">
        <v>714</v>
      </c>
      <c r="AD69" s="490">
        <v>667</v>
      </c>
      <c r="AE69" s="490">
        <v>461</v>
      </c>
      <c r="AF69" s="490">
        <v>389</v>
      </c>
      <c r="AG69" s="490">
        <v>491</v>
      </c>
      <c r="AH69" s="490">
        <v>512</v>
      </c>
      <c r="AI69" s="490">
        <v>448</v>
      </c>
      <c r="AJ69" s="490">
        <v>653</v>
      </c>
      <c r="AK69" s="490">
        <v>545</v>
      </c>
      <c r="AL69" s="490">
        <v>572</v>
      </c>
      <c r="AM69" s="490">
        <v>493</v>
      </c>
      <c r="AN69" s="490">
        <v>840</v>
      </c>
      <c r="AO69" s="490">
        <v>804</v>
      </c>
      <c r="AP69" s="490">
        <v>698</v>
      </c>
      <c r="AQ69" s="490">
        <v>619</v>
      </c>
      <c r="AR69" s="490">
        <v>668</v>
      </c>
      <c r="AS69" s="490">
        <v>1086</v>
      </c>
      <c r="AT69" s="490">
        <v>1094</v>
      </c>
      <c r="AU69" s="490">
        <v>733</v>
      </c>
      <c r="AV69" s="490">
        <v>1152</v>
      </c>
      <c r="AW69" s="490">
        <v>928</v>
      </c>
      <c r="AX69" s="490">
        <v>836</v>
      </c>
      <c r="AY69" s="490">
        <v>628</v>
      </c>
      <c r="AZ69" s="490">
        <v>797</v>
      </c>
      <c r="BA69" s="490">
        <v>744</v>
      </c>
      <c r="BB69" s="490">
        <v>1083</v>
      </c>
      <c r="BC69" s="490">
        <v>1003</v>
      </c>
      <c r="BD69" s="490">
        <v>1346</v>
      </c>
      <c r="BE69" s="490">
        <v>855</v>
      </c>
      <c r="BF69" s="490">
        <v>900</v>
      </c>
      <c r="BG69" s="490">
        <v>1075</v>
      </c>
      <c r="BH69" s="490">
        <v>673</v>
      </c>
      <c r="BI69" s="490">
        <v>688</v>
      </c>
      <c r="BJ69" s="490">
        <v>804</v>
      </c>
      <c r="BK69" s="490">
        <v>833</v>
      </c>
      <c r="BL69" s="490">
        <v>626</v>
      </c>
      <c r="BM69" s="490">
        <v>421</v>
      </c>
      <c r="BN69" s="490">
        <v>1269</v>
      </c>
      <c r="BO69" s="490">
        <v>907</v>
      </c>
      <c r="BP69" s="491">
        <v>995</v>
      </c>
      <c r="BQ69" s="492">
        <v>983</v>
      </c>
      <c r="BR69" s="490">
        <v>1235</v>
      </c>
      <c r="BS69" s="490">
        <v>1027</v>
      </c>
      <c r="BT69" s="490">
        <v>986</v>
      </c>
      <c r="BU69" s="490">
        <v>967</v>
      </c>
      <c r="BV69" s="490">
        <v>1404</v>
      </c>
      <c r="BW69" s="490">
        <v>704</v>
      </c>
      <c r="BX69" s="490">
        <v>1466</v>
      </c>
      <c r="BY69" s="490">
        <v>738</v>
      </c>
      <c r="BZ69" s="490">
        <v>1129</v>
      </c>
      <c r="CA69" s="490">
        <v>1121</v>
      </c>
      <c r="CB69" s="493">
        <v>1493</v>
      </c>
      <c r="CC69" s="490">
        <v>928</v>
      </c>
      <c r="CD69" s="490">
        <v>1087</v>
      </c>
      <c r="CE69" s="490">
        <v>954</v>
      </c>
      <c r="CF69" s="490">
        <v>1125</v>
      </c>
      <c r="CG69" s="490">
        <v>971</v>
      </c>
      <c r="CH69" s="490">
        <v>632</v>
      </c>
      <c r="CI69" s="490">
        <v>819</v>
      </c>
      <c r="CJ69" s="490">
        <v>1253</v>
      </c>
      <c r="CK69" s="490">
        <v>841</v>
      </c>
      <c r="CL69" s="490">
        <v>1665</v>
      </c>
      <c r="CM69" s="490">
        <v>5023</v>
      </c>
      <c r="CN69" s="490">
        <v>3181</v>
      </c>
      <c r="CO69" s="490">
        <v>2321</v>
      </c>
      <c r="CP69" s="490">
        <v>1578</v>
      </c>
      <c r="CQ69" s="490">
        <v>3278</v>
      </c>
      <c r="CR69" s="490">
        <v>1967</v>
      </c>
      <c r="CS69" s="490">
        <v>2224</v>
      </c>
      <c r="CT69" s="490">
        <v>1800</v>
      </c>
      <c r="CU69" s="490">
        <v>1446</v>
      </c>
      <c r="CV69" s="490">
        <v>2018</v>
      </c>
      <c r="CW69" s="490">
        <v>1919</v>
      </c>
      <c r="CX69" s="490">
        <v>1493</v>
      </c>
      <c r="CY69" s="490">
        <v>1647</v>
      </c>
      <c r="CZ69" s="490">
        <v>3356</v>
      </c>
      <c r="DA69" s="490">
        <v>1461</v>
      </c>
      <c r="DB69" s="490">
        <v>1395</v>
      </c>
      <c r="DC69" s="490">
        <v>1300</v>
      </c>
      <c r="DD69" s="490">
        <v>1211</v>
      </c>
      <c r="DE69" s="490">
        <v>1221</v>
      </c>
      <c r="DF69" s="490">
        <v>1604</v>
      </c>
      <c r="DG69" s="490">
        <v>1152</v>
      </c>
      <c r="DH69" s="490">
        <v>1213</v>
      </c>
      <c r="DI69" s="490">
        <v>1139</v>
      </c>
      <c r="DJ69" s="490">
        <v>1111</v>
      </c>
      <c r="DK69" s="490">
        <v>1159</v>
      </c>
      <c r="DL69" s="490">
        <v>1158</v>
      </c>
      <c r="DM69" s="490">
        <v>1011</v>
      </c>
      <c r="DN69" s="490">
        <v>1024</v>
      </c>
      <c r="DO69" s="490">
        <v>916</v>
      </c>
      <c r="DP69" s="490">
        <v>922</v>
      </c>
      <c r="DQ69" s="490">
        <v>952</v>
      </c>
      <c r="DR69" s="490">
        <v>1013</v>
      </c>
      <c r="DS69" s="490">
        <v>1046</v>
      </c>
      <c r="DT69" s="490">
        <v>1112</v>
      </c>
      <c r="DU69" s="490">
        <v>1030</v>
      </c>
      <c r="DV69" s="490">
        <v>1039</v>
      </c>
      <c r="DW69" s="490">
        <v>1076</v>
      </c>
      <c r="DX69" s="490">
        <v>1067</v>
      </c>
      <c r="DY69" s="490">
        <v>1131</v>
      </c>
      <c r="DZ69" s="490">
        <v>932</v>
      </c>
      <c r="EA69" s="490">
        <v>1032</v>
      </c>
      <c r="EB69" s="490">
        <v>922</v>
      </c>
      <c r="EC69" s="490">
        <v>864</v>
      </c>
      <c r="ED69" s="490">
        <v>833</v>
      </c>
      <c r="EE69" s="490">
        <v>857</v>
      </c>
      <c r="EF69" s="490">
        <v>951</v>
      </c>
      <c r="EG69" s="490">
        <v>1048</v>
      </c>
      <c r="EH69" s="490"/>
      <c r="EI69" s="490"/>
      <c r="EJ69" s="490"/>
    </row>
    <row r="70" spans="1:140" s="300" customFormat="1" ht="22.5" customHeight="1" thickBot="1">
      <c r="A70" s="912"/>
      <c r="B70" s="888"/>
      <c r="C70" s="615" t="s">
        <v>57</v>
      </c>
      <c r="D70" s="616" t="s">
        <v>48</v>
      </c>
      <c r="E70" s="755"/>
      <c r="F70" s="615"/>
      <c r="G70" s="615"/>
      <c r="H70" s="616"/>
      <c r="I70" s="494">
        <v>684027.5</v>
      </c>
      <c r="J70" s="494">
        <v>444927.5</v>
      </c>
      <c r="K70" s="494">
        <v>525186.6</v>
      </c>
      <c r="L70" s="494">
        <v>360416.1</v>
      </c>
      <c r="M70" s="494">
        <f t="shared" ref="M70:BX70" si="56">+M66+M68-L66</f>
        <v>429403.25</v>
      </c>
      <c r="N70" s="494">
        <f t="shared" si="56"/>
        <v>474120.5</v>
      </c>
      <c r="O70" s="494">
        <f t="shared" si="56"/>
        <v>509593</v>
      </c>
      <c r="P70" s="494">
        <f t="shared" si="56"/>
        <v>692573.31999999983</v>
      </c>
      <c r="Q70" s="494">
        <f t="shared" si="56"/>
        <v>477351.30000000028</v>
      </c>
      <c r="R70" s="494">
        <f t="shared" si="56"/>
        <v>666518.44999999972</v>
      </c>
      <c r="S70" s="494">
        <f t="shared" si="56"/>
        <v>710572.95000000019</v>
      </c>
      <c r="T70" s="495">
        <f t="shared" si="56"/>
        <v>590471.5299999998</v>
      </c>
      <c r="U70" s="496">
        <f t="shared" si="56"/>
        <v>977287.27</v>
      </c>
      <c r="V70" s="404">
        <f t="shared" si="56"/>
        <v>645581.68000000017</v>
      </c>
      <c r="W70" s="404">
        <f t="shared" si="56"/>
        <v>622835.5</v>
      </c>
      <c r="X70" s="404">
        <f t="shared" si="56"/>
        <v>731921.14999999991</v>
      </c>
      <c r="Y70" s="404">
        <f t="shared" si="56"/>
        <v>670709</v>
      </c>
      <c r="Z70" s="404">
        <f t="shared" si="56"/>
        <v>707102</v>
      </c>
      <c r="AA70" s="404">
        <f t="shared" si="56"/>
        <v>403659.60000000009</v>
      </c>
      <c r="AB70" s="404">
        <f t="shared" si="56"/>
        <v>500118.5</v>
      </c>
      <c r="AC70" s="404">
        <f t="shared" si="56"/>
        <v>385331.5</v>
      </c>
      <c r="AD70" s="404">
        <f t="shared" si="56"/>
        <v>520826.5</v>
      </c>
      <c r="AE70" s="404">
        <f t="shared" si="56"/>
        <v>772522.49000000022</v>
      </c>
      <c r="AF70" s="404">
        <f t="shared" si="56"/>
        <v>429120.54999999981</v>
      </c>
      <c r="AG70" s="404">
        <f t="shared" si="56"/>
        <v>506487.5</v>
      </c>
      <c r="AH70" s="404">
        <f t="shared" si="56"/>
        <v>398549.5</v>
      </c>
      <c r="AI70" s="404">
        <f t="shared" si="56"/>
        <v>1104649</v>
      </c>
      <c r="AJ70" s="404">
        <f t="shared" si="56"/>
        <v>588427.96</v>
      </c>
      <c r="AK70" s="404">
        <f t="shared" si="56"/>
        <v>630294.49000000022</v>
      </c>
      <c r="AL70" s="404">
        <f t="shared" si="56"/>
        <v>1220018.9199999897</v>
      </c>
      <c r="AM70" s="404">
        <f t="shared" si="56"/>
        <v>1175068.8700000099</v>
      </c>
      <c r="AN70" s="404">
        <f t="shared" si="56"/>
        <v>563431.29</v>
      </c>
      <c r="AO70" s="404">
        <f t="shared" si="56"/>
        <v>375775.08000000054</v>
      </c>
      <c r="AP70" s="404">
        <f t="shared" si="56"/>
        <v>960889.79999999981</v>
      </c>
      <c r="AQ70" s="404">
        <f t="shared" si="56"/>
        <v>1563449.2800000003</v>
      </c>
      <c r="AR70" s="404">
        <f t="shared" si="56"/>
        <v>1142357.54</v>
      </c>
      <c r="AS70" s="404">
        <f t="shared" si="56"/>
        <v>743383.3599999994</v>
      </c>
      <c r="AT70" s="404">
        <f t="shared" si="56"/>
        <v>863243.41999999993</v>
      </c>
      <c r="AU70" s="404">
        <f t="shared" si="56"/>
        <v>885818.78000000026</v>
      </c>
      <c r="AV70" s="404">
        <f t="shared" si="56"/>
        <v>871766.14999999944</v>
      </c>
      <c r="AW70" s="404">
        <f t="shared" si="56"/>
        <v>1163961.0600000005</v>
      </c>
      <c r="AX70" s="404">
        <f t="shared" si="56"/>
        <v>1043813.0899999999</v>
      </c>
      <c r="AY70" s="404">
        <f t="shared" si="56"/>
        <v>1093260.9400000004</v>
      </c>
      <c r="AZ70" s="404">
        <f t="shared" si="56"/>
        <v>1197140.6899999995</v>
      </c>
      <c r="BA70" s="404">
        <f t="shared" si="56"/>
        <v>1369293.6400000006</v>
      </c>
      <c r="BB70" s="404">
        <f t="shared" si="56"/>
        <v>1200302.75</v>
      </c>
      <c r="BC70" s="404">
        <f t="shared" si="56"/>
        <v>1108443.0499999998</v>
      </c>
      <c r="BD70" s="404">
        <f t="shared" si="56"/>
        <v>1084923.8700000001</v>
      </c>
      <c r="BE70" s="404">
        <f t="shared" si="56"/>
        <v>1029690.1299999999</v>
      </c>
      <c r="BF70" s="404">
        <f t="shared" si="56"/>
        <v>1225366.3399999999</v>
      </c>
      <c r="BG70" s="404">
        <f t="shared" si="56"/>
        <v>1156778.8899999997</v>
      </c>
      <c r="BH70" s="404">
        <f t="shared" si="56"/>
        <v>1181513.6700000009</v>
      </c>
      <c r="BI70" s="404">
        <f t="shared" si="56"/>
        <v>1381084.9100000001</v>
      </c>
      <c r="BJ70" s="404">
        <f t="shared" si="56"/>
        <v>1257863.0099999998</v>
      </c>
      <c r="BK70" s="404">
        <f t="shared" si="56"/>
        <v>1621055</v>
      </c>
      <c r="BL70" s="404">
        <f t="shared" si="56"/>
        <v>1308138.9500000002</v>
      </c>
      <c r="BM70" s="404">
        <f t="shared" si="56"/>
        <v>1907790.3599999994</v>
      </c>
      <c r="BN70" s="404">
        <f t="shared" si="56"/>
        <v>1301272.5899999999</v>
      </c>
      <c r="BO70" s="404">
        <f t="shared" si="56"/>
        <v>1377780.0999999996</v>
      </c>
      <c r="BP70" s="497">
        <f t="shared" si="56"/>
        <v>1344838.0100000016</v>
      </c>
      <c r="BQ70" s="496">
        <f t="shared" si="56"/>
        <v>1344139.1799999978</v>
      </c>
      <c r="BR70" s="404">
        <f t="shared" si="56"/>
        <v>1109808.410000002</v>
      </c>
      <c r="BS70" s="404">
        <f t="shared" si="56"/>
        <v>1036978.7899999991</v>
      </c>
      <c r="BT70" s="404">
        <f t="shared" si="56"/>
        <v>1500992.4399999995</v>
      </c>
      <c r="BU70" s="404">
        <f t="shared" si="56"/>
        <v>1675013.2600000016</v>
      </c>
      <c r="BV70" s="404">
        <f t="shared" si="56"/>
        <v>1780778.9899999993</v>
      </c>
      <c r="BW70" s="404">
        <f t="shared" si="56"/>
        <v>1726352.370000001</v>
      </c>
      <c r="BX70" s="404">
        <f t="shared" si="56"/>
        <v>2517666.66</v>
      </c>
      <c r="BY70" s="404">
        <f t="shared" ref="BY70:EJ70" si="57">+BY66+BY68-BX66</f>
        <v>2410817.9799999986</v>
      </c>
      <c r="BZ70" s="404">
        <f t="shared" si="57"/>
        <v>2659138.4499999993</v>
      </c>
      <c r="CA70" s="404">
        <f t="shared" si="57"/>
        <v>2100714.0000000019</v>
      </c>
      <c r="CB70" s="498">
        <f t="shared" si="57"/>
        <v>1746526.2899999991</v>
      </c>
      <c r="CC70" s="404">
        <f t="shared" si="57"/>
        <v>1932458.540000001</v>
      </c>
      <c r="CD70" s="404">
        <f t="shared" si="57"/>
        <v>2345071.8599999994</v>
      </c>
      <c r="CE70" s="404">
        <f t="shared" si="57"/>
        <v>2585902.7100000009</v>
      </c>
      <c r="CF70" s="404">
        <f t="shared" si="57"/>
        <v>2945423.2099999972</v>
      </c>
      <c r="CG70" s="404">
        <f t="shared" si="57"/>
        <v>3160887.5499999989</v>
      </c>
      <c r="CH70" s="404">
        <f t="shared" si="57"/>
        <v>3355579.0299999993</v>
      </c>
      <c r="CI70" s="404">
        <f t="shared" si="57"/>
        <v>3323209.4499999993</v>
      </c>
      <c r="CJ70" s="404">
        <f t="shared" si="57"/>
        <v>4106832.0799999982</v>
      </c>
      <c r="CK70" s="404">
        <f t="shared" si="57"/>
        <v>4451611.4499999993</v>
      </c>
      <c r="CL70" s="404">
        <f t="shared" si="57"/>
        <v>3867186.1799999997</v>
      </c>
      <c r="CM70" s="404">
        <f t="shared" si="57"/>
        <v>3752425.0100000054</v>
      </c>
      <c r="CN70" s="404">
        <f t="shared" si="57"/>
        <v>3363869.7199999951</v>
      </c>
      <c r="CO70" s="404">
        <f t="shared" si="57"/>
        <v>3635720.820000004</v>
      </c>
      <c r="CP70" s="404">
        <f t="shared" si="57"/>
        <v>4633116.66</v>
      </c>
      <c r="CQ70" s="404">
        <f t="shared" si="57"/>
        <v>3488743.5599999987</v>
      </c>
      <c r="CR70" s="404">
        <f t="shared" si="57"/>
        <v>2404471.0500000007</v>
      </c>
      <c r="CS70" s="404">
        <f t="shared" si="57"/>
        <v>3524973.0299999975</v>
      </c>
      <c r="CT70" s="404">
        <f t="shared" si="57"/>
        <v>3227390.6100000031</v>
      </c>
      <c r="CU70" s="404">
        <f t="shared" si="57"/>
        <v>2665085.3799999952</v>
      </c>
      <c r="CV70" s="404">
        <f t="shared" si="57"/>
        <v>2833398.1100000069</v>
      </c>
      <c r="CW70" s="404">
        <f t="shared" si="57"/>
        <v>2679742.4500000067</v>
      </c>
      <c r="CX70" s="404">
        <f t="shared" si="57"/>
        <v>2547921.020000007</v>
      </c>
      <c r="CY70" s="404">
        <f t="shared" si="57"/>
        <v>3615019.6400000062</v>
      </c>
      <c r="CZ70" s="404">
        <f t="shared" si="57"/>
        <v>-613472.02999999188</v>
      </c>
      <c r="DA70" s="404">
        <f t="shared" si="57"/>
        <v>1446756.1700000037</v>
      </c>
      <c r="DB70" s="404">
        <f t="shared" si="57"/>
        <v>2087514.4900000058</v>
      </c>
      <c r="DC70" s="404">
        <f t="shared" si="57"/>
        <v>1553281.2500000037</v>
      </c>
      <c r="DD70" s="404">
        <f t="shared" si="57"/>
        <v>2053810.1100000069</v>
      </c>
      <c r="DE70" s="404">
        <f t="shared" si="57"/>
        <v>1970700.0000000037</v>
      </c>
      <c r="DF70" s="404">
        <f t="shared" si="57"/>
        <v>1513940.0900000036</v>
      </c>
      <c r="DG70" s="404">
        <f t="shared" si="57"/>
        <v>2071607.8500000034</v>
      </c>
      <c r="DH70" s="404">
        <f t="shared" si="57"/>
        <v>1115537.0100000054</v>
      </c>
      <c r="DI70" s="404">
        <f t="shared" si="57"/>
        <v>1890299.1800000072</v>
      </c>
      <c r="DJ70" s="404">
        <f t="shared" si="57"/>
        <v>1518123.0500000063</v>
      </c>
      <c r="DK70" s="404">
        <f t="shared" si="57"/>
        <v>1268901.4299999997</v>
      </c>
      <c r="DL70" s="404">
        <f t="shared" si="57"/>
        <v>1523998.0099999998</v>
      </c>
      <c r="DM70" s="404">
        <f t="shared" si="57"/>
        <v>1485658.8600000031</v>
      </c>
      <c r="DN70" s="404">
        <f t="shared" si="57"/>
        <v>1474204.4600000083</v>
      </c>
      <c r="DO70" s="404">
        <f t="shared" si="57"/>
        <v>2085278.7400000021</v>
      </c>
      <c r="DP70" s="404">
        <f t="shared" si="57"/>
        <v>1978890.8300000038</v>
      </c>
      <c r="DQ70" s="404">
        <f t="shared" si="57"/>
        <v>1711482.1200000066</v>
      </c>
      <c r="DR70" s="404">
        <f t="shared" si="57"/>
        <v>1691564.9600000046</v>
      </c>
      <c r="DS70" s="404">
        <f t="shared" si="57"/>
        <v>1712635.0700000022</v>
      </c>
      <c r="DT70" s="404">
        <f t="shared" si="57"/>
        <v>1932540.6900000107</v>
      </c>
      <c r="DU70" s="404">
        <f t="shared" si="57"/>
        <v>2111298.8799999971</v>
      </c>
      <c r="DV70" s="404">
        <f t="shared" si="57"/>
        <v>1918175.9400000069</v>
      </c>
      <c r="DW70" s="404">
        <f t="shared" si="57"/>
        <v>1477725.4200000074</v>
      </c>
      <c r="DX70" s="404">
        <f t="shared" si="57"/>
        <v>1172115.6100000069</v>
      </c>
      <c r="DY70" s="404">
        <f t="shared" si="57"/>
        <v>1129088.5900000092</v>
      </c>
      <c r="DZ70" s="404">
        <f t="shared" si="57"/>
        <v>1154435.3800000083</v>
      </c>
      <c r="EA70" s="404">
        <f t="shared" si="57"/>
        <v>2010821.6300000064</v>
      </c>
      <c r="EB70" s="404">
        <f t="shared" si="57"/>
        <v>1186814.3200000096</v>
      </c>
      <c r="EC70" s="404">
        <f t="shared" si="57"/>
        <v>2181545.9200000055</v>
      </c>
      <c r="ED70" s="404">
        <f t="shared" si="57"/>
        <v>1299417.1200000066</v>
      </c>
      <c r="EE70" s="404">
        <f t="shared" si="57"/>
        <v>1882764.9200000111</v>
      </c>
      <c r="EF70" s="404">
        <f t="shared" si="57"/>
        <v>1599069.5000000019</v>
      </c>
      <c r="EG70" s="404">
        <f t="shared" si="57"/>
        <v>2479260.5400000066</v>
      </c>
      <c r="EH70" s="404">
        <f t="shared" si="57"/>
        <v>-9558330.2299999967</v>
      </c>
      <c r="EI70" s="404">
        <f t="shared" si="57"/>
        <v>0</v>
      </c>
      <c r="EJ70" s="404">
        <f t="shared" si="57"/>
        <v>0</v>
      </c>
    </row>
    <row r="71" spans="1:140" s="299" customFormat="1" ht="22.5" hidden="1" customHeight="1" thickTop="1">
      <c r="A71" s="912"/>
      <c r="B71" s="886" t="s">
        <v>12</v>
      </c>
      <c r="C71" s="889" t="s">
        <v>47</v>
      </c>
      <c r="D71" s="623" t="s">
        <v>48</v>
      </c>
      <c r="E71" s="696"/>
      <c r="F71" s="697"/>
      <c r="G71" s="697"/>
      <c r="H71" s="698"/>
      <c r="I71" s="699"/>
      <c r="J71" s="697"/>
      <c r="K71" s="405"/>
      <c r="L71" s="325">
        <v>3343</v>
      </c>
      <c r="M71" s="499">
        <v>0</v>
      </c>
      <c r="N71" s="325">
        <v>3686.5</v>
      </c>
      <c r="O71" s="325">
        <v>5076</v>
      </c>
      <c r="P71" s="325">
        <v>7801.5</v>
      </c>
      <c r="Q71" s="499">
        <v>0</v>
      </c>
      <c r="R71" s="499">
        <v>0</v>
      </c>
      <c r="S71" s="325">
        <v>1984</v>
      </c>
      <c r="T71" s="326">
        <f>6978+AB71</f>
        <v>6978</v>
      </c>
      <c r="U71" s="406">
        <v>3844</v>
      </c>
      <c r="V71" s="500">
        <v>13660</v>
      </c>
      <c r="W71" s="407">
        <v>3203</v>
      </c>
      <c r="X71" s="407"/>
      <c r="Y71" s="407"/>
      <c r="Z71" s="407"/>
      <c r="AA71" s="407"/>
      <c r="AB71" s="407"/>
      <c r="AC71" s="407"/>
      <c r="AD71" s="407"/>
      <c r="AE71" s="407"/>
      <c r="AF71" s="407"/>
      <c r="AG71" s="407"/>
      <c r="AH71" s="407"/>
      <c r="AI71" s="407"/>
      <c r="AJ71" s="407"/>
      <c r="AK71" s="407"/>
      <c r="AL71" s="407"/>
      <c r="AM71" s="407"/>
      <c r="AN71" s="407"/>
      <c r="AO71" s="407"/>
      <c r="AP71" s="407"/>
      <c r="AQ71" s="407"/>
      <c r="AR71" s="407"/>
      <c r="AS71" s="407"/>
      <c r="AT71" s="407"/>
      <c r="AU71" s="407"/>
      <c r="AV71" s="407"/>
      <c r="AW71" s="407"/>
      <c r="AX71" s="407"/>
      <c r="AY71" s="407"/>
      <c r="AZ71" s="407"/>
      <c r="BA71" s="407"/>
      <c r="BB71" s="407"/>
      <c r="BC71" s="407"/>
      <c r="BD71" s="407"/>
      <c r="BE71" s="407"/>
      <c r="BF71" s="407"/>
      <c r="BG71" s="407"/>
      <c r="BH71" s="407"/>
      <c r="BI71" s="407"/>
      <c r="BJ71" s="407"/>
      <c r="BK71" s="407"/>
      <c r="BL71" s="407"/>
      <c r="BM71" s="407"/>
      <c r="BN71" s="407"/>
      <c r="BO71" s="407"/>
      <c r="BP71" s="408"/>
      <c r="BQ71" s="406"/>
      <c r="BR71" s="407"/>
      <c r="BS71" s="407"/>
      <c r="BT71" s="407"/>
      <c r="BU71" s="407"/>
      <c r="BV71" s="407"/>
      <c r="BW71" s="407"/>
      <c r="BX71" s="407"/>
      <c r="BY71" s="407"/>
      <c r="BZ71" s="407"/>
      <c r="CA71" s="407"/>
      <c r="CB71" s="409"/>
      <c r="CC71" s="407"/>
      <c r="CD71" s="407"/>
      <c r="CE71" s="407"/>
      <c r="CF71" s="407"/>
      <c r="CG71" s="407"/>
      <c r="CH71" s="407"/>
      <c r="CI71" s="407"/>
      <c r="CJ71" s="407"/>
      <c r="CK71" s="407"/>
      <c r="CL71" s="407"/>
      <c r="CM71" s="407"/>
      <c r="CN71" s="407"/>
      <c r="CO71" s="407"/>
      <c r="CP71" s="407"/>
      <c r="CQ71" s="407"/>
      <c r="CR71" s="407"/>
      <c r="CS71" s="407"/>
      <c r="CT71" s="407"/>
      <c r="CU71" s="407"/>
      <c r="CV71" s="407"/>
      <c r="CW71" s="407"/>
      <c r="CX71" s="407"/>
      <c r="CY71" s="407"/>
      <c r="CZ71" s="407"/>
      <c r="DA71" s="407"/>
      <c r="DB71" s="407"/>
      <c r="DC71" s="407"/>
      <c r="DD71" s="407"/>
      <c r="DE71" s="407"/>
      <c r="DF71" s="407"/>
      <c r="DG71" s="407"/>
      <c r="DH71" s="407"/>
      <c r="DI71" s="407"/>
      <c r="DJ71" s="407"/>
      <c r="DK71" s="407"/>
      <c r="DL71" s="407"/>
      <c r="DM71" s="407"/>
      <c r="DN71" s="407"/>
      <c r="DO71" s="407"/>
      <c r="DP71" s="407"/>
      <c r="DQ71" s="407"/>
      <c r="DR71" s="407"/>
      <c r="DS71" s="407"/>
      <c r="DT71" s="407"/>
      <c r="DU71" s="407"/>
      <c r="DV71" s="407"/>
      <c r="DW71" s="407"/>
      <c r="DX71" s="407"/>
      <c r="DY71" s="407"/>
      <c r="DZ71" s="407"/>
      <c r="EA71" s="407"/>
      <c r="EB71" s="407"/>
      <c r="EC71" s="407"/>
      <c r="ED71" s="407"/>
      <c r="EE71" s="407"/>
      <c r="EF71" s="407"/>
      <c r="EG71" s="407"/>
      <c r="EH71" s="407"/>
      <c r="EI71" s="407"/>
      <c r="EJ71" s="407"/>
    </row>
    <row r="72" spans="1:140" s="299" customFormat="1" ht="22.5" hidden="1" customHeight="1">
      <c r="A72" s="912"/>
      <c r="B72" s="887"/>
      <c r="C72" s="890"/>
      <c r="D72" s="640" t="s">
        <v>49</v>
      </c>
      <c r="E72" s="700"/>
      <c r="F72" s="701"/>
      <c r="G72" s="701"/>
      <c r="H72" s="702"/>
      <c r="I72" s="703"/>
      <c r="J72" s="701"/>
      <c r="K72" s="410"/>
      <c r="L72" s="344">
        <v>1</v>
      </c>
      <c r="M72" s="420">
        <v>0</v>
      </c>
      <c r="N72" s="344">
        <v>2</v>
      </c>
      <c r="O72" s="344">
        <v>1</v>
      </c>
      <c r="P72" s="344">
        <v>3</v>
      </c>
      <c r="Q72" s="420">
        <v>0</v>
      </c>
      <c r="R72" s="420">
        <v>0</v>
      </c>
      <c r="S72" s="344">
        <v>1</v>
      </c>
      <c r="T72" s="345">
        <f>2+AB72</f>
        <v>2</v>
      </c>
      <c r="U72" s="390">
        <v>1</v>
      </c>
      <c r="V72" s="343">
        <v>3</v>
      </c>
      <c r="W72" s="388">
        <v>1</v>
      </c>
      <c r="X72" s="388"/>
      <c r="Y72" s="388"/>
      <c r="Z72" s="388"/>
      <c r="AA72" s="388"/>
      <c r="AB72" s="388"/>
      <c r="AC72" s="388"/>
      <c r="AD72" s="388"/>
      <c r="AE72" s="388"/>
      <c r="AF72" s="388"/>
      <c r="AG72" s="388"/>
      <c r="AH72" s="388"/>
      <c r="AI72" s="388"/>
      <c r="AJ72" s="388"/>
      <c r="AK72" s="388"/>
      <c r="AL72" s="388"/>
      <c r="AM72" s="388"/>
      <c r="AN72" s="388"/>
      <c r="AO72" s="388"/>
      <c r="AP72" s="388"/>
      <c r="AQ72" s="388"/>
      <c r="AR72" s="388"/>
      <c r="AS72" s="388"/>
      <c r="AT72" s="388"/>
      <c r="AU72" s="388"/>
      <c r="AV72" s="388"/>
      <c r="AW72" s="388"/>
      <c r="AX72" s="388"/>
      <c r="AY72" s="388"/>
      <c r="AZ72" s="388"/>
      <c r="BA72" s="388"/>
      <c r="BB72" s="388"/>
      <c r="BC72" s="388"/>
      <c r="BD72" s="388"/>
      <c r="BE72" s="388"/>
      <c r="BF72" s="388"/>
      <c r="BG72" s="388"/>
      <c r="BH72" s="388"/>
      <c r="BI72" s="388"/>
      <c r="BJ72" s="388"/>
      <c r="BK72" s="388"/>
      <c r="BL72" s="388"/>
      <c r="BM72" s="388"/>
      <c r="BN72" s="388"/>
      <c r="BO72" s="388"/>
      <c r="BP72" s="389"/>
      <c r="BQ72" s="390"/>
      <c r="BR72" s="388"/>
      <c r="BS72" s="388"/>
      <c r="BT72" s="388"/>
      <c r="BU72" s="388"/>
      <c r="BV72" s="388"/>
      <c r="BW72" s="388"/>
      <c r="BX72" s="388"/>
      <c r="BY72" s="388"/>
      <c r="BZ72" s="388"/>
      <c r="CA72" s="388"/>
      <c r="CB72" s="391"/>
      <c r="CC72" s="388"/>
      <c r="CD72" s="388"/>
      <c r="CE72" s="388"/>
      <c r="CF72" s="388"/>
      <c r="CG72" s="388"/>
      <c r="CH72" s="388"/>
      <c r="CI72" s="388"/>
      <c r="CJ72" s="388"/>
      <c r="CK72" s="388"/>
      <c r="CL72" s="388"/>
      <c r="CM72" s="388"/>
      <c r="CN72" s="388"/>
      <c r="CO72" s="388"/>
      <c r="CP72" s="388"/>
      <c r="CQ72" s="388"/>
      <c r="CR72" s="388"/>
      <c r="CS72" s="388"/>
      <c r="CT72" s="388"/>
      <c r="CU72" s="388"/>
      <c r="CV72" s="388"/>
      <c r="CW72" s="388"/>
      <c r="CX72" s="388"/>
      <c r="CY72" s="388"/>
      <c r="CZ72" s="388"/>
      <c r="DA72" s="388"/>
      <c r="DB72" s="388"/>
      <c r="DC72" s="388"/>
      <c r="DD72" s="388"/>
      <c r="DE72" s="388"/>
      <c r="DF72" s="388"/>
      <c r="DG72" s="388"/>
      <c r="DH72" s="388"/>
      <c r="DI72" s="388"/>
      <c r="DJ72" s="388"/>
      <c r="DK72" s="388"/>
      <c r="DL72" s="388"/>
      <c r="DM72" s="388"/>
      <c r="DN72" s="388"/>
      <c r="DO72" s="388"/>
      <c r="DP72" s="388"/>
      <c r="DQ72" s="388"/>
      <c r="DR72" s="388"/>
      <c r="DS72" s="388"/>
      <c r="DT72" s="388"/>
      <c r="DU72" s="388"/>
      <c r="DV72" s="388"/>
      <c r="DW72" s="388"/>
      <c r="DX72" s="388"/>
      <c r="DY72" s="388"/>
      <c r="DZ72" s="388"/>
      <c r="EA72" s="388"/>
      <c r="EB72" s="388"/>
      <c r="EC72" s="388"/>
      <c r="ED72" s="388"/>
      <c r="EE72" s="388"/>
      <c r="EF72" s="388"/>
      <c r="EG72" s="388"/>
      <c r="EH72" s="388"/>
      <c r="EI72" s="388"/>
      <c r="EJ72" s="388"/>
    </row>
    <row r="73" spans="1:140" s="299" customFormat="1" ht="22.5" hidden="1" customHeight="1">
      <c r="A73" s="912"/>
      <c r="B73" s="887"/>
      <c r="C73" s="891" t="s">
        <v>50</v>
      </c>
      <c r="D73" s="704" t="s">
        <v>48</v>
      </c>
      <c r="E73" s="705"/>
      <c r="F73" s="706"/>
      <c r="G73" s="706"/>
      <c r="H73" s="707"/>
      <c r="I73" s="708"/>
      <c r="J73" s="706"/>
      <c r="K73" s="411"/>
      <c r="L73" s="412">
        <v>0</v>
      </c>
      <c r="M73" s="412">
        <v>0</v>
      </c>
      <c r="N73" s="412">
        <v>0</v>
      </c>
      <c r="O73" s="412">
        <v>0</v>
      </c>
      <c r="P73" s="412">
        <v>0</v>
      </c>
      <c r="Q73" s="412">
        <v>3498</v>
      </c>
      <c r="R73" s="412">
        <v>1528</v>
      </c>
      <c r="S73" s="412">
        <v>0</v>
      </c>
      <c r="T73" s="480">
        <v>0</v>
      </c>
      <c r="U73" s="501">
        <v>0</v>
      </c>
      <c r="V73" s="502">
        <v>0</v>
      </c>
      <c r="W73" s="482">
        <v>32.5</v>
      </c>
      <c r="X73" s="482"/>
      <c r="Y73" s="482"/>
      <c r="Z73" s="482"/>
      <c r="AA73" s="482"/>
      <c r="AB73" s="482"/>
      <c r="AC73" s="482"/>
      <c r="AD73" s="482"/>
      <c r="AE73" s="482"/>
      <c r="AF73" s="482"/>
      <c r="AG73" s="482"/>
      <c r="AH73" s="482"/>
      <c r="AI73" s="482"/>
      <c r="AJ73" s="482"/>
      <c r="AK73" s="482"/>
      <c r="AL73" s="482"/>
      <c r="AM73" s="482"/>
      <c r="AN73" s="482"/>
      <c r="AO73" s="482"/>
      <c r="AP73" s="482"/>
      <c r="AQ73" s="482"/>
      <c r="AR73" s="482"/>
      <c r="AS73" s="482"/>
      <c r="AT73" s="482"/>
      <c r="AU73" s="482"/>
      <c r="AV73" s="482"/>
      <c r="AW73" s="482"/>
      <c r="AX73" s="482"/>
      <c r="AY73" s="482"/>
      <c r="AZ73" s="482"/>
      <c r="BA73" s="482"/>
      <c r="BB73" s="482"/>
      <c r="BC73" s="482"/>
      <c r="BD73" s="482"/>
      <c r="BE73" s="482"/>
      <c r="BF73" s="482"/>
      <c r="BG73" s="482"/>
      <c r="BH73" s="482"/>
      <c r="BI73" s="482"/>
      <c r="BJ73" s="482"/>
      <c r="BK73" s="482"/>
      <c r="BL73" s="482"/>
      <c r="BM73" s="482"/>
      <c r="BN73" s="482"/>
      <c r="BO73" s="482"/>
      <c r="BP73" s="483"/>
      <c r="BQ73" s="481"/>
      <c r="BR73" s="482"/>
      <c r="BS73" s="482"/>
      <c r="BT73" s="482"/>
      <c r="BU73" s="482"/>
      <c r="BV73" s="482"/>
      <c r="BW73" s="482"/>
      <c r="BX73" s="482"/>
      <c r="BY73" s="482"/>
      <c r="BZ73" s="482"/>
      <c r="CA73" s="482"/>
      <c r="CB73" s="484"/>
      <c r="CC73" s="482"/>
      <c r="CD73" s="482"/>
      <c r="CE73" s="482"/>
      <c r="CF73" s="482"/>
      <c r="CG73" s="482"/>
      <c r="CH73" s="482"/>
      <c r="CI73" s="482"/>
      <c r="CJ73" s="482"/>
      <c r="CK73" s="482"/>
      <c r="CL73" s="482"/>
      <c r="CM73" s="482"/>
      <c r="CN73" s="482"/>
      <c r="CO73" s="482"/>
      <c r="CP73" s="482"/>
      <c r="CQ73" s="482"/>
      <c r="CR73" s="482"/>
      <c r="CS73" s="482"/>
      <c r="CT73" s="482"/>
      <c r="CU73" s="482"/>
      <c r="CV73" s="482"/>
      <c r="CW73" s="482"/>
      <c r="CX73" s="482"/>
      <c r="CY73" s="482"/>
      <c r="CZ73" s="482"/>
      <c r="DA73" s="482"/>
      <c r="DB73" s="482"/>
      <c r="DC73" s="482"/>
      <c r="DD73" s="482"/>
      <c r="DE73" s="482"/>
      <c r="DF73" s="482"/>
      <c r="DG73" s="482"/>
      <c r="DH73" s="482"/>
      <c r="DI73" s="482"/>
      <c r="DJ73" s="482"/>
      <c r="DK73" s="482"/>
      <c r="DL73" s="482"/>
      <c r="DM73" s="482"/>
      <c r="DN73" s="482"/>
      <c r="DO73" s="482"/>
      <c r="DP73" s="482"/>
      <c r="DQ73" s="482"/>
      <c r="DR73" s="482"/>
      <c r="DS73" s="482"/>
      <c r="DT73" s="482"/>
      <c r="DU73" s="482"/>
      <c r="DV73" s="482"/>
      <c r="DW73" s="482"/>
      <c r="DX73" s="482"/>
      <c r="DY73" s="482"/>
      <c r="DZ73" s="482"/>
      <c r="EA73" s="482"/>
      <c r="EB73" s="482"/>
      <c r="EC73" s="482"/>
      <c r="ED73" s="482"/>
      <c r="EE73" s="482"/>
      <c r="EF73" s="482"/>
      <c r="EG73" s="482"/>
      <c r="EH73" s="482"/>
      <c r="EI73" s="482"/>
      <c r="EJ73" s="482"/>
    </row>
    <row r="74" spans="1:140" s="299" customFormat="1" ht="22.5" hidden="1" customHeight="1">
      <c r="A74" s="912"/>
      <c r="B74" s="887"/>
      <c r="C74" s="890"/>
      <c r="D74" s="709" t="s">
        <v>49</v>
      </c>
      <c r="E74" s="710"/>
      <c r="F74" s="711"/>
      <c r="G74" s="711"/>
      <c r="H74" s="712"/>
      <c r="I74" s="713"/>
      <c r="J74" s="711"/>
      <c r="K74" s="419"/>
      <c r="L74" s="420">
        <v>0</v>
      </c>
      <c r="M74" s="420">
        <v>0</v>
      </c>
      <c r="N74" s="420">
        <v>0</v>
      </c>
      <c r="O74" s="420">
        <v>0</v>
      </c>
      <c r="P74" s="420">
        <v>0</v>
      </c>
      <c r="Q74" s="420">
        <v>1</v>
      </c>
      <c r="R74" s="420">
        <v>1</v>
      </c>
      <c r="S74" s="420">
        <v>0</v>
      </c>
      <c r="T74" s="485">
        <v>0</v>
      </c>
      <c r="U74" s="486">
        <v>0</v>
      </c>
      <c r="V74" s="420">
        <v>0</v>
      </c>
      <c r="W74" s="487">
        <v>1</v>
      </c>
      <c r="X74" s="487"/>
      <c r="Y74" s="487"/>
      <c r="Z74" s="487"/>
      <c r="AA74" s="487"/>
      <c r="AB74" s="487"/>
      <c r="AC74" s="487"/>
      <c r="AD74" s="487"/>
      <c r="AE74" s="487"/>
      <c r="AF74" s="487"/>
      <c r="AG74" s="487"/>
      <c r="AH74" s="487"/>
      <c r="AI74" s="487"/>
      <c r="AJ74" s="487"/>
      <c r="AK74" s="487"/>
      <c r="AL74" s="487"/>
      <c r="AM74" s="487"/>
      <c r="AN74" s="487"/>
      <c r="AO74" s="487"/>
      <c r="AP74" s="487"/>
      <c r="AQ74" s="487"/>
      <c r="AR74" s="487"/>
      <c r="AS74" s="487"/>
      <c r="AT74" s="487"/>
      <c r="AU74" s="487"/>
      <c r="AV74" s="487"/>
      <c r="AW74" s="487"/>
      <c r="AX74" s="487"/>
      <c r="AY74" s="487"/>
      <c r="AZ74" s="487"/>
      <c r="BA74" s="487"/>
      <c r="BB74" s="487"/>
      <c r="BC74" s="487"/>
      <c r="BD74" s="487"/>
      <c r="BE74" s="487"/>
      <c r="BF74" s="487"/>
      <c r="BG74" s="487"/>
      <c r="BH74" s="487"/>
      <c r="BI74" s="487"/>
      <c r="BJ74" s="487"/>
      <c r="BK74" s="487"/>
      <c r="BL74" s="487"/>
      <c r="BM74" s="487"/>
      <c r="BN74" s="487"/>
      <c r="BO74" s="487"/>
      <c r="BP74" s="488"/>
      <c r="BQ74" s="486"/>
      <c r="BR74" s="487"/>
      <c r="BS74" s="487"/>
      <c r="BT74" s="487"/>
      <c r="BU74" s="487"/>
      <c r="BV74" s="487"/>
      <c r="BW74" s="487"/>
      <c r="BX74" s="487"/>
      <c r="BY74" s="487"/>
      <c r="BZ74" s="487"/>
      <c r="CA74" s="487"/>
      <c r="CB74" s="489"/>
      <c r="CC74" s="487"/>
      <c r="CD74" s="487"/>
      <c r="CE74" s="487"/>
      <c r="CF74" s="487"/>
      <c r="CG74" s="487"/>
      <c r="CH74" s="487"/>
      <c r="CI74" s="487"/>
      <c r="CJ74" s="487"/>
      <c r="CK74" s="487"/>
      <c r="CL74" s="487"/>
      <c r="CM74" s="487"/>
      <c r="CN74" s="487"/>
      <c r="CO74" s="487"/>
      <c r="CP74" s="487"/>
      <c r="CQ74" s="487"/>
      <c r="CR74" s="487"/>
      <c r="CS74" s="487"/>
      <c r="CT74" s="487"/>
      <c r="CU74" s="487"/>
      <c r="CV74" s="487"/>
      <c r="CW74" s="487"/>
      <c r="CX74" s="487"/>
      <c r="CY74" s="487"/>
      <c r="CZ74" s="487"/>
      <c r="DA74" s="487"/>
      <c r="DB74" s="487"/>
      <c r="DC74" s="487"/>
      <c r="DD74" s="487"/>
      <c r="DE74" s="487"/>
      <c r="DF74" s="487"/>
      <c r="DG74" s="487"/>
      <c r="DH74" s="487"/>
      <c r="DI74" s="487"/>
      <c r="DJ74" s="487"/>
      <c r="DK74" s="487"/>
      <c r="DL74" s="487"/>
      <c r="DM74" s="487"/>
      <c r="DN74" s="487"/>
      <c r="DO74" s="487"/>
      <c r="DP74" s="487"/>
      <c r="DQ74" s="487"/>
      <c r="DR74" s="487"/>
      <c r="DS74" s="487"/>
      <c r="DT74" s="487"/>
      <c r="DU74" s="487"/>
      <c r="DV74" s="487"/>
      <c r="DW74" s="487"/>
      <c r="DX74" s="487"/>
      <c r="DY74" s="487"/>
      <c r="DZ74" s="487"/>
      <c r="EA74" s="487"/>
      <c r="EB74" s="487"/>
      <c r="EC74" s="487"/>
      <c r="ED74" s="487"/>
      <c r="EE74" s="487"/>
      <c r="EF74" s="487"/>
      <c r="EG74" s="487"/>
      <c r="EH74" s="487"/>
      <c r="EI74" s="487"/>
      <c r="EJ74" s="487"/>
    </row>
    <row r="75" spans="1:140" s="299" customFormat="1" ht="22.5" hidden="1" customHeight="1">
      <c r="A75" s="912"/>
      <c r="B75" s="887"/>
      <c r="C75" s="714" t="s">
        <v>51</v>
      </c>
      <c r="D75" s="677" t="s">
        <v>48</v>
      </c>
      <c r="E75" s="715"/>
      <c r="F75" s="716"/>
      <c r="G75" s="716"/>
      <c r="H75" s="717"/>
      <c r="I75" s="718"/>
      <c r="J75" s="716"/>
      <c r="K75" s="421"/>
      <c r="L75" s="412">
        <v>0</v>
      </c>
      <c r="M75" s="383">
        <v>62</v>
      </c>
      <c r="N75" s="383">
        <v>13</v>
      </c>
      <c r="O75" s="383">
        <v>82</v>
      </c>
      <c r="P75" s="383">
        <v>24</v>
      </c>
      <c r="Q75" s="383">
        <v>168.5</v>
      </c>
      <c r="R75" s="383">
        <v>110</v>
      </c>
      <c r="S75" s="383">
        <v>129.5</v>
      </c>
      <c r="T75" s="503">
        <v>198</v>
      </c>
      <c r="U75" s="353">
        <v>312.5</v>
      </c>
      <c r="V75" s="383">
        <v>378.5</v>
      </c>
      <c r="W75" s="354">
        <v>227</v>
      </c>
      <c r="X75" s="354"/>
      <c r="Y75" s="354"/>
      <c r="Z75" s="354"/>
      <c r="AA75" s="354"/>
      <c r="AB75" s="354"/>
      <c r="AC75" s="354"/>
      <c r="AD75" s="354"/>
      <c r="AE75" s="354"/>
      <c r="AF75" s="354"/>
      <c r="AG75" s="354"/>
      <c r="AH75" s="354"/>
      <c r="AI75" s="354"/>
      <c r="AJ75" s="354"/>
      <c r="AK75" s="354"/>
      <c r="AL75" s="354"/>
      <c r="AM75" s="354"/>
      <c r="AN75" s="354"/>
      <c r="AO75" s="354"/>
      <c r="AP75" s="354"/>
      <c r="AQ75" s="354"/>
      <c r="AR75" s="354"/>
      <c r="AS75" s="354"/>
      <c r="AT75" s="354"/>
      <c r="AU75" s="354"/>
      <c r="AV75" s="354"/>
      <c r="AW75" s="354"/>
      <c r="AX75" s="354"/>
      <c r="AY75" s="354"/>
      <c r="AZ75" s="354"/>
      <c r="BA75" s="354"/>
      <c r="BB75" s="354"/>
      <c r="BC75" s="354"/>
      <c r="BD75" s="354"/>
      <c r="BE75" s="354"/>
      <c r="BF75" s="354"/>
      <c r="BG75" s="354"/>
      <c r="BH75" s="354"/>
      <c r="BI75" s="354"/>
      <c r="BJ75" s="354"/>
      <c r="BK75" s="354"/>
      <c r="BL75" s="354"/>
      <c r="BM75" s="354"/>
      <c r="BN75" s="354"/>
      <c r="BO75" s="354"/>
      <c r="BP75" s="355"/>
      <c r="BQ75" s="353"/>
      <c r="BR75" s="354"/>
      <c r="BS75" s="354"/>
      <c r="BT75" s="354"/>
      <c r="BU75" s="354"/>
      <c r="BV75" s="354"/>
      <c r="BW75" s="354"/>
      <c r="BX75" s="354"/>
      <c r="BY75" s="354"/>
      <c r="BZ75" s="354"/>
      <c r="CA75" s="354"/>
      <c r="CB75" s="356"/>
      <c r="CC75" s="354"/>
      <c r="CD75" s="354"/>
      <c r="CE75" s="354"/>
      <c r="CF75" s="354"/>
      <c r="CG75" s="354"/>
      <c r="CH75" s="354"/>
      <c r="CI75" s="354"/>
      <c r="CJ75" s="354"/>
      <c r="CK75" s="354"/>
      <c r="CL75" s="354"/>
      <c r="CM75" s="354"/>
      <c r="CN75" s="354"/>
      <c r="CO75" s="354"/>
      <c r="CP75" s="354"/>
      <c r="CQ75" s="354"/>
      <c r="CR75" s="354"/>
      <c r="CS75" s="354"/>
      <c r="CT75" s="354"/>
      <c r="CU75" s="354"/>
      <c r="CV75" s="354"/>
      <c r="CW75" s="354"/>
      <c r="CX75" s="354"/>
      <c r="CY75" s="354"/>
      <c r="CZ75" s="354"/>
      <c r="DA75" s="354"/>
      <c r="DB75" s="354"/>
      <c r="DC75" s="354"/>
      <c r="DD75" s="354"/>
      <c r="DE75" s="354"/>
      <c r="DF75" s="354"/>
      <c r="DG75" s="354"/>
      <c r="DH75" s="354"/>
      <c r="DI75" s="354"/>
      <c r="DJ75" s="354"/>
      <c r="DK75" s="354"/>
      <c r="DL75" s="354"/>
      <c r="DM75" s="354"/>
      <c r="DN75" s="354"/>
      <c r="DO75" s="354"/>
      <c r="DP75" s="354"/>
      <c r="DQ75" s="354"/>
      <c r="DR75" s="354"/>
      <c r="DS75" s="354"/>
      <c r="DT75" s="354"/>
      <c r="DU75" s="354"/>
      <c r="DV75" s="354"/>
      <c r="DW75" s="354"/>
      <c r="DX75" s="354"/>
      <c r="DY75" s="354"/>
      <c r="DZ75" s="354"/>
      <c r="EA75" s="354"/>
      <c r="EB75" s="354"/>
      <c r="EC75" s="354"/>
      <c r="ED75" s="354"/>
      <c r="EE75" s="354"/>
      <c r="EF75" s="354"/>
      <c r="EG75" s="354"/>
      <c r="EH75" s="354"/>
      <c r="EI75" s="354"/>
      <c r="EJ75" s="354"/>
    </row>
    <row r="76" spans="1:140" s="299" customFormat="1" ht="22.5" customHeight="1" thickTop="1">
      <c r="A76" s="912"/>
      <c r="B76" s="887"/>
      <c r="C76" s="892" t="s">
        <v>52</v>
      </c>
      <c r="D76" s="657" t="s">
        <v>48</v>
      </c>
      <c r="E76" s="719"/>
      <c r="F76" s="720"/>
      <c r="G76" s="720"/>
      <c r="H76" s="721"/>
      <c r="I76" s="722"/>
      <c r="J76" s="720"/>
      <c r="K76" s="422"/>
      <c r="L76" s="423">
        <f>+L78</f>
        <v>3343</v>
      </c>
      <c r="M76" s="504">
        <v>0</v>
      </c>
      <c r="N76" s="423">
        <f t="shared" ref="N76:P77" si="58">+N78-M78</f>
        <v>3673.5</v>
      </c>
      <c r="O76" s="423">
        <f t="shared" si="58"/>
        <v>4994</v>
      </c>
      <c r="P76" s="423">
        <f t="shared" si="58"/>
        <v>7777.5</v>
      </c>
      <c r="Q76" s="504">
        <v>0</v>
      </c>
      <c r="R76" s="504">
        <v>0</v>
      </c>
      <c r="S76" s="423">
        <f t="shared" ref="S76:CD77" si="59">+S78-R78</f>
        <v>1854.5</v>
      </c>
      <c r="T76" s="424">
        <f t="shared" si="59"/>
        <v>6780</v>
      </c>
      <c r="U76" s="425">
        <f t="shared" si="59"/>
        <v>3531.5</v>
      </c>
      <c r="V76" s="423">
        <f t="shared" si="59"/>
        <v>13281.5</v>
      </c>
      <c r="W76" s="426">
        <f t="shared" si="59"/>
        <v>2943.5</v>
      </c>
      <c r="X76" s="426">
        <f t="shared" si="59"/>
        <v>14147.5</v>
      </c>
      <c r="Y76" s="426">
        <f t="shared" si="59"/>
        <v>23368.5</v>
      </c>
      <c r="Z76" s="426">
        <f t="shared" si="59"/>
        <v>729</v>
      </c>
      <c r="AA76" s="426">
        <f t="shared" si="59"/>
        <v>16994.5</v>
      </c>
      <c r="AB76" s="426">
        <f t="shared" si="59"/>
        <v>19741</v>
      </c>
      <c r="AC76" s="426">
        <f t="shared" si="59"/>
        <v>7338.5</v>
      </c>
      <c r="AD76" s="426">
        <f t="shared" si="59"/>
        <v>4175.5</v>
      </c>
      <c r="AE76" s="426">
        <f t="shared" si="59"/>
        <v>12385.5</v>
      </c>
      <c r="AF76" s="426">
        <f t="shared" si="59"/>
        <v>-8355</v>
      </c>
      <c r="AG76" s="426">
        <f t="shared" si="59"/>
        <v>11060</v>
      </c>
      <c r="AH76" s="426">
        <f t="shared" si="59"/>
        <v>1832.5</v>
      </c>
      <c r="AI76" s="426">
        <f t="shared" si="59"/>
        <v>-6691</v>
      </c>
      <c r="AJ76" s="426">
        <f t="shared" si="59"/>
        <v>3281</v>
      </c>
      <c r="AK76" s="426">
        <f t="shared" si="59"/>
        <v>-6850.5</v>
      </c>
      <c r="AL76" s="426">
        <f t="shared" si="59"/>
        <v>-56</v>
      </c>
      <c r="AM76" s="426">
        <f t="shared" si="59"/>
        <v>-1362</v>
      </c>
      <c r="AN76" s="426">
        <f t="shared" si="59"/>
        <v>-1065.5</v>
      </c>
      <c r="AO76" s="426">
        <f t="shared" si="59"/>
        <v>-3404.5</v>
      </c>
      <c r="AP76" s="426">
        <f t="shared" si="59"/>
        <v>1345.5</v>
      </c>
      <c r="AQ76" s="426">
        <f t="shared" si="59"/>
        <v>519.5</v>
      </c>
      <c r="AR76" s="426">
        <f t="shared" si="59"/>
        <v>-1306</v>
      </c>
      <c r="AS76" s="426">
        <f t="shared" si="59"/>
        <v>3662.5</v>
      </c>
      <c r="AT76" s="426">
        <f t="shared" si="59"/>
        <v>146.5</v>
      </c>
      <c r="AU76" s="426">
        <f t="shared" si="59"/>
        <v>-4491.5</v>
      </c>
      <c r="AV76" s="426">
        <f t="shared" si="59"/>
        <v>-12478.5</v>
      </c>
      <c r="AW76" s="426">
        <f t="shared" si="59"/>
        <v>669</v>
      </c>
      <c r="AX76" s="426">
        <f t="shared" si="59"/>
        <v>-4623</v>
      </c>
      <c r="AY76" s="426">
        <f t="shared" si="59"/>
        <v>7748.5</v>
      </c>
      <c r="AZ76" s="426">
        <f t="shared" si="59"/>
        <v>-5580.5</v>
      </c>
      <c r="BA76" s="426">
        <f t="shared" si="59"/>
        <v>9057</v>
      </c>
      <c r="BB76" s="426">
        <f t="shared" si="59"/>
        <v>3541.5</v>
      </c>
      <c r="BC76" s="426">
        <f t="shared" si="59"/>
        <v>6550</v>
      </c>
      <c r="BD76" s="426">
        <f t="shared" si="59"/>
        <v>4946.5</v>
      </c>
      <c r="BE76" s="426">
        <f t="shared" si="59"/>
        <v>-2501.5</v>
      </c>
      <c r="BF76" s="426">
        <f t="shared" si="59"/>
        <v>1363.5</v>
      </c>
      <c r="BG76" s="426">
        <f t="shared" si="59"/>
        <v>-6208.5</v>
      </c>
      <c r="BH76" s="426">
        <f t="shared" si="59"/>
        <v>5355</v>
      </c>
      <c r="BI76" s="426">
        <f t="shared" si="59"/>
        <v>-5183.5</v>
      </c>
      <c r="BJ76" s="426">
        <f t="shared" si="59"/>
        <v>-2618</v>
      </c>
      <c r="BK76" s="426">
        <f t="shared" si="59"/>
        <v>-3860.5</v>
      </c>
      <c r="BL76" s="426">
        <f t="shared" si="59"/>
        <v>-2460</v>
      </c>
      <c r="BM76" s="426">
        <f t="shared" si="59"/>
        <v>-2751.5</v>
      </c>
      <c r="BN76" s="426">
        <f t="shared" si="59"/>
        <v>-2702.5</v>
      </c>
      <c r="BO76" s="426">
        <f t="shared" si="59"/>
        <v>-3329.5</v>
      </c>
      <c r="BP76" s="427">
        <f t="shared" si="59"/>
        <v>-3209</v>
      </c>
      <c r="BQ76" s="425">
        <f t="shared" si="59"/>
        <v>2588.5</v>
      </c>
      <c r="BR76" s="426">
        <f t="shared" si="59"/>
        <v>-2706.5</v>
      </c>
      <c r="BS76" s="426">
        <f t="shared" si="59"/>
        <v>-985.5</v>
      </c>
      <c r="BT76" s="426">
        <f t="shared" si="59"/>
        <v>1416.5</v>
      </c>
      <c r="BU76" s="426">
        <f t="shared" si="59"/>
        <v>3199</v>
      </c>
      <c r="BV76" s="426">
        <f t="shared" si="59"/>
        <v>-2292</v>
      </c>
      <c r="BW76" s="426">
        <f t="shared" si="59"/>
        <v>-2825.5</v>
      </c>
      <c r="BX76" s="426">
        <f t="shared" si="59"/>
        <v>40895</v>
      </c>
      <c r="BY76" s="426">
        <f t="shared" si="59"/>
        <v>11470.5</v>
      </c>
      <c r="BZ76" s="426">
        <f t="shared" si="59"/>
        <v>2974</v>
      </c>
      <c r="CA76" s="426">
        <f t="shared" si="59"/>
        <v>-2374.5</v>
      </c>
      <c r="CB76" s="428">
        <f t="shared" si="59"/>
        <v>-4254</v>
      </c>
      <c r="CC76" s="426">
        <f t="shared" si="59"/>
        <v>-1494</v>
      </c>
      <c r="CD76" s="426">
        <f t="shared" si="59"/>
        <v>-2719.5</v>
      </c>
      <c r="CE76" s="426">
        <f t="shared" ref="CE76:EJ77" si="60">+CE78-CD78</f>
        <v>-5194.5</v>
      </c>
      <c r="CF76" s="426">
        <f t="shared" si="60"/>
        <v>-1919.5</v>
      </c>
      <c r="CG76" s="426">
        <f t="shared" si="60"/>
        <v>58390</v>
      </c>
      <c r="CH76" s="426">
        <f t="shared" si="60"/>
        <v>43807.5</v>
      </c>
      <c r="CI76" s="426">
        <f t="shared" si="60"/>
        <v>6074</v>
      </c>
      <c r="CJ76" s="426">
        <f t="shared" si="60"/>
        <v>7768</v>
      </c>
      <c r="CK76" s="426">
        <f t="shared" si="60"/>
        <v>30361.5</v>
      </c>
      <c r="CL76" s="426">
        <f t="shared" si="60"/>
        <v>14459</v>
      </c>
      <c r="CM76" s="426">
        <f t="shared" si="60"/>
        <v>6452.5</v>
      </c>
      <c r="CN76" s="426">
        <f t="shared" si="60"/>
        <v>5785</v>
      </c>
      <c r="CO76" s="426">
        <f t="shared" si="60"/>
        <v>-67182.48000000001</v>
      </c>
      <c r="CP76" s="426">
        <f t="shared" si="60"/>
        <v>3842.7300000000105</v>
      </c>
      <c r="CQ76" s="426">
        <f t="shared" si="60"/>
        <v>4675.0200000000186</v>
      </c>
      <c r="CR76" s="426">
        <f t="shared" si="60"/>
        <v>9112.3399999999674</v>
      </c>
      <c r="CS76" s="426">
        <f t="shared" si="60"/>
        <v>-5376.1499999999651</v>
      </c>
      <c r="CT76" s="426">
        <f t="shared" si="60"/>
        <v>6354.7000000000116</v>
      </c>
      <c r="CU76" s="426">
        <f t="shared" si="60"/>
        <v>13743.869999999937</v>
      </c>
      <c r="CV76" s="426">
        <f t="shared" si="60"/>
        <v>-4013.4099999999744</v>
      </c>
      <c r="CW76" s="426">
        <f t="shared" si="60"/>
        <v>1637.6600000000326</v>
      </c>
      <c r="CX76" s="426">
        <f t="shared" si="60"/>
        <v>-3719.9000000000233</v>
      </c>
      <c r="CY76" s="426">
        <f t="shared" si="60"/>
        <v>-687.57000000006519</v>
      </c>
      <c r="CZ76" s="426">
        <f t="shared" si="60"/>
        <v>11976.580000000016</v>
      </c>
      <c r="DA76" s="426">
        <f t="shared" si="60"/>
        <v>-18084.569999999949</v>
      </c>
      <c r="DB76" s="426">
        <f t="shared" si="60"/>
        <v>-4666.2699999999604</v>
      </c>
      <c r="DC76" s="426">
        <f t="shared" si="60"/>
        <v>790.70999999990454</v>
      </c>
      <c r="DD76" s="426">
        <f t="shared" si="60"/>
        <v>68.360000000044238</v>
      </c>
      <c r="DE76" s="426">
        <f t="shared" si="60"/>
        <v>4454.6300000000047</v>
      </c>
      <c r="DF76" s="426">
        <f t="shared" si="60"/>
        <v>2146.4500000000116</v>
      </c>
      <c r="DG76" s="426">
        <f t="shared" si="60"/>
        <v>20904.79999999993</v>
      </c>
      <c r="DH76" s="426">
        <f t="shared" si="60"/>
        <v>3582.0900000000838</v>
      </c>
      <c r="DI76" s="426">
        <f t="shared" si="60"/>
        <v>-2552.7800000000279</v>
      </c>
      <c r="DJ76" s="426">
        <f t="shared" si="60"/>
        <v>15652.040000000037</v>
      </c>
      <c r="DK76" s="426">
        <f t="shared" si="60"/>
        <v>6195.9599999999627</v>
      </c>
      <c r="DL76" s="426">
        <f t="shared" si="60"/>
        <v>21646.020000000019</v>
      </c>
      <c r="DM76" s="426">
        <f t="shared" si="60"/>
        <v>8292.3999999999651</v>
      </c>
      <c r="DN76" s="426">
        <f t="shared" si="60"/>
        <v>3846.9599999999627</v>
      </c>
      <c r="DO76" s="426">
        <f t="shared" si="60"/>
        <v>40996.97000000003</v>
      </c>
      <c r="DP76" s="426">
        <f t="shared" si="60"/>
        <v>3627.5499999999884</v>
      </c>
      <c r="DQ76" s="426">
        <f t="shared" si="60"/>
        <v>23150.540000000037</v>
      </c>
      <c r="DR76" s="426">
        <f t="shared" si="60"/>
        <v>55288.300000000047</v>
      </c>
      <c r="DS76" s="426">
        <f t="shared" si="60"/>
        <v>1031.3300000000163</v>
      </c>
      <c r="DT76" s="426">
        <f t="shared" si="60"/>
        <v>115664.66000000009</v>
      </c>
      <c r="DU76" s="426">
        <f t="shared" si="60"/>
        <v>151285.94999999984</v>
      </c>
      <c r="DV76" s="426">
        <f t="shared" si="60"/>
        <v>117665.2200000002</v>
      </c>
      <c r="DW76" s="426">
        <f t="shared" si="60"/>
        <v>233491.13000000059</v>
      </c>
      <c r="DX76" s="426">
        <f t="shared" si="60"/>
        <v>274710.89999999898</v>
      </c>
      <c r="DY76" s="426">
        <f t="shared" si="60"/>
        <v>-23130.019999999553</v>
      </c>
      <c r="DZ76" s="426">
        <f t="shared" si="60"/>
        <v>314064.94999999995</v>
      </c>
      <c r="EA76" s="426">
        <f t="shared" si="60"/>
        <v>288048.68999999994</v>
      </c>
      <c r="EB76" s="426">
        <f t="shared" si="60"/>
        <v>477238.72999999975</v>
      </c>
      <c r="EC76" s="426">
        <f t="shared" si="60"/>
        <v>242967.49000000022</v>
      </c>
      <c r="ED76" s="426">
        <f t="shared" si="60"/>
        <v>423213.31000000006</v>
      </c>
      <c r="EE76" s="426">
        <f t="shared" si="60"/>
        <v>342696.62000000058</v>
      </c>
      <c r="EF76" s="426">
        <f t="shared" si="60"/>
        <v>196486.21999999834</v>
      </c>
      <c r="EG76" s="426">
        <f t="shared" si="60"/>
        <v>261442.12999999849</v>
      </c>
      <c r="EH76" s="426">
        <f t="shared" si="60"/>
        <v>-3893138.8599999975</v>
      </c>
      <c r="EI76" s="426">
        <f t="shared" si="60"/>
        <v>0</v>
      </c>
      <c r="EJ76" s="426">
        <f t="shared" si="60"/>
        <v>0</v>
      </c>
    </row>
    <row r="77" spans="1:140" s="299" customFormat="1" ht="22.5" customHeight="1" thickBot="1">
      <c r="A77" s="912"/>
      <c r="B77" s="887"/>
      <c r="C77" s="893"/>
      <c r="D77" s="723" t="s">
        <v>49</v>
      </c>
      <c r="E77" s="724"/>
      <c r="F77" s="725"/>
      <c r="G77" s="725"/>
      <c r="H77" s="726"/>
      <c r="I77" s="727"/>
      <c r="J77" s="725"/>
      <c r="K77" s="429"/>
      <c r="L77" s="430">
        <f>+L79</f>
        <v>1</v>
      </c>
      <c r="M77" s="505">
        <v>0</v>
      </c>
      <c r="N77" s="430">
        <f t="shared" si="58"/>
        <v>2</v>
      </c>
      <c r="O77" s="430">
        <f t="shared" si="58"/>
        <v>1</v>
      </c>
      <c r="P77" s="430">
        <f t="shared" si="58"/>
        <v>3</v>
      </c>
      <c r="Q77" s="505">
        <v>0</v>
      </c>
      <c r="R77" s="505">
        <v>0</v>
      </c>
      <c r="S77" s="430">
        <f t="shared" si="59"/>
        <v>1</v>
      </c>
      <c r="T77" s="431">
        <f t="shared" si="59"/>
        <v>2</v>
      </c>
      <c r="U77" s="432">
        <f t="shared" si="59"/>
        <v>1</v>
      </c>
      <c r="V77" s="430">
        <f t="shared" si="59"/>
        <v>3</v>
      </c>
      <c r="W77" s="433">
        <f t="shared" si="59"/>
        <v>0</v>
      </c>
      <c r="X77" s="433">
        <f t="shared" si="59"/>
        <v>4</v>
      </c>
      <c r="Y77" s="433">
        <f t="shared" si="59"/>
        <v>8</v>
      </c>
      <c r="Z77" s="433">
        <f t="shared" si="59"/>
        <v>1</v>
      </c>
      <c r="AA77" s="433">
        <f t="shared" si="59"/>
        <v>5</v>
      </c>
      <c r="AB77" s="433">
        <f t="shared" si="59"/>
        <v>7</v>
      </c>
      <c r="AC77" s="433">
        <f t="shared" si="59"/>
        <v>2</v>
      </c>
      <c r="AD77" s="433">
        <f t="shared" si="59"/>
        <v>2</v>
      </c>
      <c r="AE77" s="433">
        <f t="shared" si="59"/>
        <v>5</v>
      </c>
      <c r="AF77" s="433">
        <f t="shared" si="59"/>
        <v>-1</v>
      </c>
      <c r="AG77" s="433">
        <f t="shared" si="59"/>
        <v>4</v>
      </c>
      <c r="AH77" s="433">
        <f t="shared" si="59"/>
        <v>2</v>
      </c>
      <c r="AI77" s="433">
        <f t="shared" si="59"/>
        <v>-2</v>
      </c>
      <c r="AJ77" s="433">
        <f t="shared" si="59"/>
        <v>1</v>
      </c>
      <c r="AK77" s="433">
        <f t="shared" si="59"/>
        <v>0</v>
      </c>
      <c r="AL77" s="433">
        <f t="shared" si="59"/>
        <v>0</v>
      </c>
      <c r="AM77" s="433">
        <f t="shared" si="59"/>
        <v>1</v>
      </c>
      <c r="AN77" s="433">
        <f t="shared" si="59"/>
        <v>0</v>
      </c>
      <c r="AO77" s="433">
        <f t="shared" si="59"/>
        <v>0</v>
      </c>
      <c r="AP77" s="433">
        <f t="shared" si="59"/>
        <v>0</v>
      </c>
      <c r="AQ77" s="433">
        <f t="shared" si="59"/>
        <v>1</v>
      </c>
      <c r="AR77" s="433">
        <f t="shared" si="59"/>
        <v>1</v>
      </c>
      <c r="AS77" s="433">
        <f t="shared" si="59"/>
        <v>3</v>
      </c>
      <c r="AT77" s="433">
        <f t="shared" si="59"/>
        <v>-1</v>
      </c>
      <c r="AU77" s="433">
        <f t="shared" si="59"/>
        <v>-2</v>
      </c>
      <c r="AV77" s="433">
        <f t="shared" si="59"/>
        <v>-3</v>
      </c>
      <c r="AW77" s="433">
        <f t="shared" si="59"/>
        <v>1</v>
      </c>
      <c r="AX77" s="433">
        <f t="shared" si="59"/>
        <v>-1</v>
      </c>
      <c r="AY77" s="433">
        <f t="shared" si="59"/>
        <v>2</v>
      </c>
      <c r="AZ77" s="433">
        <f t="shared" si="59"/>
        <v>-4</v>
      </c>
      <c r="BA77" s="433">
        <f t="shared" si="59"/>
        <v>1</v>
      </c>
      <c r="BB77" s="433">
        <f t="shared" si="59"/>
        <v>2</v>
      </c>
      <c r="BC77" s="433">
        <f t="shared" si="59"/>
        <v>2</v>
      </c>
      <c r="BD77" s="433">
        <f t="shared" si="59"/>
        <v>2</v>
      </c>
      <c r="BE77" s="433">
        <f t="shared" si="59"/>
        <v>1</v>
      </c>
      <c r="BF77" s="433">
        <f t="shared" si="59"/>
        <v>2</v>
      </c>
      <c r="BG77" s="433">
        <f t="shared" si="59"/>
        <v>-1</v>
      </c>
      <c r="BH77" s="433">
        <f t="shared" si="59"/>
        <v>1</v>
      </c>
      <c r="BI77" s="433">
        <f t="shared" si="59"/>
        <v>-1</v>
      </c>
      <c r="BJ77" s="433">
        <f t="shared" si="59"/>
        <v>0</v>
      </c>
      <c r="BK77" s="433">
        <f t="shared" si="59"/>
        <v>0</v>
      </c>
      <c r="BL77" s="433">
        <f t="shared" si="59"/>
        <v>0</v>
      </c>
      <c r="BM77" s="433">
        <f t="shared" si="59"/>
        <v>0</v>
      </c>
      <c r="BN77" s="433">
        <f t="shared" si="59"/>
        <v>-1</v>
      </c>
      <c r="BO77" s="433">
        <f t="shared" si="59"/>
        <v>0</v>
      </c>
      <c r="BP77" s="434">
        <f t="shared" si="59"/>
        <v>-1</v>
      </c>
      <c r="BQ77" s="432">
        <f t="shared" si="59"/>
        <v>1</v>
      </c>
      <c r="BR77" s="433">
        <f t="shared" si="59"/>
        <v>0</v>
      </c>
      <c r="BS77" s="433">
        <f t="shared" si="59"/>
        <v>-2</v>
      </c>
      <c r="BT77" s="433">
        <f t="shared" si="59"/>
        <v>2</v>
      </c>
      <c r="BU77" s="433">
        <f t="shared" si="59"/>
        <v>1</v>
      </c>
      <c r="BV77" s="433">
        <f t="shared" si="59"/>
        <v>0</v>
      </c>
      <c r="BW77" s="433">
        <f t="shared" si="59"/>
        <v>-1</v>
      </c>
      <c r="BX77" s="433">
        <f t="shared" si="59"/>
        <v>1</v>
      </c>
      <c r="BY77" s="433">
        <f t="shared" si="59"/>
        <v>-2</v>
      </c>
      <c r="BZ77" s="433">
        <f t="shared" si="59"/>
        <v>2</v>
      </c>
      <c r="CA77" s="433">
        <f t="shared" si="59"/>
        <v>0</v>
      </c>
      <c r="CB77" s="435">
        <f t="shared" si="59"/>
        <v>0</v>
      </c>
      <c r="CC77" s="433">
        <f t="shared" si="59"/>
        <v>0</v>
      </c>
      <c r="CD77" s="433">
        <f t="shared" si="59"/>
        <v>-2</v>
      </c>
      <c r="CE77" s="433">
        <f t="shared" si="60"/>
        <v>-4</v>
      </c>
      <c r="CF77" s="433">
        <f t="shared" si="60"/>
        <v>1</v>
      </c>
      <c r="CG77" s="433">
        <f t="shared" si="60"/>
        <v>1</v>
      </c>
      <c r="CH77" s="433">
        <f t="shared" si="60"/>
        <v>1</v>
      </c>
      <c r="CI77" s="433">
        <f t="shared" si="60"/>
        <v>0</v>
      </c>
      <c r="CJ77" s="433">
        <f t="shared" si="60"/>
        <v>-1</v>
      </c>
      <c r="CK77" s="433">
        <f t="shared" si="60"/>
        <v>4</v>
      </c>
      <c r="CL77" s="433">
        <f t="shared" si="60"/>
        <v>5</v>
      </c>
      <c r="CM77" s="433">
        <f t="shared" si="60"/>
        <v>1</v>
      </c>
      <c r="CN77" s="433">
        <f t="shared" si="60"/>
        <v>4</v>
      </c>
      <c r="CO77" s="433">
        <f t="shared" si="60"/>
        <v>-9</v>
      </c>
      <c r="CP77" s="433">
        <f t="shared" si="60"/>
        <v>2</v>
      </c>
      <c r="CQ77" s="433">
        <f t="shared" si="60"/>
        <v>2</v>
      </c>
      <c r="CR77" s="433">
        <f t="shared" si="60"/>
        <v>4</v>
      </c>
      <c r="CS77" s="433">
        <f t="shared" si="60"/>
        <v>-1</v>
      </c>
      <c r="CT77" s="433">
        <f t="shared" si="60"/>
        <v>0</v>
      </c>
      <c r="CU77" s="433">
        <f t="shared" si="60"/>
        <v>2</v>
      </c>
      <c r="CV77" s="433">
        <f t="shared" si="60"/>
        <v>-4</v>
      </c>
      <c r="CW77" s="433">
        <f t="shared" si="60"/>
        <v>0</v>
      </c>
      <c r="CX77" s="433">
        <f t="shared" si="60"/>
        <v>0</v>
      </c>
      <c r="CY77" s="433">
        <f t="shared" si="60"/>
        <v>1</v>
      </c>
      <c r="CZ77" s="433">
        <f t="shared" si="60"/>
        <v>-50</v>
      </c>
      <c r="DA77" s="433">
        <f t="shared" si="60"/>
        <v>51</v>
      </c>
      <c r="DB77" s="433">
        <f t="shared" si="60"/>
        <v>-1</v>
      </c>
      <c r="DC77" s="433">
        <f t="shared" si="60"/>
        <v>0</v>
      </c>
      <c r="DD77" s="433">
        <f t="shared" si="60"/>
        <v>-1</v>
      </c>
      <c r="DE77" s="433">
        <f t="shared" si="60"/>
        <v>3</v>
      </c>
      <c r="DF77" s="433">
        <f t="shared" si="60"/>
        <v>2</v>
      </c>
      <c r="DG77" s="433">
        <f t="shared" si="60"/>
        <v>3</v>
      </c>
      <c r="DH77" s="433">
        <f t="shared" si="60"/>
        <v>3</v>
      </c>
      <c r="DI77" s="433">
        <f t="shared" si="60"/>
        <v>-1</v>
      </c>
      <c r="DJ77" s="433">
        <f t="shared" si="60"/>
        <v>5</v>
      </c>
      <c r="DK77" s="433">
        <f t="shared" si="60"/>
        <v>2</v>
      </c>
      <c r="DL77" s="433">
        <f t="shared" si="60"/>
        <v>2</v>
      </c>
      <c r="DM77" s="433">
        <f t="shared" si="60"/>
        <v>3</v>
      </c>
      <c r="DN77" s="433">
        <f t="shared" si="60"/>
        <v>2</v>
      </c>
      <c r="DO77" s="433">
        <f t="shared" si="60"/>
        <v>6</v>
      </c>
      <c r="DP77" s="433">
        <f t="shared" si="60"/>
        <v>1</v>
      </c>
      <c r="DQ77" s="433">
        <f t="shared" si="60"/>
        <v>5</v>
      </c>
      <c r="DR77" s="433">
        <f t="shared" si="60"/>
        <v>3</v>
      </c>
      <c r="DS77" s="433">
        <f t="shared" si="60"/>
        <v>-1</v>
      </c>
      <c r="DT77" s="433">
        <f t="shared" si="60"/>
        <v>17</v>
      </c>
      <c r="DU77" s="433">
        <f t="shared" si="60"/>
        <v>21</v>
      </c>
      <c r="DV77" s="433">
        <f t="shared" si="60"/>
        <v>14</v>
      </c>
      <c r="DW77" s="433">
        <f t="shared" si="60"/>
        <v>24</v>
      </c>
      <c r="DX77" s="433">
        <f t="shared" si="60"/>
        <v>30</v>
      </c>
      <c r="DY77" s="433">
        <f t="shared" si="60"/>
        <v>-3</v>
      </c>
      <c r="DZ77" s="433">
        <f t="shared" si="60"/>
        <v>39</v>
      </c>
      <c r="EA77" s="433">
        <f t="shared" si="60"/>
        <v>23</v>
      </c>
      <c r="EB77" s="433">
        <f t="shared" si="60"/>
        <v>55</v>
      </c>
      <c r="EC77" s="433">
        <f t="shared" si="60"/>
        <v>33</v>
      </c>
      <c r="ED77" s="433">
        <f t="shared" si="60"/>
        <v>46</v>
      </c>
      <c r="EE77" s="433">
        <f t="shared" si="60"/>
        <v>35</v>
      </c>
      <c r="EF77" s="433">
        <f t="shared" si="60"/>
        <v>31</v>
      </c>
      <c r="EG77" s="433">
        <f t="shared" si="60"/>
        <v>31</v>
      </c>
      <c r="EH77" s="433">
        <f t="shared" si="60"/>
        <v>-497</v>
      </c>
      <c r="EI77" s="433">
        <f t="shared" si="60"/>
        <v>0</v>
      </c>
      <c r="EJ77" s="433">
        <f t="shared" si="60"/>
        <v>0</v>
      </c>
    </row>
    <row r="78" spans="1:140" s="311" customFormat="1" ht="22.5" customHeight="1">
      <c r="A78" s="912"/>
      <c r="B78" s="887"/>
      <c r="C78" s="880" t="s">
        <v>53</v>
      </c>
      <c r="D78" s="728" t="s">
        <v>48</v>
      </c>
      <c r="E78" s="729"/>
      <c r="F78" s="730"/>
      <c r="G78" s="730"/>
      <c r="H78" s="728"/>
      <c r="I78" s="731">
        <v>0</v>
      </c>
      <c r="J78" s="732">
        <v>0</v>
      </c>
      <c r="K78" s="732">
        <v>0</v>
      </c>
      <c r="L78" s="363">
        <v>3343</v>
      </c>
      <c r="M78" s="363">
        <f t="shared" ref="M78:W78" si="61">+L78+M71-M73-M75</f>
        <v>3281</v>
      </c>
      <c r="N78" s="363">
        <f t="shared" si="61"/>
        <v>6954.5</v>
      </c>
      <c r="O78" s="363">
        <f t="shared" si="61"/>
        <v>11948.5</v>
      </c>
      <c r="P78" s="363">
        <f t="shared" si="61"/>
        <v>19726</v>
      </c>
      <c r="Q78" s="363">
        <f t="shared" si="61"/>
        <v>16059.5</v>
      </c>
      <c r="R78" s="363">
        <f t="shared" si="61"/>
        <v>14421.5</v>
      </c>
      <c r="S78" s="363">
        <f t="shared" si="61"/>
        <v>16276</v>
      </c>
      <c r="T78" s="364">
        <f t="shared" si="61"/>
        <v>23056</v>
      </c>
      <c r="U78" s="365">
        <f t="shared" si="61"/>
        <v>26587.5</v>
      </c>
      <c r="V78" s="363">
        <f t="shared" si="61"/>
        <v>39869</v>
      </c>
      <c r="W78" s="366">
        <f t="shared" si="61"/>
        <v>42812.5</v>
      </c>
      <c r="X78" s="366">
        <v>56960</v>
      </c>
      <c r="Y78" s="366">
        <v>80328.5</v>
      </c>
      <c r="Z78" s="366">
        <v>81057.5</v>
      </c>
      <c r="AA78" s="366">
        <v>98052</v>
      </c>
      <c r="AB78" s="366">
        <v>117793</v>
      </c>
      <c r="AC78" s="366">
        <v>125131.5</v>
      </c>
      <c r="AD78" s="366">
        <v>129307</v>
      </c>
      <c r="AE78" s="366">
        <v>141692.5</v>
      </c>
      <c r="AF78" s="366">
        <v>133337.5</v>
      </c>
      <c r="AG78" s="366">
        <v>144397.5</v>
      </c>
      <c r="AH78" s="366">
        <v>146230</v>
      </c>
      <c r="AI78" s="366">
        <v>139539</v>
      </c>
      <c r="AJ78" s="366">
        <v>142820</v>
      </c>
      <c r="AK78" s="366">
        <v>135969.5</v>
      </c>
      <c r="AL78" s="366">
        <v>135913.5</v>
      </c>
      <c r="AM78" s="366">
        <v>134551.5</v>
      </c>
      <c r="AN78" s="366">
        <v>133486</v>
      </c>
      <c r="AO78" s="366">
        <v>130081.5</v>
      </c>
      <c r="AP78" s="366">
        <v>131427</v>
      </c>
      <c r="AQ78" s="366">
        <v>131946.5</v>
      </c>
      <c r="AR78" s="366">
        <v>130640.5</v>
      </c>
      <c r="AS78" s="366">
        <v>134303</v>
      </c>
      <c r="AT78" s="366">
        <v>134449.5</v>
      </c>
      <c r="AU78" s="366">
        <v>129958</v>
      </c>
      <c r="AV78" s="366">
        <v>117479.5</v>
      </c>
      <c r="AW78" s="366">
        <v>118148.5</v>
      </c>
      <c r="AX78" s="366">
        <v>113525.5</v>
      </c>
      <c r="AY78" s="366">
        <v>121274</v>
      </c>
      <c r="AZ78" s="366">
        <v>115693.5</v>
      </c>
      <c r="BA78" s="366">
        <v>124750.5</v>
      </c>
      <c r="BB78" s="366">
        <v>128292</v>
      </c>
      <c r="BC78" s="366">
        <v>134842</v>
      </c>
      <c r="BD78" s="366">
        <v>139788.5</v>
      </c>
      <c r="BE78" s="366">
        <v>137287</v>
      </c>
      <c r="BF78" s="366">
        <v>138650.5</v>
      </c>
      <c r="BG78" s="366">
        <v>132442</v>
      </c>
      <c r="BH78" s="366">
        <v>137797</v>
      </c>
      <c r="BI78" s="366">
        <v>132613.5</v>
      </c>
      <c r="BJ78" s="366">
        <v>129995.5</v>
      </c>
      <c r="BK78" s="366">
        <v>126135</v>
      </c>
      <c r="BL78" s="366">
        <v>123675</v>
      </c>
      <c r="BM78" s="366">
        <v>120923.5</v>
      </c>
      <c r="BN78" s="366">
        <v>118221</v>
      </c>
      <c r="BO78" s="366">
        <v>114891.5</v>
      </c>
      <c r="BP78" s="436">
        <v>111682.5</v>
      </c>
      <c r="BQ78" s="365">
        <v>114271</v>
      </c>
      <c r="BR78" s="366">
        <v>111564.5</v>
      </c>
      <c r="BS78" s="366">
        <v>110579</v>
      </c>
      <c r="BT78" s="366">
        <v>111995.5</v>
      </c>
      <c r="BU78" s="366">
        <v>115194.5</v>
      </c>
      <c r="BV78" s="366">
        <v>112902.5</v>
      </c>
      <c r="BW78" s="366">
        <v>110077</v>
      </c>
      <c r="BX78" s="366">
        <v>150972</v>
      </c>
      <c r="BY78" s="366">
        <v>162442.5</v>
      </c>
      <c r="BZ78" s="366">
        <v>165416.5</v>
      </c>
      <c r="CA78" s="366">
        <v>163042</v>
      </c>
      <c r="CB78" s="437">
        <v>158788</v>
      </c>
      <c r="CC78" s="366">
        <v>157294</v>
      </c>
      <c r="CD78" s="366">
        <v>154574.5</v>
      </c>
      <c r="CE78" s="366">
        <v>149380</v>
      </c>
      <c r="CF78" s="366">
        <v>147460.5</v>
      </c>
      <c r="CG78" s="366">
        <v>205850.5</v>
      </c>
      <c r="CH78" s="366">
        <v>249658</v>
      </c>
      <c r="CI78" s="366">
        <v>255732</v>
      </c>
      <c r="CJ78" s="366">
        <v>263500</v>
      </c>
      <c r="CK78" s="366">
        <v>293861.5</v>
      </c>
      <c r="CL78" s="366">
        <v>308320.5</v>
      </c>
      <c r="CM78" s="366">
        <v>314773</v>
      </c>
      <c r="CN78" s="366">
        <v>320558</v>
      </c>
      <c r="CO78" s="366">
        <v>253375.52</v>
      </c>
      <c r="CP78" s="366">
        <v>257218.25</v>
      </c>
      <c r="CQ78" s="366">
        <v>261893.27000000002</v>
      </c>
      <c r="CR78" s="366">
        <v>271005.61</v>
      </c>
      <c r="CS78" s="366">
        <v>265629.46000000002</v>
      </c>
      <c r="CT78" s="366">
        <v>271984.16000000003</v>
      </c>
      <c r="CU78" s="366">
        <v>285728.02999999997</v>
      </c>
      <c r="CV78" s="366">
        <v>281714.62</v>
      </c>
      <c r="CW78" s="366">
        <v>283352.28000000003</v>
      </c>
      <c r="CX78" s="366">
        <v>279632.38</v>
      </c>
      <c r="CY78" s="366">
        <v>278944.80999999994</v>
      </c>
      <c r="CZ78" s="366">
        <v>290921.38999999996</v>
      </c>
      <c r="DA78" s="366">
        <v>272836.82</v>
      </c>
      <c r="DB78" s="366">
        <v>268170.55000000005</v>
      </c>
      <c r="DC78" s="366">
        <v>268961.25999999995</v>
      </c>
      <c r="DD78" s="366">
        <v>269029.62</v>
      </c>
      <c r="DE78" s="366">
        <v>273484.25</v>
      </c>
      <c r="DF78" s="366">
        <v>275630.7</v>
      </c>
      <c r="DG78" s="366">
        <v>296535.49999999994</v>
      </c>
      <c r="DH78" s="366">
        <v>300117.59000000003</v>
      </c>
      <c r="DI78" s="366">
        <v>297564.81</v>
      </c>
      <c r="DJ78" s="366">
        <v>313216.85000000003</v>
      </c>
      <c r="DK78" s="366">
        <v>319412.81</v>
      </c>
      <c r="DL78" s="366">
        <v>341058.83</v>
      </c>
      <c r="DM78" s="366">
        <v>349351.23</v>
      </c>
      <c r="DN78" s="366">
        <v>353198.18999999994</v>
      </c>
      <c r="DO78" s="366">
        <v>394195.16</v>
      </c>
      <c r="DP78" s="366">
        <v>397822.70999999996</v>
      </c>
      <c r="DQ78" s="366">
        <v>420973.25</v>
      </c>
      <c r="DR78" s="366">
        <v>476261.55000000005</v>
      </c>
      <c r="DS78" s="366">
        <v>477292.88000000006</v>
      </c>
      <c r="DT78" s="366">
        <v>592957.54000000015</v>
      </c>
      <c r="DU78" s="366">
        <v>744243.49</v>
      </c>
      <c r="DV78" s="366">
        <v>861908.7100000002</v>
      </c>
      <c r="DW78" s="366">
        <v>1095399.8400000008</v>
      </c>
      <c r="DX78" s="366">
        <v>1370110.7399999998</v>
      </c>
      <c r="DY78" s="366">
        <v>1346980.7200000002</v>
      </c>
      <c r="DZ78" s="366">
        <v>1661045.6700000002</v>
      </c>
      <c r="EA78" s="366">
        <v>1949094.36</v>
      </c>
      <c r="EB78" s="366">
        <v>2426333.09</v>
      </c>
      <c r="EC78" s="366">
        <v>2669300.58</v>
      </c>
      <c r="ED78" s="366">
        <v>3092513.89</v>
      </c>
      <c r="EE78" s="366">
        <v>3435210.5100000007</v>
      </c>
      <c r="EF78" s="366">
        <v>3631696.7299999991</v>
      </c>
      <c r="EG78" s="366">
        <v>3893138.8599999975</v>
      </c>
      <c r="EH78" s="366"/>
      <c r="EI78" s="366"/>
      <c r="EJ78" s="366"/>
    </row>
    <row r="79" spans="1:140" s="300" customFormat="1" ht="22.5" customHeight="1" thickBot="1">
      <c r="A79" s="912"/>
      <c r="B79" s="887"/>
      <c r="C79" s="881"/>
      <c r="D79" s="602" t="s">
        <v>49</v>
      </c>
      <c r="E79" s="733"/>
      <c r="F79" s="734"/>
      <c r="G79" s="734"/>
      <c r="H79" s="602"/>
      <c r="I79" s="735">
        <v>0</v>
      </c>
      <c r="J79" s="736">
        <v>0</v>
      </c>
      <c r="K79" s="736">
        <v>0</v>
      </c>
      <c r="L79" s="371">
        <v>1</v>
      </c>
      <c r="M79" s="371">
        <f t="shared" ref="M79:W79" si="62">+L79+M72-M74</f>
        <v>1</v>
      </c>
      <c r="N79" s="371">
        <f t="shared" si="62"/>
        <v>3</v>
      </c>
      <c r="O79" s="371">
        <f t="shared" si="62"/>
        <v>4</v>
      </c>
      <c r="P79" s="371">
        <f t="shared" si="62"/>
        <v>7</v>
      </c>
      <c r="Q79" s="371">
        <f t="shared" si="62"/>
        <v>6</v>
      </c>
      <c r="R79" s="371">
        <f t="shared" si="62"/>
        <v>5</v>
      </c>
      <c r="S79" s="371">
        <f t="shared" si="62"/>
        <v>6</v>
      </c>
      <c r="T79" s="372">
        <f t="shared" si="62"/>
        <v>8</v>
      </c>
      <c r="U79" s="373">
        <f t="shared" si="62"/>
        <v>9</v>
      </c>
      <c r="V79" s="371">
        <f t="shared" si="62"/>
        <v>12</v>
      </c>
      <c r="W79" s="438">
        <f t="shared" si="62"/>
        <v>12</v>
      </c>
      <c r="X79" s="438">
        <v>16</v>
      </c>
      <c r="Y79" s="438">
        <v>24</v>
      </c>
      <c r="Z79" s="438">
        <v>25</v>
      </c>
      <c r="AA79" s="438">
        <v>30</v>
      </c>
      <c r="AB79" s="438">
        <v>37</v>
      </c>
      <c r="AC79" s="438">
        <v>39</v>
      </c>
      <c r="AD79" s="438">
        <v>41</v>
      </c>
      <c r="AE79" s="438">
        <v>46</v>
      </c>
      <c r="AF79" s="438">
        <v>45</v>
      </c>
      <c r="AG79" s="438">
        <v>49</v>
      </c>
      <c r="AH79" s="438">
        <v>51</v>
      </c>
      <c r="AI79" s="438">
        <v>49</v>
      </c>
      <c r="AJ79" s="438">
        <v>50</v>
      </c>
      <c r="AK79" s="438">
        <v>50</v>
      </c>
      <c r="AL79" s="438">
        <v>50</v>
      </c>
      <c r="AM79" s="438">
        <v>51</v>
      </c>
      <c r="AN79" s="438">
        <v>51</v>
      </c>
      <c r="AO79" s="438">
        <v>51</v>
      </c>
      <c r="AP79" s="438">
        <v>51</v>
      </c>
      <c r="AQ79" s="438">
        <v>52</v>
      </c>
      <c r="AR79" s="438">
        <v>53</v>
      </c>
      <c r="AS79" s="438">
        <v>56</v>
      </c>
      <c r="AT79" s="438">
        <v>55</v>
      </c>
      <c r="AU79" s="438">
        <v>53</v>
      </c>
      <c r="AV79" s="438">
        <v>50</v>
      </c>
      <c r="AW79" s="438">
        <v>51</v>
      </c>
      <c r="AX79" s="438">
        <v>50</v>
      </c>
      <c r="AY79" s="438">
        <v>52</v>
      </c>
      <c r="AZ79" s="438">
        <v>48</v>
      </c>
      <c r="BA79" s="438">
        <v>49</v>
      </c>
      <c r="BB79" s="438">
        <v>51</v>
      </c>
      <c r="BC79" s="438">
        <v>53</v>
      </c>
      <c r="BD79" s="438">
        <v>55</v>
      </c>
      <c r="BE79" s="438">
        <v>56</v>
      </c>
      <c r="BF79" s="438">
        <v>58</v>
      </c>
      <c r="BG79" s="438">
        <v>57</v>
      </c>
      <c r="BH79" s="438">
        <v>58</v>
      </c>
      <c r="BI79" s="438">
        <v>57</v>
      </c>
      <c r="BJ79" s="438">
        <v>57</v>
      </c>
      <c r="BK79" s="438">
        <v>57</v>
      </c>
      <c r="BL79" s="438">
        <v>57</v>
      </c>
      <c r="BM79" s="438">
        <v>57</v>
      </c>
      <c r="BN79" s="438">
        <v>56</v>
      </c>
      <c r="BO79" s="438">
        <v>56</v>
      </c>
      <c r="BP79" s="439">
        <v>55</v>
      </c>
      <c r="BQ79" s="373">
        <v>56</v>
      </c>
      <c r="BR79" s="438">
        <v>56</v>
      </c>
      <c r="BS79" s="438">
        <v>54</v>
      </c>
      <c r="BT79" s="438">
        <v>56</v>
      </c>
      <c r="BU79" s="438">
        <v>57</v>
      </c>
      <c r="BV79" s="438">
        <v>57</v>
      </c>
      <c r="BW79" s="438">
        <v>56</v>
      </c>
      <c r="BX79" s="438">
        <v>57</v>
      </c>
      <c r="BY79" s="438">
        <v>55</v>
      </c>
      <c r="BZ79" s="438">
        <v>57</v>
      </c>
      <c r="CA79" s="438">
        <v>57</v>
      </c>
      <c r="CB79" s="440">
        <v>57</v>
      </c>
      <c r="CC79" s="438">
        <v>57</v>
      </c>
      <c r="CD79" s="438">
        <v>55</v>
      </c>
      <c r="CE79" s="438">
        <v>51</v>
      </c>
      <c r="CF79" s="438">
        <v>52</v>
      </c>
      <c r="CG79" s="438">
        <v>53</v>
      </c>
      <c r="CH79" s="438">
        <v>54</v>
      </c>
      <c r="CI79" s="438">
        <v>54</v>
      </c>
      <c r="CJ79" s="438">
        <v>53</v>
      </c>
      <c r="CK79" s="438">
        <v>57</v>
      </c>
      <c r="CL79" s="438">
        <v>62</v>
      </c>
      <c r="CM79" s="438">
        <v>63</v>
      </c>
      <c r="CN79" s="438">
        <v>67</v>
      </c>
      <c r="CO79" s="438">
        <v>58</v>
      </c>
      <c r="CP79" s="438">
        <v>60</v>
      </c>
      <c r="CQ79" s="438">
        <v>62</v>
      </c>
      <c r="CR79" s="438">
        <v>66</v>
      </c>
      <c r="CS79" s="438">
        <v>65</v>
      </c>
      <c r="CT79" s="438">
        <v>65</v>
      </c>
      <c r="CU79" s="438">
        <v>67</v>
      </c>
      <c r="CV79" s="438">
        <v>63</v>
      </c>
      <c r="CW79" s="438">
        <v>63</v>
      </c>
      <c r="CX79" s="438">
        <v>63</v>
      </c>
      <c r="CY79" s="438">
        <v>64</v>
      </c>
      <c r="CZ79" s="438">
        <v>14</v>
      </c>
      <c r="DA79" s="438">
        <v>65</v>
      </c>
      <c r="DB79" s="438">
        <v>64</v>
      </c>
      <c r="DC79" s="438">
        <v>64</v>
      </c>
      <c r="DD79" s="438">
        <v>63</v>
      </c>
      <c r="DE79" s="438">
        <v>66</v>
      </c>
      <c r="DF79" s="438">
        <v>68</v>
      </c>
      <c r="DG79" s="438">
        <v>71</v>
      </c>
      <c r="DH79" s="438">
        <v>74</v>
      </c>
      <c r="DI79" s="438">
        <v>73</v>
      </c>
      <c r="DJ79" s="438">
        <v>78</v>
      </c>
      <c r="DK79" s="438">
        <v>80</v>
      </c>
      <c r="DL79" s="438">
        <v>82</v>
      </c>
      <c r="DM79" s="438">
        <v>85</v>
      </c>
      <c r="DN79" s="438">
        <v>87</v>
      </c>
      <c r="DO79" s="438">
        <v>93</v>
      </c>
      <c r="DP79" s="438">
        <v>94</v>
      </c>
      <c r="DQ79" s="438">
        <v>99</v>
      </c>
      <c r="DR79" s="438">
        <v>102</v>
      </c>
      <c r="DS79" s="438">
        <v>101</v>
      </c>
      <c r="DT79" s="438">
        <v>118</v>
      </c>
      <c r="DU79" s="438">
        <v>139</v>
      </c>
      <c r="DV79" s="438">
        <v>153</v>
      </c>
      <c r="DW79" s="438">
        <v>177</v>
      </c>
      <c r="DX79" s="438">
        <v>207</v>
      </c>
      <c r="DY79" s="438">
        <v>204</v>
      </c>
      <c r="DZ79" s="438">
        <v>243</v>
      </c>
      <c r="EA79" s="438">
        <v>266</v>
      </c>
      <c r="EB79" s="438">
        <v>321</v>
      </c>
      <c r="EC79" s="438">
        <v>354</v>
      </c>
      <c r="ED79" s="438">
        <v>400</v>
      </c>
      <c r="EE79" s="438">
        <v>435</v>
      </c>
      <c r="EF79" s="438">
        <v>466</v>
      </c>
      <c r="EG79" s="438">
        <v>497</v>
      </c>
      <c r="EH79" s="438"/>
      <c r="EI79" s="438"/>
      <c r="EJ79" s="438"/>
    </row>
    <row r="80" spans="1:140" s="301" customFormat="1" ht="22.5" customHeight="1">
      <c r="A80" s="912"/>
      <c r="B80" s="887"/>
      <c r="C80" s="894" t="s">
        <v>54</v>
      </c>
      <c r="D80" s="704" t="s">
        <v>48</v>
      </c>
      <c r="E80" s="705"/>
      <c r="F80" s="706"/>
      <c r="G80" s="706"/>
      <c r="H80" s="707"/>
      <c r="I80" s="413">
        <v>6267813</v>
      </c>
      <c r="J80" s="413">
        <v>6155121.5</v>
      </c>
      <c r="K80" s="413">
        <v>5932518</v>
      </c>
      <c r="L80" s="413">
        <v>5763220</v>
      </c>
      <c r="M80" s="413">
        <v>5579432</v>
      </c>
      <c r="N80" s="413">
        <v>5703957</v>
      </c>
      <c r="O80" s="413">
        <v>5975217</v>
      </c>
      <c r="P80" s="413">
        <v>6530478.6600000001</v>
      </c>
      <c r="Q80" s="413">
        <v>6890493.1100000003</v>
      </c>
      <c r="R80" s="413">
        <v>7128914.6100000003</v>
      </c>
      <c r="S80" s="413">
        <v>7479295.9499999993</v>
      </c>
      <c r="T80" s="414">
        <v>7313080.25</v>
      </c>
      <c r="U80" s="415">
        <f>7353841.5+20260.5</f>
        <v>7374102</v>
      </c>
      <c r="V80" s="413">
        <f>7583149+17364.5</f>
        <v>7600513.5</v>
      </c>
      <c r="W80" s="416">
        <f>7311186.5+19311.5</f>
        <v>7330498</v>
      </c>
      <c r="X80" s="416">
        <v>7332466.5</v>
      </c>
      <c r="Y80" s="416">
        <v>7348103.25</v>
      </c>
      <c r="Z80" s="416">
        <v>7302957.5</v>
      </c>
      <c r="AA80" s="416">
        <v>7630479</v>
      </c>
      <c r="AB80" s="416">
        <v>8018614.7999999998</v>
      </c>
      <c r="AC80" s="416">
        <v>8411564.8000000007</v>
      </c>
      <c r="AD80" s="416">
        <v>8450502.9000000004</v>
      </c>
      <c r="AE80" s="416">
        <v>8795864.4000000004</v>
      </c>
      <c r="AF80" s="416">
        <v>8818463.4000000004</v>
      </c>
      <c r="AG80" s="416">
        <v>8458709.5</v>
      </c>
      <c r="AH80" s="416">
        <v>7944723.7999999998</v>
      </c>
      <c r="AI80" s="416">
        <v>8247593.7999999998</v>
      </c>
      <c r="AJ80" s="416">
        <v>8707345.0999999996</v>
      </c>
      <c r="AK80" s="416">
        <v>8891863.5700000003</v>
      </c>
      <c r="AL80" s="416">
        <v>8501923.9700000007</v>
      </c>
      <c r="AM80" s="416">
        <v>8948752.2500000019</v>
      </c>
      <c r="AN80" s="416">
        <v>9376488.8200000003</v>
      </c>
      <c r="AO80" s="416">
        <v>9758503.7000000011</v>
      </c>
      <c r="AP80" s="416">
        <v>9773968.8900000006</v>
      </c>
      <c r="AQ80" s="416">
        <v>10111574.390000001</v>
      </c>
      <c r="AR80" s="416">
        <v>9928602.8399999999</v>
      </c>
      <c r="AS80" s="416">
        <v>10081161.1</v>
      </c>
      <c r="AT80" s="416">
        <f>10291.38729*1000</f>
        <v>10291387.290000001</v>
      </c>
      <c r="AU80" s="416">
        <v>10947035.4</v>
      </c>
      <c r="AV80" s="416">
        <v>11344225.32</v>
      </c>
      <c r="AW80" s="416">
        <v>11455527.609999999</v>
      </c>
      <c r="AX80" s="416">
        <v>11531431.48</v>
      </c>
      <c r="AY80" s="416">
        <v>12686897.220000001</v>
      </c>
      <c r="AZ80" s="416">
        <v>12922572.369999999</v>
      </c>
      <c r="BA80" s="416">
        <v>13297968.66</v>
      </c>
      <c r="BB80" s="416">
        <v>12803135.029999999</v>
      </c>
      <c r="BC80" s="416">
        <v>13175643.84</v>
      </c>
      <c r="BD80" s="416">
        <v>13036589.24</v>
      </c>
      <c r="BE80" s="416">
        <v>13214531.67</v>
      </c>
      <c r="BF80" s="416">
        <v>13312363.859999999</v>
      </c>
      <c r="BG80" s="416">
        <v>13467099.029999999</v>
      </c>
      <c r="BH80" s="416">
        <v>12940935.27</v>
      </c>
      <c r="BI80" s="416">
        <v>13619218.119999999</v>
      </c>
      <c r="BJ80" s="416">
        <v>13938136.899999999</v>
      </c>
      <c r="BK80" s="416">
        <v>15173974.25</v>
      </c>
      <c r="BL80" s="459">
        <v>15351643.26</v>
      </c>
      <c r="BM80" s="459">
        <v>17296688.809999999</v>
      </c>
      <c r="BN80" s="459">
        <v>18069648.369999997</v>
      </c>
      <c r="BO80" s="459">
        <v>18677149.390000001</v>
      </c>
      <c r="BP80" s="460">
        <v>18400965.390000001</v>
      </c>
      <c r="BQ80" s="461">
        <v>18699812.299999997</v>
      </c>
      <c r="BR80" s="459">
        <v>19019755.600000001</v>
      </c>
      <c r="BS80" s="459">
        <v>19308932.449999999</v>
      </c>
      <c r="BT80" s="459">
        <v>20941753.309999999</v>
      </c>
      <c r="BU80" s="459">
        <v>22511538.829999998</v>
      </c>
      <c r="BV80" s="459">
        <f>24103.77849*1000</f>
        <v>24103778.490000002</v>
      </c>
      <c r="BW80" s="459">
        <v>26632731.870000001</v>
      </c>
      <c r="BX80" s="459">
        <v>29667970.02</v>
      </c>
      <c r="BY80" s="459">
        <v>32896445.16</v>
      </c>
      <c r="BZ80" s="459">
        <v>34986361.129999995</v>
      </c>
      <c r="CA80" s="459">
        <v>37847115.229999997</v>
      </c>
      <c r="CB80" s="462">
        <v>38325656.060000002</v>
      </c>
      <c r="CC80" s="459">
        <v>39755099.5</v>
      </c>
      <c r="CD80" s="459">
        <v>41156609.689999998</v>
      </c>
      <c r="CE80" s="459">
        <v>44558012.960000001</v>
      </c>
      <c r="CF80" s="459">
        <v>49514258.520000003</v>
      </c>
      <c r="CG80" s="459">
        <v>55380235.469999999</v>
      </c>
      <c r="CH80" s="459">
        <v>62747787.07</v>
      </c>
      <c r="CI80" s="459">
        <v>68441192.079999998</v>
      </c>
      <c r="CJ80" s="459">
        <v>71971311.040000007</v>
      </c>
      <c r="CK80" s="459">
        <v>76139721.36999999</v>
      </c>
      <c r="CL80" s="459">
        <v>76411408.149999991</v>
      </c>
      <c r="CM80" s="459">
        <v>72960065.539999977</v>
      </c>
      <c r="CN80" s="459">
        <v>67675849.409999996</v>
      </c>
      <c r="CO80" s="459">
        <v>63644998.470000006</v>
      </c>
      <c r="CP80" s="459">
        <v>65708707.75</v>
      </c>
      <c r="CQ80" s="459">
        <v>67091508.770000018</v>
      </c>
      <c r="CR80" s="459">
        <v>68496157.890000001</v>
      </c>
      <c r="CS80" s="459">
        <v>70548818.25999999</v>
      </c>
      <c r="CT80" s="459">
        <v>70393085.660000011</v>
      </c>
      <c r="CU80" s="459">
        <v>74884321.530000001</v>
      </c>
      <c r="CV80" s="459">
        <v>73440143.569999993</v>
      </c>
      <c r="CW80" s="459">
        <v>75096884.629999995</v>
      </c>
      <c r="CX80" s="459">
        <v>78739474.579999998</v>
      </c>
      <c r="CY80" s="459">
        <v>77690916.960000008</v>
      </c>
      <c r="CZ80" s="459">
        <v>71384214.770000026</v>
      </c>
      <c r="DA80" s="459">
        <v>69590494.939999998</v>
      </c>
      <c r="DB80" s="459">
        <v>73005060.969999999</v>
      </c>
      <c r="DC80" s="459">
        <v>72969446.329999998</v>
      </c>
      <c r="DD80" s="459">
        <v>76270545.909999996</v>
      </c>
      <c r="DE80" s="459">
        <v>80350788.689999998</v>
      </c>
      <c r="DF80" s="459">
        <v>80371345.020000011</v>
      </c>
      <c r="DG80" s="459">
        <v>83693971.910000026</v>
      </c>
      <c r="DH80" s="459">
        <v>78474201.63000001</v>
      </c>
      <c r="DI80" s="459">
        <v>80217237.479999989</v>
      </c>
      <c r="DJ80" s="459">
        <v>80661905.999999985</v>
      </c>
      <c r="DK80" s="459">
        <v>77509843.559999973</v>
      </c>
      <c r="DL80" s="459">
        <v>77893620.549999997</v>
      </c>
      <c r="DM80" s="459">
        <v>78755779.120000005</v>
      </c>
      <c r="DN80" s="459">
        <v>80577446.519999996</v>
      </c>
      <c r="DO80" s="459">
        <v>88045312.039999992</v>
      </c>
      <c r="DP80" s="459">
        <v>86381522.139999986</v>
      </c>
      <c r="DQ80" s="459">
        <v>92854976.099999994</v>
      </c>
      <c r="DR80" s="459">
        <v>92089482.74000001</v>
      </c>
      <c r="DS80" s="459">
        <v>93729843.609999999</v>
      </c>
      <c r="DT80" s="459">
        <v>91469105.62000002</v>
      </c>
      <c r="DU80" s="459">
        <v>93858414.260000005</v>
      </c>
      <c r="DV80" s="459">
        <v>94781105.029999986</v>
      </c>
      <c r="DW80" s="459">
        <v>95046578.329999998</v>
      </c>
      <c r="DX80" s="459">
        <v>90535521.920000002</v>
      </c>
      <c r="DY80" s="459">
        <v>84508029.940000013</v>
      </c>
      <c r="DZ80" s="459">
        <v>86845404.729999989</v>
      </c>
      <c r="EA80" s="459">
        <v>90461287.210000008</v>
      </c>
      <c r="EB80" s="459">
        <v>93267605.089999989</v>
      </c>
      <c r="EC80" s="459">
        <v>92258612.710000008</v>
      </c>
      <c r="ED80" s="459">
        <v>89793930.650000021</v>
      </c>
      <c r="EE80" s="459">
        <v>92604990.86999999</v>
      </c>
      <c r="EF80" s="459">
        <v>90647053.430000007</v>
      </c>
      <c r="EG80" s="459">
        <v>98124289.390000001</v>
      </c>
      <c r="EH80" s="459"/>
      <c r="EI80" s="459"/>
      <c r="EJ80" s="459"/>
    </row>
    <row r="81" spans="1:140" s="301" customFormat="1" ht="22.5" customHeight="1">
      <c r="A81" s="912"/>
      <c r="B81" s="887"/>
      <c r="C81" s="895"/>
      <c r="D81" s="709" t="s">
        <v>49</v>
      </c>
      <c r="E81" s="710"/>
      <c r="F81" s="711"/>
      <c r="G81" s="711"/>
      <c r="H81" s="712"/>
      <c r="I81" s="441">
        <v>2118</v>
      </c>
      <c r="J81" s="441">
        <v>2108</v>
      </c>
      <c r="K81" s="441">
        <v>2089</v>
      </c>
      <c r="L81" s="441">
        <v>2028</v>
      </c>
      <c r="M81" s="441">
        <v>1955</v>
      </c>
      <c r="N81" s="441">
        <v>1996</v>
      </c>
      <c r="O81" s="441">
        <v>2109</v>
      </c>
      <c r="P81" s="441">
        <v>2317</v>
      </c>
      <c r="Q81" s="441">
        <v>2447</v>
      </c>
      <c r="R81" s="441">
        <v>2541</v>
      </c>
      <c r="S81" s="441">
        <v>2622</v>
      </c>
      <c r="T81" s="442">
        <v>2567</v>
      </c>
      <c r="U81" s="443">
        <f>6+2599</f>
        <v>2605</v>
      </c>
      <c r="V81" s="441">
        <f>5+2647</f>
        <v>2652</v>
      </c>
      <c r="W81" s="444">
        <f>6+2592</f>
        <v>2598</v>
      </c>
      <c r="X81" s="444">
        <v>2599</v>
      </c>
      <c r="Y81" s="444">
        <v>2580</v>
      </c>
      <c r="Z81" s="444">
        <v>2549</v>
      </c>
      <c r="AA81" s="444">
        <v>2667</v>
      </c>
      <c r="AB81" s="444">
        <v>2835</v>
      </c>
      <c r="AC81" s="444">
        <v>2989</v>
      </c>
      <c r="AD81" s="444">
        <v>3014</v>
      </c>
      <c r="AE81" s="444">
        <v>3110</v>
      </c>
      <c r="AF81" s="444">
        <v>3143</v>
      </c>
      <c r="AG81" s="444">
        <v>3011</v>
      </c>
      <c r="AH81" s="444">
        <v>2826</v>
      </c>
      <c r="AI81" s="444">
        <v>2973</v>
      </c>
      <c r="AJ81" s="444">
        <v>3090</v>
      </c>
      <c r="AK81" s="444">
        <v>3329</v>
      </c>
      <c r="AL81" s="444">
        <v>3265</v>
      </c>
      <c r="AM81" s="444">
        <v>3429</v>
      </c>
      <c r="AN81" s="444">
        <v>3651</v>
      </c>
      <c r="AO81" s="444">
        <v>3841</v>
      </c>
      <c r="AP81" s="444">
        <v>3872</v>
      </c>
      <c r="AQ81" s="444">
        <v>4028</v>
      </c>
      <c r="AR81" s="444">
        <v>3911</v>
      </c>
      <c r="AS81" s="444">
        <v>3990</v>
      </c>
      <c r="AT81" s="444">
        <v>4032</v>
      </c>
      <c r="AU81" s="444">
        <v>4285</v>
      </c>
      <c r="AV81" s="444">
        <v>4501</v>
      </c>
      <c r="AW81" s="444">
        <v>4556</v>
      </c>
      <c r="AX81" s="444">
        <v>4531</v>
      </c>
      <c r="AY81" s="444">
        <v>5090</v>
      </c>
      <c r="AZ81" s="444">
        <v>5185</v>
      </c>
      <c r="BA81" s="444">
        <v>5336</v>
      </c>
      <c r="BB81" s="444">
        <v>5122</v>
      </c>
      <c r="BC81" s="444">
        <v>5225</v>
      </c>
      <c r="BD81" s="444">
        <v>5111</v>
      </c>
      <c r="BE81" s="444">
        <v>5136</v>
      </c>
      <c r="BF81" s="444">
        <v>5223</v>
      </c>
      <c r="BG81" s="444">
        <v>5249</v>
      </c>
      <c r="BH81" s="444">
        <v>5218</v>
      </c>
      <c r="BI81" s="444">
        <v>5361</v>
      </c>
      <c r="BJ81" s="444">
        <v>5499</v>
      </c>
      <c r="BK81" s="444">
        <v>5783</v>
      </c>
      <c r="BL81" s="506">
        <v>5933</v>
      </c>
      <c r="BM81" s="506">
        <v>6541</v>
      </c>
      <c r="BN81" s="506">
        <v>6355</v>
      </c>
      <c r="BO81" s="506">
        <v>6450</v>
      </c>
      <c r="BP81" s="507">
        <v>6232</v>
      </c>
      <c r="BQ81" s="508">
        <v>6189</v>
      </c>
      <c r="BR81" s="506">
        <v>6197</v>
      </c>
      <c r="BS81" s="506">
        <v>6213</v>
      </c>
      <c r="BT81" s="506">
        <v>6439</v>
      </c>
      <c r="BU81" s="506">
        <v>6846</v>
      </c>
      <c r="BV81" s="506">
        <v>7197</v>
      </c>
      <c r="BW81" s="506">
        <v>7533</v>
      </c>
      <c r="BX81" s="506">
        <v>8188</v>
      </c>
      <c r="BY81" s="506">
        <v>8934</v>
      </c>
      <c r="BZ81" s="506">
        <v>9338</v>
      </c>
      <c r="CA81" s="506">
        <v>10030</v>
      </c>
      <c r="CB81" s="509">
        <v>10035</v>
      </c>
      <c r="CC81" s="510">
        <v>10316</v>
      </c>
      <c r="CD81" s="506">
        <v>10422</v>
      </c>
      <c r="CE81" s="506">
        <v>11166</v>
      </c>
      <c r="CF81" s="506">
        <v>12515</v>
      </c>
      <c r="CG81" s="506">
        <v>13944</v>
      </c>
      <c r="CH81" s="506">
        <v>15562</v>
      </c>
      <c r="CI81" s="506">
        <v>16522</v>
      </c>
      <c r="CJ81" s="506">
        <v>17579</v>
      </c>
      <c r="CK81" s="506">
        <v>18446</v>
      </c>
      <c r="CL81" s="506">
        <v>18688</v>
      </c>
      <c r="CM81" s="506">
        <v>16779</v>
      </c>
      <c r="CN81" s="506">
        <v>14188</v>
      </c>
      <c r="CO81" s="506">
        <v>13181</v>
      </c>
      <c r="CP81" s="506">
        <v>13260</v>
      </c>
      <c r="CQ81" s="506">
        <v>13449</v>
      </c>
      <c r="CR81" s="506">
        <v>13570</v>
      </c>
      <c r="CS81" s="506">
        <v>14009</v>
      </c>
      <c r="CT81" s="506">
        <v>14312</v>
      </c>
      <c r="CU81" s="506">
        <v>15103</v>
      </c>
      <c r="CV81" s="506">
        <v>14441</v>
      </c>
      <c r="CW81" s="506">
        <v>14887</v>
      </c>
      <c r="CX81" s="506">
        <v>15532</v>
      </c>
      <c r="CY81" s="506">
        <v>15215</v>
      </c>
      <c r="CZ81" s="506">
        <v>12899</v>
      </c>
      <c r="DA81" s="506">
        <v>12117</v>
      </c>
      <c r="DB81" s="506">
        <v>12257</v>
      </c>
      <c r="DC81" s="506">
        <v>12111</v>
      </c>
      <c r="DD81" s="506">
        <v>12619</v>
      </c>
      <c r="DE81" s="506">
        <v>12862</v>
      </c>
      <c r="DF81" s="506">
        <v>12632</v>
      </c>
      <c r="DG81" s="506">
        <v>12898</v>
      </c>
      <c r="DH81" s="506">
        <v>12044</v>
      </c>
      <c r="DI81" s="506">
        <v>12172</v>
      </c>
      <c r="DJ81" s="506">
        <v>12080</v>
      </c>
      <c r="DK81" s="506">
        <v>11683</v>
      </c>
      <c r="DL81" s="506">
        <v>11507</v>
      </c>
      <c r="DM81" s="506">
        <v>11317</v>
      </c>
      <c r="DN81" s="506">
        <v>11415</v>
      </c>
      <c r="DO81" s="506">
        <v>12252</v>
      </c>
      <c r="DP81" s="506">
        <v>12202</v>
      </c>
      <c r="DQ81" s="506">
        <v>13047</v>
      </c>
      <c r="DR81" s="506">
        <v>12706</v>
      </c>
      <c r="DS81" s="506">
        <v>12968</v>
      </c>
      <c r="DT81" s="506">
        <v>12837</v>
      </c>
      <c r="DU81" s="506">
        <v>13097</v>
      </c>
      <c r="DV81" s="506">
        <v>13189</v>
      </c>
      <c r="DW81" s="506">
        <v>13177</v>
      </c>
      <c r="DX81" s="506">
        <v>12513</v>
      </c>
      <c r="DY81" s="506">
        <v>11656</v>
      </c>
      <c r="DZ81" s="506">
        <v>11749</v>
      </c>
      <c r="EA81" s="506">
        <v>12230</v>
      </c>
      <c r="EB81" s="506">
        <v>12600</v>
      </c>
      <c r="EC81" s="506">
        <v>12517</v>
      </c>
      <c r="ED81" s="506">
        <v>12003</v>
      </c>
      <c r="EE81" s="506">
        <v>12461</v>
      </c>
      <c r="EF81" s="506">
        <v>12199</v>
      </c>
      <c r="EG81" s="506">
        <v>13182</v>
      </c>
      <c r="EH81" s="506"/>
      <c r="EI81" s="506"/>
      <c r="EJ81" s="506"/>
    </row>
    <row r="82" spans="1:140" s="301" customFormat="1" ht="22.5" customHeight="1">
      <c r="A82" s="912"/>
      <c r="B82" s="887"/>
      <c r="C82" s="896" t="s">
        <v>55</v>
      </c>
      <c r="D82" s="737" t="s">
        <v>48</v>
      </c>
      <c r="E82" s="738"/>
      <c r="F82" s="739"/>
      <c r="G82" s="739"/>
      <c r="H82" s="740"/>
      <c r="I82" s="447">
        <f t="shared" ref="I82:BT83" si="63">+I80-I78</f>
        <v>6267813</v>
      </c>
      <c r="J82" s="447">
        <f t="shared" si="63"/>
        <v>6155121.5</v>
      </c>
      <c r="K82" s="447">
        <f t="shared" si="63"/>
        <v>5932518</v>
      </c>
      <c r="L82" s="447">
        <f t="shared" si="63"/>
        <v>5759877</v>
      </c>
      <c r="M82" s="447">
        <f t="shared" si="63"/>
        <v>5576151</v>
      </c>
      <c r="N82" s="447">
        <f t="shared" si="63"/>
        <v>5697002.5</v>
      </c>
      <c r="O82" s="447">
        <f t="shared" si="63"/>
        <v>5963268.5</v>
      </c>
      <c r="P82" s="447">
        <f t="shared" si="63"/>
        <v>6510752.6600000001</v>
      </c>
      <c r="Q82" s="447">
        <f t="shared" si="63"/>
        <v>6874433.6100000003</v>
      </c>
      <c r="R82" s="447">
        <f t="shared" si="63"/>
        <v>7114493.1100000003</v>
      </c>
      <c r="S82" s="447">
        <f t="shared" si="63"/>
        <v>7463019.9499999993</v>
      </c>
      <c r="T82" s="448">
        <f t="shared" si="63"/>
        <v>7290024.25</v>
      </c>
      <c r="U82" s="449">
        <f t="shared" si="63"/>
        <v>7347514.5</v>
      </c>
      <c r="V82" s="447">
        <f t="shared" si="63"/>
        <v>7560644.5</v>
      </c>
      <c r="W82" s="450">
        <f t="shared" si="63"/>
        <v>7287685.5</v>
      </c>
      <c r="X82" s="450">
        <f t="shared" si="63"/>
        <v>7275506.5</v>
      </c>
      <c r="Y82" s="450">
        <f t="shared" si="63"/>
        <v>7267774.75</v>
      </c>
      <c r="Z82" s="450">
        <f t="shared" si="63"/>
        <v>7221900</v>
      </c>
      <c r="AA82" s="450">
        <f t="shared" si="63"/>
        <v>7532427</v>
      </c>
      <c r="AB82" s="450">
        <f t="shared" si="63"/>
        <v>7900821.7999999998</v>
      </c>
      <c r="AC82" s="450">
        <f t="shared" si="63"/>
        <v>8286433.3000000007</v>
      </c>
      <c r="AD82" s="450">
        <f t="shared" si="63"/>
        <v>8321195.9000000004</v>
      </c>
      <c r="AE82" s="450">
        <f t="shared" si="63"/>
        <v>8654171.9000000004</v>
      </c>
      <c r="AF82" s="450">
        <f t="shared" si="63"/>
        <v>8685125.9000000004</v>
      </c>
      <c r="AG82" s="450">
        <f t="shared" si="63"/>
        <v>8314312</v>
      </c>
      <c r="AH82" s="450">
        <f t="shared" si="63"/>
        <v>7798493.7999999998</v>
      </c>
      <c r="AI82" s="450">
        <f t="shared" si="63"/>
        <v>8108054.7999999998</v>
      </c>
      <c r="AJ82" s="450">
        <f t="shared" si="63"/>
        <v>8564525.0999999996</v>
      </c>
      <c r="AK82" s="450">
        <f t="shared" si="63"/>
        <v>8755894.0700000003</v>
      </c>
      <c r="AL82" s="450">
        <f t="shared" si="63"/>
        <v>8366010.4700000007</v>
      </c>
      <c r="AM82" s="450">
        <f t="shared" si="63"/>
        <v>8814200.7500000019</v>
      </c>
      <c r="AN82" s="450">
        <f t="shared" si="63"/>
        <v>9243002.8200000003</v>
      </c>
      <c r="AO82" s="450">
        <f t="shared" si="63"/>
        <v>9628422.2000000011</v>
      </c>
      <c r="AP82" s="450">
        <f t="shared" si="63"/>
        <v>9642541.8900000006</v>
      </c>
      <c r="AQ82" s="450">
        <f t="shared" si="63"/>
        <v>9979627.8900000006</v>
      </c>
      <c r="AR82" s="450">
        <f t="shared" si="63"/>
        <v>9797962.3399999999</v>
      </c>
      <c r="AS82" s="450">
        <f t="shared" si="63"/>
        <v>9946858.0999999996</v>
      </c>
      <c r="AT82" s="450">
        <f t="shared" si="63"/>
        <v>10156937.790000001</v>
      </c>
      <c r="AU82" s="450">
        <f t="shared" si="63"/>
        <v>10817077.4</v>
      </c>
      <c r="AV82" s="450">
        <f t="shared" si="63"/>
        <v>11226745.82</v>
      </c>
      <c r="AW82" s="450">
        <f t="shared" si="63"/>
        <v>11337379.109999999</v>
      </c>
      <c r="AX82" s="450">
        <f t="shared" si="63"/>
        <v>11417905.98</v>
      </c>
      <c r="AY82" s="450">
        <f t="shared" si="63"/>
        <v>12565623.220000001</v>
      </c>
      <c r="AZ82" s="450">
        <f t="shared" si="63"/>
        <v>12806878.869999999</v>
      </c>
      <c r="BA82" s="450">
        <f t="shared" si="63"/>
        <v>13173218.16</v>
      </c>
      <c r="BB82" s="450">
        <f t="shared" si="63"/>
        <v>12674843.029999999</v>
      </c>
      <c r="BC82" s="450">
        <f t="shared" si="63"/>
        <v>13040801.84</v>
      </c>
      <c r="BD82" s="450">
        <f t="shared" si="63"/>
        <v>12896800.74</v>
      </c>
      <c r="BE82" s="450">
        <f t="shared" si="63"/>
        <v>13077244.67</v>
      </c>
      <c r="BF82" s="450">
        <f t="shared" si="63"/>
        <v>13173713.359999999</v>
      </c>
      <c r="BG82" s="450">
        <f t="shared" si="63"/>
        <v>13334657.029999999</v>
      </c>
      <c r="BH82" s="450">
        <f t="shared" si="63"/>
        <v>12803138.27</v>
      </c>
      <c r="BI82" s="450">
        <f t="shared" si="63"/>
        <v>13486604.619999999</v>
      </c>
      <c r="BJ82" s="450">
        <f t="shared" si="63"/>
        <v>13808141.399999999</v>
      </c>
      <c r="BK82" s="450">
        <f t="shared" si="63"/>
        <v>15047839.25</v>
      </c>
      <c r="BL82" s="511">
        <f t="shared" si="63"/>
        <v>15227968.26</v>
      </c>
      <c r="BM82" s="511">
        <f t="shared" si="63"/>
        <v>17175765.309999999</v>
      </c>
      <c r="BN82" s="511">
        <f t="shared" si="63"/>
        <v>17951427.369999997</v>
      </c>
      <c r="BO82" s="511">
        <f t="shared" si="63"/>
        <v>18562257.890000001</v>
      </c>
      <c r="BP82" s="512">
        <f t="shared" si="63"/>
        <v>18289282.890000001</v>
      </c>
      <c r="BQ82" s="513">
        <f t="shared" si="63"/>
        <v>18585541.299999997</v>
      </c>
      <c r="BR82" s="511">
        <f t="shared" si="63"/>
        <v>18908191.100000001</v>
      </c>
      <c r="BS82" s="511">
        <f t="shared" si="63"/>
        <v>19198353.449999999</v>
      </c>
      <c r="BT82" s="511">
        <f t="shared" si="63"/>
        <v>20829757.809999999</v>
      </c>
      <c r="BU82" s="511">
        <f t="shared" ref="BU82:EF83" si="64">+BU80-BU78</f>
        <v>22396344.329999998</v>
      </c>
      <c r="BV82" s="511">
        <f t="shared" si="64"/>
        <v>23990875.990000002</v>
      </c>
      <c r="BW82" s="511">
        <f t="shared" si="64"/>
        <v>26522654.870000001</v>
      </c>
      <c r="BX82" s="511">
        <f t="shared" si="64"/>
        <v>29516998.02</v>
      </c>
      <c r="BY82" s="511">
        <f t="shared" si="64"/>
        <v>32734002.66</v>
      </c>
      <c r="BZ82" s="511">
        <f t="shared" si="64"/>
        <v>34820944.629999995</v>
      </c>
      <c r="CA82" s="511">
        <f t="shared" si="64"/>
        <v>37684073.229999997</v>
      </c>
      <c r="CB82" s="514">
        <f t="shared" si="64"/>
        <v>38166868.060000002</v>
      </c>
      <c r="CC82" s="511">
        <f t="shared" si="64"/>
        <v>39597805.5</v>
      </c>
      <c r="CD82" s="511">
        <f t="shared" si="64"/>
        <v>41002035.189999998</v>
      </c>
      <c r="CE82" s="511">
        <f t="shared" si="64"/>
        <v>44408632.960000001</v>
      </c>
      <c r="CF82" s="511">
        <f t="shared" si="64"/>
        <v>49366798.020000003</v>
      </c>
      <c r="CG82" s="511">
        <f t="shared" si="64"/>
        <v>55174384.969999999</v>
      </c>
      <c r="CH82" s="511">
        <f t="shared" si="64"/>
        <v>62498129.07</v>
      </c>
      <c r="CI82" s="511">
        <f t="shared" si="64"/>
        <v>68185460.079999998</v>
      </c>
      <c r="CJ82" s="511">
        <f t="shared" si="64"/>
        <v>71707811.040000007</v>
      </c>
      <c r="CK82" s="511">
        <f t="shared" si="64"/>
        <v>75845859.86999999</v>
      </c>
      <c r="CL82" s="511">
        <f t="shared" si="64"/>
        <v>76103087.649999991</v>
      </c>
      <c r="CM82" s="511">
        <f t="shared" si="64"/>
        <v>72645292.539999977</v>
      </c>
      <c r="CN82" s="511">
        <f t="shared" si="64"/>
        <v>67355291.409999996</v>
      </c>
      <c r="CO82" s="511">
        <f t="shared" si="64"/>
        <v>63391622.950000003</v>
      </c>
      <c r="CP82" s="511">
        <f t="shared" si="64"/>
        <v>65451489.5</v>
      </c>
      <c r="CQ82" s="511">
        <f t="shared" si="64"/>
        <v>66829615.500000015</v>
      </c>
      <c r="CR82" s="511">
        <f t="shared" si="64"/>
        <v>68225152.280000001</v>
      </c>
      <c r="CS82" s="511">
        <f t="shared" si="64"/>
        <v>70283188.799999997</v>
      </c>
      <c r="CT82" s="511">
        <f t="shared" si="64"/>
        <v>70121101.500000015</v>
      </c>
      <c r="CU82" s="511">
        <f t="shared" si="64"/>
        <v>74598593.5</v>
      </c>
      <c r="CV82" s="511">
        <f t="shared" si="64"/>
        <v>73158428.949999988</v>
      </c>
      <c r="CW82" s="511">
        <f t="shared" si="64"/>
        <v>74813532.349999994</v>
      </c>
      <c r="CX82" s="511">
        <f t="shared" si="64"/>
        <v>78459842.200000003</v>
      </c>
      <c r="CY82" s="511">
        <f t="shared" si="64"/>
        <v>77411972.150000006</v>
      </c>
      <c r="CZ82" s="511">
        <f t="shared" si="64"/>
        <v>71093293.380000025</v>
      </c>
      <c r="DA82" s="511">
        <f t="shared" si="64"/>
        <v>69317658.120000005</v>
      </c>
      <c r="DB82" s="511">
        <f t="shared" si="64"/>
        <v>72736890.420000002</v>
      </c>
      <c r="DC82" s="511">
        <f t="shared" si="64"/>
        <v>72700485.069999993</v>
      </c>
      <c r="DD82" s="511">
        <f t="shared" si="64"/>
        <v>76001516.289999992</v>
      </c>
      <c r="DE82" s="511">
        <f t="shared" si="64"/>
        <v>80077304.439999998</v>
      </c>
      <c r="DF82" s="511">
        <f t="shared" si="64"/>
        <v>80095714.320000008</v>
      </c>
      <c r="DG82" s="511">
        <f t="shared" si="64"/>
        <v>83397436.410000026</v>
      </c>
      <c r="DH82" s="511">
        <f t="shared" si="64"/>
        <v>78174084.040000007</v>
      </c>
      <c r="DI82" s="511">
        <f t="shared" si="64"/>
        <v>79919672.669999987</v>
      </c>
      <c r="DJ82" s="511">
        <f t="shared" si="64"/>
        <v>80348689.149999991</v>
      </c>
      <c r="DK82" s="511">
        <f t="shared" si="64"/>
        <v>77190430.74999997</v>
      </c>
      <c r="DL82" s="511">
        <f t="shared" si="64"/>
        <v>77552561.719999999</v>
      </c>
      <c r="DM82" s="511">
        <f t="shared" si="64"/>
        <v>78406427.890000001</v>
      </c>
      <c r="DN82" s="511">
        <f t="shared" si="64"/>
        <v>80224248.329999998</v>
      </c>
      <c r="DO82" s="511">
        <f t="shared" si="64"/>
        <v>87651116.879999995</v>
      </c>
      <c r="DP82" s="511">
        <f t="shared" si="64"/>
        <v>85983699.429999992</v>
      </c>
      <c r="DQ82" s="511">
        <f t="shared" si="64"/>
        <v>92434002.849999994</v>
      </c>
      <c r="DR82" s="511">
        <f t="shared" si="64"/>
        <v>91613221.190000013</v>
      </c>
      <c r="DS82" s="511">
        <f t="shared" si="64"/>
        <v>93252550.730000004</v>
      </c>
      <c r="DT82" s="511">
        <f t="shared" si="64"/>
        <v>90876148.080000013</v>
      </c>
      <c r="DU82" s="511">
        <f t="shared" si="64"/>
        <v>93114170.770000011</v>
      </c>
      <c r="DV82" s="511">
        <f t="shared" si="64"/>
        <v>93919196.319999993</v>
      </c>
      <c r="DW82" s="511">
        <f t="shared" si="64"/>
        <v>93951178.489999995</v>
      </c>
      <c r="DX82" s="511">
        <f t="shared" si="64"/>
        <v>89165411.180000007</v>
      </c>
      <c r="DY82" s="511">
        <f t="shared" si="64"/>
        <v>83161049.220000014</v>
      </c>
      <c r="DZ82" s="511">
        <f t="shared" si="64"/>
        <v>85184359.059999987</v>
      </c>
      <c r="EA82" s="511">
        <f t="shared" si="64"/>
        <v>88512192.850000009</v>
      </c>
      <c r="EB82" s="511">
        <f t="shared" si="64"/>
        <v>90841271.999999985</v>
      </c>
      <c r="EC82" s="511">
        <f t="shared" si="64"/>
        <v>89589312.13000001</v>
      </c>
      <c r="ED82" s="511">
        <f t="shared" si="64"/>
        <v>86701416.76000002</v>
      </c>
      <c r="EE82" s="511">
        <f t="shared" si="64"/>
        <v>89169780.359999985</v>
      </c>
      <c r="EF82" s="511">
        <f t="shared" si="64"/>
        <v>87015356.700000003</v>
      </c>
      <c r="EG82" s="511">
        <f t="shared" ref="EG82:EJ83" si="65">+EG80-EG78</f>
        <v>94231150.530000001</v>
      </c>
      <c r="EH82" s="511">
        <f t="shared" si="65"/>
        <v>0</v>
      </c>
      <c r="EI82" s="511">
        <f t="shared" si="65"/>
        <v>0</v>
      </c>
      <c r="EJ82" s="511">
        <f t="shared" si="65"/>
        <v>0</v>
      </c>
    </row>
    <row r="83" spans="1:140" s="301" customFormat="1" ht="22.5" customHeight="1" thickBot="1">
      <c r="A83" s="912"/>
      <c r="B83" s="887"/>
      <c r="C83" s="897"/>
      <c r="D83" s="723" t="s">
        <v>49</v>
      </c>
      <c r="E83" s="741"/>
      <c r="F83" s="742"/>
      <c r="G83" s="742"/>
      <c r="H83" s="743"/>
      <c r="I83" s="453">
        <f t="shared" si="63"/>
        <v>2118</v>
      </c>
      <c r="J83" s="453">
        <f t="shared" si="63"/>
        <v>2108</v>
      </c>
      <c r="K83" s="453">
        <f t="shared" si="63"/>
        <v>2089</v>
      </c>
      <c r="L83" s="453">
        <f t="shared" si="63"/>
        <v>2027</v>
      </c>
      <c r="M83" s="453">
        <f t="shared" si="63"/>
        <v>1954</v>
      </c>
      <c r="N83" s="453">
        <f t="shared" si="63"/>
        <v>1993</v>
      </c>
      <c r="O83" s="453">
        <f t="shared" si="63"/>
        <v>2105</v>
      </c>
      <c r="P83" s="453">
        <f t="shared" si="63"/>
        <v>2310</v>
      </c>
      <c r="Q83" s="453">
        <f t="shared" si="63"/>
        <v>2441</v>
      </c>
      <c r="R83" s="453">
        <f t="shared" si="63"/>
        <v>2536</v>
      </c>
      <c r="S83" s="453">
        <f t="shared" si="63"/>
        <v>2616</v>
      </c>
      <c r="T83" s="454">
        <f t="shared" si="63"/>
        <v>2559</v>
      </c>
      <c r="U83" s="455">
        <f t="shared" si="63"/>
        <v>2596</v>
      </c>
      <c r="V83" s="453">
        <f t="shared" si="63"/>
        <v>2640</v>
      </c>
      <c r="W83" s="456">
        <f t="shared" si="63"/>
        <v>2586</v>
      </c>
      <c r="X83" s="456">
        <f t="shared" si="63"/>
        <v>2583</v>
      </c>
      <c r="Y83" s="456">
        <f t="shared" si="63"/>
        <v>2556</v>
      </c>
      <c r="Z83" s="456">
        <f t="shared" si="63"/>
        <v>2524</v>
      </c>
      <c r="AA83" s="456">
        <f t="shared" si="63"/>
        <v>2637</v>
      </c>
      <c r="AB83" s="456">
        <f t="shared" si="63"/>
        <v>2798</v>
      </c>
      <c r="AC83" s="456">
        <f t="shared" si="63"/>
        <v>2950</v>
      </c>
      <c r="AD83" s="456">
        <f t="shared" si="63"/>
        <v>2973</v>
      </c>
      <c r="AE83" s="456">
        <f t="shared" si="63"/>
        <v>3064</v>
      </c>
      <c r="AF83" s="456">
        <f t="shared" si="63"/>
        <v>3098</v>
      </c>
      <c r="AG83" s="456">
        <f t="shared" si="63"/>
        <v>2962</v>
      </c>
      <c r="AH83" s="456">
        <f t="shared" si="63"/>
        <v>2775</v>
      </c>
      <c r="AI83" s="456">
        <f t="shared" si="63"/>
        <v>2924</v>
      </c>
      <c r="AJ83" s="456">
        <f t="shared" si="63"/>
        <v>3040</v>
      </c>
      <c r="AK83" s="456">
        <f t="shared" si="63"/>
        <v>3279</v>
      </c>
      <c r="AL83" s="456">
        <f t="shared" si="63"/>
        <v>3215</v>
      </c>
      <c r="AM83" s="456">
        <f t="shared" si="63"/>
        <v>3378</v>
      </c>
      <c r="AN83" s="456">
        <f t="shared" si="63"/>
        <v>3600</v>
      </c>
      <c r="AO83" s="456">
        <f t="shared" si="63"/>
        <v>3790</v>
      </c>
      <c r="AP83" s="456">
        <f t="shared" si="63"/>
        <v>3821</v>
      </c>
      <c r="AQ83" s="456">
        <f t="shared" si="63"/>
        <v>3976</v>
      </c>
      <c r="AR83" s="456">
        <f t="shared" si="63"/>
        <v>3858</v>
      </c>
      <c r="AS83" s="456">
        <f t="shared" si="63"/>
        <v>3934</v>
      </c>
      <c r="AT83" s="456">
        <f t="shared" si="63"/>
        <v>3977</v>
      </c>
      <c r="AU83" s="456">
        <f t="shared" si="63"/>
        <v>4232</v>
      </c>
      <c r="AV83" s="456">
        <f t="shared" si="63"/>
        <v>4451</v>
      </c>
      <c r="AW83" s="456">
        <f t="shared" si="63"/>
        <v>4505</v>
      </c>
      <c r="AX83" s="456">
        <f t="shared" si="63"/>
        <v>4481</v>
      </c>
      <c r="AY83" s="456">
        <f t="shared" si="63"/>
        <v>5038</v>
      </c>
      <c r="AZ83" s="456">
        <f t="shared" si="63"/>
        <v>5137</v>
      </c>
      <c r="BA83" s="456">
        <f t="shared" si="63"/>
        <v>5287</v>
      </c>
      <c r="BB83" s="456">
        <f t="shared" si="63"/>
        <v>5071</v>
      </c>
      <c r="BC83" s="456">
        <f t="shared" si="63"/>
        <v>5172</v>
      </c>
      <c r="BD83" s="456">
        <f t="shared" si="63"/>
        <v>5056</v>
      </c>
      <c r="BE83" s="456">
        <f t="shared" si="63"/>
        <v>5080</v>
      </c>
      <c r="BF83" s="456">
        <f t="shared" si="63"/>
        <v>5165</v>
      </c>
      <c r="BG83" s="456">
        <f t="shared" si="63"/>
        <v>5192</v>
      </c>
      <c r="BH83" s="456">
        <f t="shared" si="63"/>
        <v>5160</v>
      </c>
      <c r="BI83" s="456">
        <f t="shared" si="63"/>
        <v>5304</v>
      </c>
      <c r="BJ83" s="456">
        <f t="shared" si="63"/>
        <v>5442</v>
      </c>
      <c r="BK83" s="456">
        <f t="shared" si="63"/>
        <v>5726</v>
      </c>
      <c r="BL83" s="456">
        <f t="shared" si="63"/>
        <v>5876</v>
      </c>
      <c r="BM83" s="456">
        <f t="shared" si="63"/>
        <v>6484</v>
      </c>
      <c r="BN83" s="456">
        <f t="shared" si="63"/>
        <v>6299</v>
      </c>
      <c r="BO83" s="456">
        <f t="shared" si="63"/>
        <v>6394</v>
      </c>
      <c r="BP83" s="457">
        <f t="shared" si="63"/>
        <v>6177</v>
      </c>
      <c r="BQ83" s="455">
        <f t="shared" si="63"/>
        <v>6133</v>
      </c>
      <c r="BR83" s="456">
        <f t="shared" si="63"/>
        <v>6141</v>
      </c>
      <c r="BS83" s="456">
        <f t="shared" si="63"/>
        <v>6159</v>
      </c>
      <c r="BT83" s="456">
        <f t="shared" si="63"/>
        <v>6383</v>
      </c>
      <c r="BU83" s="456">
        <f t="shared" si="64"/>
        <v>6789</v>
      </c>
      <c r="BV83" s="456">
        <f t="shared" si="64"/>
        <v>7140</v>
      </c>
      <c r="BW83" s="456">
        <f t="shared" si="64"/>
        <v>7477</v>
      </c>
      <c r="BX83" s="456">
        <f t="shared" si="64"/>
        <v>8131</v>
      </c>
      <c r="BY83" s="456">
        <f t="shared" si="64"/>
        <v>8879</v>
      </c>
      <c r="BZ83" s="456">
        <f t="shared" si="64"/>
        <v>9281</v>
      </c>
      <c r="CA83" s="456">
        <f t="shared" si="64"/>
        <v>9973</v>
      </c>
      <c r="CB83" s="458">
        <f t="shared" si="64"/>
        <v>9978</v>
      </c>
      <c r="CC83" s="456">
        <f t="shared" si="64"/>
        <v>10259</v>
      </c>
      <c r="CD83" s="456">
        <f t="shared" si="64"/>
        <v>10367</v>
      </c>
      <c r="CE83" s="456">
        <f t="shared" si="64"/>
        <v>11115</v>
      </c>
      <c r="CF83" s="456">
        <f t="shared" si="64"/>
        <v>12463</v>
      </c>
      <c r="CG83" s="456">
        <f t="shared" si="64"/>
        <v>13891</v>
      </c>
      <c r="CH83" s="456">
        <f t="shared" si="64"/>
        <v>15508</v>
      </c>
      <c r="CI83" s="456">
        <f t="shared" si="64"/>
        <v>16468</v>
      </c>
      <c r="CJ83" s="456">
        <f t="shared" si="64"/>
        <v>17526</v>
      </c>
      <c r="CK83" s="456">
        <f t="shared" si="64"/>
        <v>18389</v>
      </c>
      <c r="CL83" s="456">
        <f t="shared" si="64"/>
        <v>18626</v>
      </c>
      <c r="CM83" s="456">
        <f t="shared" si="64"/>
        <v>16716</v>
      </c>
      <c r="CN83" s="456">
        <f t="shared" si="64"/>
        <v>14121</v>
      </c>
      <c r="CO83" s="456">
        <f t="shared" si="64"/>
        <v>13123</v>
      </c>
      <c r="CP83" s="456">
        <f t="shared" si="64"/>
        <v>13200</v>
      </c>
      <c r="CQ83" s="456">
        <f t="shared" si="64"/>
        <v>13387</v>
      </c>
      <c r="CR83" s="456">
        <f t="shared" si="64"/>
        <v>13504</v>
      </c>
      <c r="CS83" s="456">
        <f t="shared" si="64"/>
        <v>13944</v>
      </c>
      <c r="CT83" s="456">
        <f t="shared" si="64"/>
        <v>14247</v>
      </c>
      <c r="CU83" s="456">
        <f t="shared" si="64"/>
        <v>15036</v>
      </c>
      <c r="CV83" s="456">
        <f t="shared" si="64"/>
        <v>14378</v>
      </c>
      <c r="CW83" s="456">
        <f t="shared" si="64"/>
        <v>14824</v>
      </c>
      <c r="CX83" s="456">
        <f t="shared" si="64"/>
        <v>15469</v>
      </c>
      <c r="CY83" s="456">
        <f t="shared" si="64"/>
        <v>15151</v>
      </c>
      <c r="CZ83" s="456">
        <f t="shared" si="64"/>
        <v>12885</v>
      </c>
      <c r="DA83" s="456">
        <f t="shared" si="64"/>
        <v>12052</v>
      </c>
      <c r="DB83" s="456">
        <f t="shared" si="64"/>
        <v>12193</v>
      </c>
      <c r="DC83" s="456">
        <f t="shared" si="64"/>
        <v>12047</v>
      </c>
      <c r="DD83" s="456">
        <f t="shared" si="64"/>
        <v>12556</v>
      </c>
      <c r="DE83" s="456">
        <f t="shared" si="64"/>
        <v>12796</v>
      </c>
      <c r="DF83" s="456">
        <f t="shared" si="64"/>
        <v>12564</v>
      </c>
      <c r="DG83" s="456">
        <f t="shared" si="64"/>
        <v>12827</v>
      </c>
      <c r="DH83" s="456">
        <f t="shared" si="64"/>
        <v>11970</v>
      </c>
      <c r="DI83" s="456">
        <f t="shared" si="64"/>
        <v>12099</v>
      </c>
      <c r="DJ83" s="456">
        <f t="shared" si="64"/>
        <v>12002</v>
      </c>
      <c r="DK83" s="456">
        <f t="shared" si="64"/>
        <v>11603</v>
      </c>
      <c r="DL83" s="456">
        <f t="shared" si="64"/>
        <v>11425</v>
      </c>
      <c r="DM83" s="456">
        <f t="shared" si="64"/>
        <v>11232</v>
      </c>
      <c r="DN83" s="456">
        <f t="shared" si="64"/>
        <v>11328</v>
      </c>
      <c r="DO83" s="456">
        <f t="shared" si="64"/>
        <v>12159</v>
      </c>
      <c r="DP83" s="456">
        <f t="shared" si="64"/>
        <v>12108</v>
      </c>
      <c r="DQ83" s="456">
        <f t="shared" si="64"/>
        <v>12948</v>
      </c>
      <c r="DR83" s="456">
        <f t="shared" si="64"/>
        <v>12604</v>
      </c>
      <c r="DS83" s="456">
        <f t="shared" si="64"/>
        <v>12867</v>
      </c>
      <c r="DT83" s="456">
        <f t="shared" si="64"/>
        <v>12719</v>
      </c>
      <c r="DU83" s="456">
        <f t="shared" si="64"/>
        <v>12958</v>
      </c>
      <c r="DV83" s="456">
        <f t="shared" si="64"/>
        <v>13036</v>
      </c>
      <c r="DW83" s="456">
        <f t="shared" si="64"/>
        <v>13000</v>
      </c>
      <c r="DX83" s="456">
        <f t="shared" si="64"/>
        <v>12306</v>
      </c>
      <c r="DY83" s="456">
        <f t="shared" si="64"/>
        <v>11452</v>
      </c>
      <c r="DZ83" s="456">
        <f t="shared" si="64"/>
        <v>11506</v>
      </c>
      <c r="EA83" s="456">
        <f t="shared" si="64"/>
        <v>11964</v>
      </c>
      <c r="EB83" s="456">
        <f t="shared" si="64"/>
        <v>12279</v>
      </c>
      <c r="EC83" s="456">
        <f t="shared" si="64"/>
        <v>12163</v>
      </c>
      <c r="ED83" s="456">
        <f t="shared" si="64"/>
        <v>11603</v>
      </c>
      <c r="EE83" s="456">
        <f t="shared" si="64"/>
        <v>12026</v>
      </c>
      <c r="EF83" s="456">
        <f t="shared" si="64"/>
        <v>11733</v>
      </c>
      <c r="EG83" s="456">
        <f t="shared" si="65"/>
        <v>12685</v>
      </c>
      <c r="EH83" s="456">
        <f t="shared" si="65"/>
        <v>0</v>
      </c>
      <c r="EI83" s="456">
        <f t="shared" si="65"/>
        <v>0</v>
      </c>
      <c r="EJ83" s="456">
        <f t="shared" si="65"/>
        <v>0</v>
      </c>
    </row>
    <row r="84" spans="1:140" s="301" customFormat="1" ht="22.5" customHeight="1">
      <c r="A84" s="912"/>
      <c r="B84" s="887"/>
      <c r="C84" s="898" t="s">
        <v>56</v>
      </c>
      <c r="D84" s="704" t="s">
        <v>48</v>
      </c>
      <c r="E84" s="705"/>
      <c r="F84" s="706"/>
      <c r="G84" s="706"/>
      <c r="H84" s="707"/>
      <c r="I84" s="413">
        <v>905109.9</v>
      </c>
      <c r="J84" s="413">
        <v>830249.5</v>
      </c>
      <c r="K84" s="413">
        <v>885057.5</v>
      </c>
      <c r="L84" s="413">
        <v>886266</v>
      </c>
      <c r="M84" s="413">
        <v>859979.5</v>
      </c>
      <c r="N84" s="413">
        <v>734932.5</v>
      </c>
      <c r="O84" s="413">
        <v>756426</v>
      </c>
      <c r="P84" s="413">
        <v>796566</v>
      </c>
      <c r="Q84" s="413">
        <v>817779.5</v>
      </c>
      <c r="R84" s="413">
        <v>933647</v>
      </c>
      <c r="S84" s="413">
        <v>1025751.96</v>
      </c>
      <c r="T84" s="480">
        <v>1407635.5</v>
      </c>
      <c r="U84" s="415">
        <v>1285292.95</v>
      </c>
      <c r="V84" s="413">
        <v>1241440.8</v>
      </c>
      <c r="W84" s="416">
        <v>1842588</v>
      </c>
      <c r="X84" s="416">
        <v>1392034.5</v>
      </c>
      <c r="Y84" s="416">
        <v>1502109</v>
      </c>
      <c r="Z84" s="459">
        <v>1352886.5</v>
      </c>
      <c r="AA84" s="459">
        <v>1558150.5</v>
      </c>
      <c r="AB84" s="459">
        <v>1777451.5</v>
      </c>
      <c r="AC84" s="459">
        <v>1539416</v>
      </c>
      <c r="AD84" s="459">
        <v>1926561.8</v>
      </c>
      <c r="AE84" s="459">
        <v>1826341</v>
      </c>
      <c r="AF84" s="459">
        <v>1392701</v>
      </c>
      <c r="AG84" s="459">
        <v>1931210.9</v>
      </c>
      <c r="AH84" s="459">
        <v>2056897</v>
      </c>
      <c r="AI84" s="459">
        <v>1467716.5</v>
      </c>
      <c r="AJ84" s="459">
        <v>1758896</v>
      </c>
      <c r="AK84" s="459">
        <v>1980080.3</v>
      </c>
      <c r="AL84" s="459">
        <v>1879060.5</v>
      </c>
      <c r="AM84" s="459">
        <v>1652725.02</v>
      </c>
      <c r="AN84" s="459">
        <v>1839265</v>
      </c>
      <c r="AO84" s="459">
        <v>1711700.49</v>
      </c>
      <c r="AP84" s="459">
        <v>1984062.2</v>
      </c>
      <c r="AQ84" s="459">
        <v>2063202</v>
      </c>
      <c r="AR84" s="459">
        <v>1990549</v>
      </c>
      <c r="AS84" s="459">
        <v>1846520.5</v>
      </c>
      <c r="AT84" s="459">
        <v>1832935.6</v>
      </c>
      <c r="AU84" s="459">
        <v>1799874</v>
      </c>
      <c r="AV84" s="459">
        <v>1840008.85</v>
      </c>
      <c r="AW84" s="459">
        <v>1689701</v>
      </c>
      <c r="AX84" s="459">
        <v>1885368</v>
      </c>
      <c r="AY84" s="459">
        <v>1453976.5</v>
      </c>
      <c r="AZ84" s="459">
        <v>1794566.49</v>
      </c>
      <c r="BA84" s="459">
        <v>2198990.31</v>
      </c>
      <c r="BB84" s="459">
        <v>2309543.5099999998</v>
      </c>
      <c r="BC84" s="459">
        <v>2031335</v>
      </c>
      <c r="BD84" s="459">
        <v>2107845.5</v>
      </c>
      <c r="BE84" s="459">
        <v>2069438.5</v>
      </c>
      <c r="BF84" s="459">
        <v>2181648</v>
      </c>
      <c r="BG84" s="459">
        <v>2188460.5</v>
      </c>
      <c r="BH84" s="459">
        <v>2702145.51</v>
      </c>
      <c r="BI84" s="459">
        <v>2366325.15</v>
      </c>
      <c r="BJ84" s="459">
        <v>2490466</v>
      </c>
      <c r="BK84" s="459">
        <v>2382275.75</v>
      </c>
      <c r="BL84" s="459">
        <v>2676376</v>
      </c>
      <c r="BM84" s="459">
        <v>2217721</v>
      </c>
      <c r="BN84" s="459">
        <v>2543017.98</v>
      </c>
      <c r="BO84" s="459">
        <v>2801240</v>
      </c>
      <c r="BP84" s="460">
        <v>3660971.21</v>
      </c>
      <c r="BQ84" s="461">
        <v>2657959</v>
      </c>
      <c r="BR84" s="459">
        <v>2563717</v>
      </c>
      <c r="BS84" s="459">
        <v>3242126.5</v>
      </c>
      <c r="BT84" s="459">
        <v>3291360.5</v>
      </c>
      <c r="BU84" s="459">
        <v>3227421.5</v>
      </c>
      <c r="BV84" s="459">
        <v>3479971</v>
      </c>
      <c r="BW84" s="459">
        <v>3494133.5</v>
      </c>
      <c r="BX84" s="459">
        <v>2968737</v>
      </c>
      <c r="BY84" s="459">
        <v>3133451.5</v>
      </c>
      <c r="BZ84" s="459">
        <v>5246584</v>
      </c>
      <c r="CA84" s="459">
        <v>3803518.5</v>
      </c>
      <c r="CB84" s="462">
        <v>5042649.5</v>
      </c>
      <c r="CC84" s="459">
        <v>4125681.75</v>
      </c>
      <c r="CD84" s="459">
        <v>5483093.1699999999</v>
      </c>
      <c r="CE84" s="459">
        <v>4895543.5</v>
      </c>
      <c r="CF84" s="459">
        <v>4624205.5</v>
      </c>
      <c r="CG84" s="459">
        <v>4812237.5</v>
      </c>
      <c r="CH84" s="459">
        <v>3347578.5</v>
      </c>
      <c r="CI84" s="459">
        <v>5828265.4199999999</v>
      </c>
      <c r="CJ84" s="459">
        <v>6668452</v>
      </c>
      <c r="CK84" s="459">
        <v>6480788.5</v>
      </c>
      <c r="CL84" s="459">
        <v>8700188.5999999996</v>
      </c>
      <c r="CM84" s="459">
        <v>12199000.300000001</v>
      </c>
      <c r="CN84" s="459">
        <v>13146026.4</v>
      </c>
      <c r="CO84" s="459">
        <v>11428294.190000001</v>
      </c>
      <c r="CP84" s="459">
        <v>9806040.9000000004</v>
      </c>
      <c r="CQ84" s="459">
        <v>10307846.9</v>
      </c>
      <c r="CR84" s="459">
        <v>10305383.5</v>
      </c>
      <c r="CS84" s="459">
        <v>9817985.9999999925</v>
      </c>
      <c r="CT84" s="459">
        <v>11268238.819999995</v>
      </c>
      <c r="CU84" s="459">
        <v>9161240.2000000011</v>
      </c>
      <c r="CV84" s="459">
        <v>11516359.989999959</v>
      </c>
      <c r="CW84" s="459">
        <v>9182250.7999999933</v>
      </c>
      <c r="CX84" s="459">
        <v>9381083.9999999758</v>
      </c>
      <c r="CY84" s="459">
        <v>24835458.729999993</v>
      </c>
      <c r="CZ84" s="459">
        <v>4814780.0799999861</v>
      </c>
      <c r="DA84" s="459">
        <v>10470005.759999968</v>
      </c>
      <c r="DB84" s="459">
        <v>10246407.769999973</v>
      </c>
      <c r="DC84" s="459">
        <v>9587891.9699999839</v>
      </c>
      <c r="DD84" s="459">
        <v>11144844.869999971</v>
      </c>
      <c r="DE84" s="459">
        <v>12441101.179999968</v>
      </c>
      <c r="DF84" s="459">
        <v>11349947.259999976</v>
      </c>
      <c r="DG84" s="459">
        <v>11320416.099999987</v>
      </c>
      <c r="DH84" s="459">
        <v>11745555.839999974</v>
      </c>
      <c r="DI84" s="459">
        <v>12583606.99999998</v>
      </c>
      <c r="DJ84" s="459">
        <v>11621953.349999964</v>
      </c>
      <c r="DK84" s="459">
        <v>10884307.989999972</v>
      </c>
      <c r="DL84" s="459">
        <v>12042459.609999973</v>
      </c>
      <c r="DM84" s="459">
        <v>11086336.569999972</v>
      </c>
      <c r="DN84" s="459">
        <v>10583137.609999983</v>
      </c>
      <c r="DO84" s="459">
        <v>10815448.219999989</v>
      </c>
      <c r="DP84" s="459">
        <v>11800549.339999998</v>
      </c>
      <c r="DQ84" s="459">
        <v>11199839.169999978</v>
      </c>
      <c r="DR84" s="459">
        <v>11503897.019999987</v>
      </c>
      <c r="DS84" s="459">
        <v>12726331.519999983</v>
      </c>
      <c r="DT84" s="459">
        <v>13002306.859999988</v>
      </c>
      <c r="DU84" s="459">
        <v>12229765.560000001</v>
      </c>
      <c r="DV84" s="459">
        <v>12268285.880000027</v>
      </c>
      <c r="DW84" s="459">
        <v>13327008.049999993</v>
      </c>
      <c r="DX84" s="459">
        <v>13104927.449999982</v>
      </c>
      <c r="DY84" s="459">
        <v>12606782.580000009</v>
      </c>
      <c r="DZ84" s="459">
        <v>12113777.089999991</v>
      </c>
      <c r="EA84" s="459">
        <v>13101650.339999987</v>
      </c>
      <c r="EB84" s="459">
        <v>12559869.149999999</v>
      </c>
      <c r="EC84" s="459">
        <v>11916660.739999998</v>
      </c>
      <c r="ED84" s="459">
        <v>12804338.579999998</v>
      </c>
      <c r="EE84" s="459">
        <v>13020034.559999989</v>
      </c>
      <c r="EF84" s="459">
        <v>13276585.790000008</v>
      </c>
      <c r="EG84" s="459">
        <v>12619105.309999993</v>
      </c>
      <c r="EH84" s="459"/>
      <c r="EI84" s="459"/>
      <c r="EJ84" s="459"/>
    </row>
    <row r="85" spans="1:140" s="301" customFormat="1" ht="22.5" customHeight="1" thickBot="1">
      <c r="A85" s="912"/>
      <c r="B85" s="887"/>
      <c r="C85" s="899"/>
      <c r="D85" s="744" t="s">
        <v>49</v>
      </c>
      <c r="E85" s="745"/>
      <c r="F85" s="746"/>
      <c r="G85" s="746"/>
      <c r="H85" s="747"/>
      <c r="I85" s="463">
        <v>293</v>
      </c>
      <c r="J85" s="463">
        <v>271</v>
      </c>
      <c r="K85" s="463">
        <v>284</v>
      </c>
      <c r="L85" s="463">
        <v>295</v>
      </c>
      <c r="M85" s="463">
        <v>306</v>
      </c>
      <c r="N85" s="463">
        <v>259</v>
      </c>
      <c r="O85" s="463">
        <v>263</v>
      </c>
      <c r="P85" s="463">
        <v>294</v>
      </c>
      <c r="Q85" s="463">
        <v>289</v>
      </c>
      <c r="R85" s="463">
        <v>314</v>
      </c>
      <c r="S85" s="463">
        <v>371</v>
      </c>
      <c r="T85" s="515">
        <v>505</v>
      </c>
      <c r="U85" s="465">
        <v>431</v>
      </c>
      <c r="V85" s="463">
        <v>434</v>
      </c>
      <c r="W85" s="466">
        <v>606</v>
      </c>
      <c r="X85" s="466">
        <v>517</v>
      </c>
      <c r="Y85" s="466">
        <v>504</v>
      </c>
      <c r="Z85" s="490">
        <v>511</v>
      </c>
      <c r="AA85" s="490">
        <v>480</v>
      </c>
      <c r="AB85" s="490">
        <v>592</v>
      </c>
      <c r="AC85" s="490">
        <v>550</v>
      </c>
      <c r="AD85" s="490">
        <v>635</v>
      </c>
      <c r="AE85" s="490">
        <v>639</v>
      </c>
      <c r="AF85" s="490">
        <v>461</v>
      </c>
      <c r="AG85" s="490">
        <v>677</v>
      </c>
      <c r="AH85" s="490">
        <v>703</v>
      </c>
      <c r="AI85" s="490">
        <v>497</v>
      </c>
      <c r="AJ85" s="490">
        <v>616</v>
      </c>
      <c r="AK85" s="490">
        <v>661</v>
      </c>
      <c r="AL85" s="490">
        <v>658</v>
      </c>
      <c r="AM85" s="490">
        <v>625</v>
      </c>
      <c r="AN85" s="490">
        <v>643</v>
      </c>
      <c r="AO85" s="490">
        <v>592</v>
      </c>
      <c r="AP85" s="490">
        <v>680</v>
      </c>
      <c r="AQ85" s="490">
        <v>732</v>
      </c>
      <c r="AR85" s="490">
        <v>770</v>
      </c>
      <c r="AS85" s="490">
        <v>636</v>
      </c>
      <c r="AT85" s="490">
        <v>705</v>
      </c>
      <c r="AU85" s="490">
        <v>641</v>
      </c>
      <c r="AV85" s="490">
        <v>646</v>
      </c>
      <c r="AW85" s="490">
        <v>621</v>
      </c>
      <c r="AX85" s="490">
        <v>709</v>
      </c>
      <c r="AY85" s="490">
        <v>447</v>
      </c>
      <c r="AZ85" s="490">
        <v>592</v>
      </c>
      <c r="BA85" s="490">
        <v>808</v>
      </c>
      <c r="BB85" s="490">
        <v>830</v>
      </c>
      <c r="BC85" s="490">
        <v>711</v>
      </c>
      <c r="BD85" s="490">
        <v>837</v>
      </c>
      <c r="BE85" s="490">
        <v>770</v>
      </c>
      <c r="BF85" s="490">
        <v>779</v>
      </c>
      <c r="BG85" s="490">
        <v>799</v>
      </c>
      <c r="BH85" s="490">
        <v>832</v>
      </c>
      <c r="BI85" s="490">
        <v>837</v>
      </c>
      <c r="BJ85" s="490">
        <v>805</v>
      </c>
      <c r="BK85" s="490">
        <v>927</v>
      </c>
      <c r="BL85" s="490">
        <v>758</v>
      </c>
      <c r="BM85" s="490">
        <v>618</v>
      </c>
      <c r="BN85" s="490">
        <v>1009</v>
      </c>
      <c r="BO85" s="490">
        <v>884</v>
      </c>
      <c r="BP85" s="491">
        <v>1182</v>
      </c>
      <c r="BQ85" s="492">
        <v>876</v>
      </c>
      <c r="BR85" s="490">
        <v>813</v>
      </c>
      <c r="BS85" s="490">
        <v>998</v>
      </c>
      <c r="BT85" s="490">
        <v>990</v>
      </c>
      <c r="BU85" s="490">
        <v>871</v>
      </c>
      <c r="BV85" s="490">
        <v>1051</v>
      </c>
      <c r="BW85" s="490">
        <v>888</v>
      </c>
      <c r="BX85" s="490">
        <v>948</v>
      </c>
      <c r="BY85" s="490">
        <v>856</v>
      </c>
      <c r="BZ85" s="490">
        <v>1031</v>
      </c>
      <c r="CA85" s="490">
        <v>817</v>
      </c>
      <c r="CB85" s="493">
        <v>1145</v>
      </c>
      <c r="CC85" s="490">
        <v>806</v>
      </c>
      <c r="CD85" s="490">
        <v>1297</v>
      </c>
      <c r="CE85" s="490">
        <v>1066</v>
      </c>
      <c r="CF85" s="490">
        <v>936</v>
      </c>
      <c r="CG85" s="490">
        <v>832</v>
      </c>
      <c r="CH85" s="490">
        <v>700</v>
      </c>
      <c r="CI85" s="490">
        <v>1280</v>
      </c>
      <c r="CJ85" s="490">
        <v>1083</v>
      </c>
      <c r="CK85" s="490">
        <v>1118</v>
      </c>
      <c r="CL85" s="490">
        <v>1507</v>
      </c>
      <c r="CM85" s="490">
        <v>3752</v>
      </c>
      <c r="CN85" s="490">
        <v>4048</v>
      </c>
      <c r="CO85" s="490">
        <v>2475</v>
      </c>
      <c r="CP85" s="490">
        <v>2310</v>
      </c>
      <c r="CQ85" s="490">
        <v>2169</v>
      </c>
      <c r="CR85" s="490">
        <v>2206</v>
      </c>
      <c r="CS85" s="490">
        <v>1902</v>
      </c>
      <c r="CT85" s="490">
        <v>1840</v>
      </c>
      <c r="CU85" s="490">
        <v>1631</v>
      </c>
      <c r="CV85" s="490">
        <v>2412</v>
      </c>
      <c r="CW85" s="490">
        <v>1749</v>
      </c>
      <c r="CX85" s="490">
        <v>1637</v>
      </c>
      <c r="CY85" s="490">
        <v>2026</v>
      </c>
      <c r="CZ85" s="490">
        <v>4105</v>
      </c>
      <c r="DA85" s="490">
        <v>2247</v>
      </c>
      <c r="DB85" s="490">
        <v>1881</v>
      </c>
      <c r="DC85" s="490">
        <v>1755</v>
      </c>
      <c r="DD85" s="490">
        <v>1727</v>
      </c>
      <c r="DE85" s="490">
        <v>2370</v>
      </c>
      <c r="DF85" s="490">
        <v>1860</v>
      </c>
      <c r="DG85" s="490">
        <v>1797</v>
      </c>
      <c r="DH85" s="490">
        <v>1894</v>
      </c>
      <c r="DI85" s="490">
        <v>1938</v>
      </c>
      <c r="DJ85" s="490">
        <v>1843</v>
      </c>
      <c r="DK85" s="490">
        <v>1801</v>
      </c>
      <c r="DL85" s="490">
        <v>1719</v>
      </c>
      <c r="DM85" s="490">
        <v>1656</v>
      </c>
      <c r="DN85" s="490">
        <v>1640</v>
      </c>
      <c r="DO85" s="490">
        <v>1680</v>
      </c>
      <c r="DP85" s="490">
        <v>1701</v>
      </c>
      <c r="DQ85" s="490">
        <v>1667</v>
      </c>
      <c r="DR85" s="490">
        <v>1689</v>
      </c>
      <c r="DS85" s="490">
        <v>1831</v>
      </c>
      <c r="DT85" s="490">
        <v>1859</v>
      </c>
      <c r="DU85" s="490">
        <v>1833</v>
      </c>
      <c r="DV85" s="490">
        <v>1790</v>
      </c>
      <c r="DW85" s="490">
        <v>1877</v>
      </c>
      <c r="DX85" s="490">
        <v>1884</v>
      </c>
      <c r="DY85" s="490">
        <v>1780</v>
      </c>
      <c r="DZ85" s="490">
        <v>1730</v>
      </c>
      <c r="EA85" s="490">
        <v>1831</v>
      </c>
      <c r="EB85" s="490">
        <v>1737</v>
      </c>
      <c r="EC85" s="490">
        <v>1651</v>
      </c>
      <c r="ED85" s="490">
        <v>1658</v>
      </c>
      <c r="EE85" s="490">
        <v>1743</v>
      </c>
      <c r="EF85" s="490">
        <v>1759</v>
      </c>
      <c r="EG85" s="490">
        <v>1766</v>
      </c>
      <c r="EH85" s="490"/>
      <c r="EI85" s="490"/>
      <c r="EJ85" s="490"/>
    </row>
    <row r="86" spans="1:140" s="309" customFormat="1" ht="22.5" customHeight="1" thickBot="1">
      <c r="A86" s="912"/>
      <c r="B86" s="888"/>
      <c r="C86" s="615" t="s">
        <v>57</v>
      </c>
      <c r="D86" s="616" t="s">
        <v>48</v>
      </c>
      <c r="E86" s="755"/>
      <c r="F86" s="615"/>
      <c r="G86" s="615"/>
      <c r="H86" s="616"/>
      <c r="I86" s="494">
        <v>960355</v>
      </c>
      <c r="J86" s="494">
        <v>717558</v>
      </c>
      <c r="K86" s="494">
        <v>662454</v>
      </c>
      <c r="L86" s="494">
        <v>713625.00000000093</v>
      </c>
      <c r="M86" s="494">
        <f t="shared" ref="M86:BX86" si="66">+M82+M84-L82</f>
        <v>676253.5</v>
      </c>
      <c r="N86" s="494">
        <f t="shared" si="66"/>
        <v>855784</v>
      </c>
      <c r="O86" s="494">
        <f t="shared" si="66"/>
        <v>1022692</v>
      </c>
      <c r="P86" s="494">
        <f t="shared" si="66"/>
        <v>1344050.1600000001</v>
      </c>
      <c r="Q86" s="494">
        <f t="shared" si="66"/>
        <v>1181460.4500000002</v>
      </c>
      <c r="R86" s="494">
        <f t="shared" si="66"/>
        <v>1173706.5</v>
      </c>
      <c r="S86" s="494">
        <f t="shared" si="66"/>
        <v>1374278.7999999998</v>
      </c>
      <c r="T86" s="495">
        <f t="shared" si="66"/>
        <v>1234639.8000000007</v>
      </c>
      <c r="U86" s="496">
        <f t="shared" si="66"/>
        <v>1342783.1999999993</v>
      </c>
      <c r="V86" s="494">
        <f t="shared" si="66"/>
        <v>1454570.8000000007</v>
      </c>
      <c r="W86" s="404">
        <f t="shared" si="66"/>
        <v>1569629</v>
      </c>
      <c r="X86" s="404">
        <f t="shared" si="66"/>
        <v>1379855.5</v>
      </c>
      <c r="Y86" s="404">
        <f t="shared" si="66"/>
        <v>1494377.25</v>
      </c>
      <c r="Z86" s="404">
        <f t="shared" si="66"/>
        <v>1307011.75</v>
      </c>
      <c r="AA86" s="404">
        <f t="shared" si="66"/>
        <v>1868677.5</v>
      </c>
      <c r="AB86" s="404">
        <f t="shared" si="66"/>
        <v>2145846.3000000007</v>
      </c>
      <c r="AC86" s="404">
        <f t="shared" si="66"/>
        <v>1925027.5000000009</v>
      </c>
      <c r="AD86" s="404">
        <f t="shared" si="66"/>
        <v>1961324.4000000004</v>
      </c>
      <c r="AE86" s="404">
        <f t="shared" si="66"/>
        <v>2159317</v>
      </c>
      <c r="AF86" s="404">
        <f t="shared" si="66"/>
        <v>1423655</v>
      </c>
      <c r="AG86" s="404">
        <f t="shared" si="66"/>
        <v>1560397</v>
      </c>
      <c r="AH86" s="404">
        <f t="shared" si="66"/>
        <v>1541078.8000000007</v>
      </c>
      <c r="AI86" s="404">
        <f t="shared" si="66"/>
        <v>1777277.5000000009</v>
      </c>
      <c r="AJ86" s="404">
        <f t="shared" si="66"/>
        <v>2215366.2999999998</v>
      </c>
      <c r="AK86" s="404">
        <f t="shared" si="66"/>
        <v>2171449.2700000014</v>
      </c>
      <c r="AL86" s="404">
        <f t="shared" si="66"/>
        <v>1489176.9000000004</v>
      </c>
      <c r="AM86" s="404">
        <f t="shared" si="66"/>
        <v>2100915.3000000007</v>
      </c>
      <c r="AN86" s="404">
        <f t="shared" si="66"/>
        <v>2268067.0699999984</v>
      </c>
      <c r="AO86" s="404">
        <f t="shared" si="66"/>
        <v>2097119.870000001</v>
      </c>
      <c r="AP86" s="404">
        <f t="shared" si="66"/>
        <v>1998181.8899999987</v>
      </c>
      <c r="AQ86" s="404">
        <f t="shared" si="66"/>
        <v>2400288</v>
      </c>
      <c r="AR86" s="404">
        <f t="shared" si="66"/>
        <v>1808883.4499999993</v>
      </c>
      <c r="AS86" s="404">
        <f t="shared" si="66"/>
        <v>1995416.2599999998</v>
      </c>
      <c r="AT86" s="404">
        <f t="shared" si="66"/>
        <v>2043015.290000001</v>
      </c>
      <c r="AU86" s="404">
        <f t="shared" si="66"/>
        <v>2460013.6099999994</v>
      </c>
      <c r="AV86" s="404">
        <f t="shared" si="66"/>
        <v>2249677.2699999996</v>
      </c>
      <c r="AW86" s="404">
        <f t="shared" si="66"/>
        <v>1800334.2899999991</v>
      </c>
      <c r="AX86" s="404">
        <f t="shared" si="66"/>
        <v>1965894.870000001</v>
      </c>
      <c r="AY86" s="404">
        <f t="shared" si="66"/>
        <v>2601693.7400000002</v>
      </c>
      <c r="AZ86" s="404">
        <f t="shared" si="66"/>
        <v>2035822.1399999987</v>
      </c>
      <c r="BA86" s="404">
        <f t="shared" si="66"/>
        <v>2565329.6000000015</v>
      </c>
      <c r="BB86" s="404">
        <f t="shared" si="66"/>
        <v>1811168.379999999</v>
      </c>
      <c r="BC86" s="404">
        <f t="shared" si="66"/>
        <v>2397293.8100000005</v>
      </c>
      <c r="BD86" s="404">
        <f t="shared" si="66"/>
        <v>1963844.4000000004</v>
      </c>
      <c r="BE86" s="404">
        <f t="shared" si="66"/>
        <v>2249882.4299999997</v>
      </c>
      <c r="BF86" s="404">
        <f t="shared" si="66"/>
        <v>2278116.6899999995</v>
      </c>
      <c r="BG86" s="404">
        <f t="shared" si="66"/>
        <v>2349404.17</v>
      </c>
      <c r="BH86" s="404">
        <f t="shared" si="66"/>
        <v>2170626.75</v>
      </c>
      <c r="BI86" s="404">
        <f t="shared" si="66"/>
        <v>3049791.5</v>
      </c>
      <c r="BJ86" s="404">
        <f t="shared" si="66"/>
        <v>2812002.7799999993</v>
      </c>
      <c r="BK86" s="404">
        <f t="shared" si="66"/>
        <v>3621973.6000000015</v>
      </c>
      <c r="BL86" s="404">
        <f t="shared" si="66"/>
        <v>2856505.0099999979</v>
      </c>
      <c r="BM86" s="404">
        <f t="shared" si="66"/>
        <v>4165518.0499999989</v>
      </c>
      <c r="BN86" s="404">
        <f t="shared" si="66"/>
        <v>3318680.0399999991</v>
      </c>
      <c r="BO86" s="404">
        <f t="shared" si="66"/>
        <v>3412070.5200000033</v>
      </c>
      <c r="BP86" s="497">
        <f t="shared" si="66"/>
        <v>3387996.2100000009</v>
      </c>
      <c r="BQ86" s="496">
        <f t="shared" si="66"/>
        <v>2954217.4099999964</v>
      </c>
      <c r="BR86" s="404">
        <f t="shared" si="66"/>
        <v>2886366.8000000045</v>
      </c>
      <c r="BS86" s="404">
        <f t="shared" si="66"/>
        <v>3532288.8499999978</v>
      </c>
      <c r="BT86" s="404">
        <f t="shared" si="66"/>
        <v>4922764.8599999994</v>
      </c>
      <c r="BU86" s="404">
        <f t="shared" si="66"/>
        <v>4794008.0199999996</v>
      </c>
      <c r="BV86" s="404">
        <f t="shared" si="66"/>
        <v>5074502.6600000039</v>
      </c>
      <c r="BW86" s="404">
        <f t="shared" si="66"/>
        <v>6025912.379999999</v>
      </c>
      <c r="BX86" s="404">
        <f t="shared" si="66"/>
        <v>5963080.1499999985</v>
      </c>
      <c r="BY86" s="404">
        <f t="shared" ref="BY86:EJ86" si="67">+BY82+BY84-BX82</f>
        <v>6350456.1399999969</v>
      </c>
      <c r="BZ86" s="404">
        <f t="shared" si="67"/>
        <v>7333525.9699999951</v>
      </c>
      <c r="CA86" s="404">
        <f t="shared" si="67"/>
        <v>6666647.1000000015</v>
      </c>
      <c r="CB86" s="498">
        <f t="shared" si="67"/>
        <v>5525444.3300000057</v>
      </c>
      <c r="CC86" s="404">
        <f t="shared" si="67"/>
        <v>5556619.1899999976</v>
      </c>
      <c r="CD86" s="404">
        <f t="shared" si="67"/>
        <v>6887322.8599999994</v>
      </c>
      <c r="CE86" s="404">
        <f t="shared" si="67"/>
        <v>8302141.2700000033</v>
      </c>
      <c r="CF86" s="404">
        <f t="shared" si="67"/>
        <v>9582370.5600000024</v>
      </c>
      <c r="CG86" s="404">
        <f t="shared" si="67"/>
        <v>10619824.449999996</v>
      </c>
      <c r="CH86" s="404">
        <f t="shared" si="67"/>
        <v>10671322.600000001</v>
      </c>
      <c r="CI86" s="404">
        <f t="shared" si="67"/>
        <v>11515596.43</v>
      </c>
      <c r="CJ86" s="404">
        <f t="shared" si="67"/>
        <v>10190802.960000008</v>
      </c>
      <c r="CK86" s="404">
        <f t="shared" si="67"/>
        <v>10618837.329999983</v>
      </c>
      <c r="CL86" s="404">
        <f t="shared" si="67"/>
        <v>8957416.3799999952</v>
      </c>
      <c r="CM86" s="404">
        <f t="shared" si="67"/>
        <v>8741205.1899999827</v>
      </c>
      <c r="CN86" s="404">
        <f t="shared" si="67"/>
        <v>7856025.2700000256</v>
      </c>
      <c r="CO86" s="404">
        <f t="shared" si="67"/>
        <v>7464625.7300000042</v>
      </c>
      <c r="CP86" s="404">
        <f t="shared" si="67"/>
        <v>11865907.450000003</v>
      </c>
      <c r="CQ86" s="404">
        <f t="shared" si="67"/>
        <v>11685972.900000021</v>
      </c>
      <c r="CR86" s="404">
        <f t="shared" si="67"/>
        <v>11700920.279999986</v>
      </c>
      <c r="CS86" s="404">
        <f t="shared" si="67"/>
        <v>11876022.519999981</v>
      </c>
      <c r="CT86" s="404">
        <f t="shared" si="67"/>
        <v>11106151.520000011</v>
      </c>
      <c r="CU86" s="404">
        <f t="shared" si="67"/>
        <v>13638732.199999988</v>
      </c>
      <c r="CV86" s="404">
        <f t="shared" si="67"/>
        <v>10076195.439999953</v>
      </c>
      <c r="CW86" s="404">
        <f t="shared" si="67"/>
        <v>10837354.200000003</v>
      </c>
      <c r="CX86" s="404">
        <f t="shared" si="67"/>
        <v>13027393.849999979</v>
      </c>
      <c r="CY86" s="404">
        <f t="shared" si="67"/>
        <v>23787588.679999992</v>
      </c>
      <c r="CZ86" s="404">
        <f t="shared" si="67"/>
        <v>-1503898.6899999976</v>
      </c>
      <c r="DA86" s="404">
        <f t="shared" si="67"/>
        <v>8694370.4999999404</v>
      </c>
      <c r="DB86" s="404">
        <f t="shared" si="67"/>
        <v>13665640.069999963</v>
      </c>
      <c r="DC86" s="404">
        <f t="shared" si="67"/>
        <v>9551486.619999975</v>
      </c>
      <c r="DD86" s="404">
        <f t="shared" si="67"/>
        <v>14445876.089999974</v>
      </c>
      <c r="DE86" s="404">
        <f t="shared" si="67"/>
        <v>16516889.329999968</v>
      </c>
      <c r="DF86" s="404">
        <f t="shared" si="67"/>
        <v>11368357.139999986</v>
      </c>
      <c r="DG86" s="404">
        <f t="shared" si="67"/>
        <v>14622138.190000013</v>
      </c>
      <c r="DH86" s="404">
        <f t="shared" si="67"/>
        <v>6522203.4699999541</v>
      </c>
      <c r="DI86" s="404">
        <f t="shared" si="67"/>
        <v>14329195.629999965</v>
      </c>
      <c r="DJ86" s="404">
        <f t="shared" si="67"/>
        <v>12050969.829999968</v>
      </c>
      <c r="DK86" s="404">
        <f t="shared" si="67"/>
        <v>7726049.5899999589</v>
      </c>
      <c r="DL86" s="404">
        <f t="shared" si="67"/>
        <v>12404590.579999998</v>
      </c>
      <c r="DM86" s="404">
        <f t="shared" si="67"/>
        <v>11940202.73999998</v>
      </c>
      <c r="DN86" s="404">
        <f t="shared" si="67"/>
        <v>12400958.049999982</v>
      </c>
      <c r="DO86" s="404">
        <f t="shared" si="67"/>
        <v>18242316.769999981</v>
      </c>
      <c r="DP86" s="404">
        <f t="shared" si="67"/>
        <v>10133131.890000001</v>
      </c>
      <c r="DQ86" s="404">
        <f t="shared" si="67"/>
        <v>17650142.589999974</v>
      </c>
      <c r="DR86" s="404">
        <f t="shared" si="67"/>
        <v>10683115.359999999</v>
      </c>
      <c r="DS86" s="404">
        <f t="shared" si="67"/>
        <v>14365661.059999973</v>
      </c>
      <c r="DT86" s="404">
        <f t="shared" si="67"/>
        <v>10625904.209999993</v>
      </c>
      <c r="DU86" s="404">
        <f t="shared" si="67"/>
        <v>14467788.25</v>
      </c>
      <c r="DV86" s="404">
        <f t="shared" si="67"/>
        <v>13073311.430000007</v>
      </c>
      <c r="DW86" s="404">
        <f t="shared" si="67"/>
        <v>13358990.219999999</v>
      </c>
      <c r="DX86" s="404">
        <f t="shared" si="67"/>
        <v>8319160.1400000006</v>
      </c>
      <c r="DY86" s="404">
        <f t="shared" si="67"/>
        <v>6602420.6200000197</v>
      </c>
      <c r="DZ86" s="404">
        <f t="shared" si="67"/>
        <v>14137086.929999962</v>
      </c>
      <c r="EA86" s="404">
        <f t="shared" si="67"/>
        <v>16429484.13000001</v>
      </c>
      <c r="EB86" s="404">
        <f t="shared" si="67"/>
        <v>14888948.299999967</v>
      </c>
      <c r="EC86" s="404">
        <f t="shared" si="67"/>
        <v>10664700.87000002</v>
      </c>
      <c r="ED86" s="404">
        <f t="shared" si="67"/>
        <v>9916443.2100000083</v>
      </c>
      <c r="EE86" s="404">
        <f t="shared" si="67"/>
        <v>15488398.159999952</v>
      </c>
      <c r="EF86" s="404">
        <f t="shared" si="67"/>
        <v>11122162.130000025</v>
      </c>
      <c r="EG86" s="404">
        <f t="shared" si="67"/>
        <v>19834899.139999986</v>
      </c>
      <c r="EH86" s="404">
        <f t="shared" si="67"/>
        <v>-94231150.530000001</v>
      </c>
      <c r="EI86" s="404">
        <f t="shared" si="67"/>
        <v>0</v>
      </c>
      <c r="EJ86" s="404">
        <f t="shared" si="67"/>
        <v>0</v>
      </c>
    </row>
    <row r="87" spans="1:140" s="299" customFormat="1" ht="22.5" hidden="1" customHeight="1" thickTop="1">
      <c r="A87" s="912"/>
      <c r="B87" s="886" t="s">
        <v>13</v>
      </c>
      <c r="C87" s="889" t="s">
        <v>47</v>
      </c>
      <c r="D87" s="623" t="s">
        <v>48</v>
      </c>
      <c r="E87" s="696"/>
      <c r="F87" s="697"/>
      <c r="G87" s="697"/>
      <c r="H87" s="698"/>
      <c r="I87" s="699"/>
      <c r="J87" s="697"/>
      <c r="K87" s="405"/>
      <c r="L87" s="325">
        <v>18649</v>
      </c>
      <c r="M87" s="325">
        <v>17290.5</v>
      </c>
      <c r="N87" s="325">
        <v>103666</v>
      </c>
      <c r="O87" s="325">
        <v>76040.41</v>
      </c>
      <c r="P87" s="325">
        <v>63254.9</v>
      </c>
      <c r="Q87" s="325">
        <v>25524.5</v>
      </c>
      <c r="R87" s="325">
        <v>52458</v>
      </c>
      <c r="S87" s="325">
        <v>57197.14</v>
      </c>
      <c r="T87" s="326">
        <f>66643.15+AB87</f>
        <v>66643.149999999994</v>
      </c>
      <c r="U87" s="476">
        <v>15075.06</v>
      </c>
      <c r="V87" s="500">
        <v>131448.06</v>
      </c>
      <c r="W87" s="500">
        <v>95650.9</v>
      </c>
      <c r="X87" s="500"/>
      <c r="Y87" s="500"/>
      <c r="Z87" s="500"/>
      <c r="AA87" s="500"/>
      <c r="AB87" s="500"/>
      <c r="AC87" s="500"/>
      <c r="AD87" s="500"/>
      <c r="AE87" s="500"/>
      <c r="AF87" s="500"/>
      <c r="AG87" s="500"/>
      <c r="AH87" s="500"/>
      <c r="AI87" s="500"/>
      <c r="AJ87" s="500"/>
      <c r="AK87" s="500"/>
      <c r="AL87" s="500"/>
      <c r="AM87" s="500"/>
      <c r="AN87" s="500"/>
      <c r="AO87" s="500"/>
      <c r="AP87" s="500"/>
      <c r="AQ87" s="500"/>
      <c r="AR87" s="500"/>
      <c r="AS87" s="500"/>
      <c r="AT87" s="500"/>
      <c r="AU87" s="500"/>
      <c r="AV87" s="500"/>
      <c r="AW87" s="500"/>
      <c r="AX87" s="500"/>
      <c r="AY87" s="500"/>
      <c r="AZ87" s="500"/>
      <c r="BA87" s="500"/>
      <c r="BB87" s="500"/>
      <c r="BC87" s="500"/>
      <c r="BD87" s="500"/>
      <c r="BE87" s="500"/>
      <c r="BF87" s="500"/>
      <c r="BG87" s="500"/>
      <c r="BH87" s="500"/>
      <c r="BI87" s="500"/>
      <c r="BJ87" s="500"/>
      <c r="BK87" s="500"/>
      <c r="BL87" s="500"/>
      <c r="BM87" s="500"/>
      <c r="BN87" s="500"/>
      <c r="BO87" s="500"/>
      <c r="BP87" s="516"/>
      <c r="BQ87" s="406"/>
      <c r="BR87" s="500"/>
      <c r="BS87" s="500"/>
      <c r="BT87" s="500"/>
      <c r="BU87" s="500"/>
      <c r="BV87" s="500"/>
      <c r="BW87" s="500"/>
      <c r="BX87" s="500"/>
      <c r="BY87" s="500"/>
      <c r="BZ87" s="500"/>
      <c r="CA87" s="500"/>
      <c r="CB87" s="517"/>
      <c r="CC87" s="407"/>
      <c r="CD87" s="500"/>
      <c r="CE87" s="500"/>
      <c r="CF87" s="500"/>
      <c r="CG87" s="500"/>
      <c r="CH87" s="500"/>
      <c r="CI87" s="500"/>
      <c r="CJ87" s="500"/>
      <c r="CK87" s="500"/>
      <c r="CL87" s="500"/>
      <c r="CM87" s="500"/>
      <c r="CN87" s="500"/>
      <c r="CO87" s="500"/>
      <c r="CP87" s="500"/>
      <c r="CQ87" s="500"/>
      <c r="CR87" s="500"/>
      <c r="CS87" s="500"/>
      <c r="CT87" s="500"/>
      <c r="CU87" s="500"/>
      <c r="CV87" s="500"/>
      <c r="CW87" s="500"/>
      <c r="CX87" s="500"/>
      <c r="CY87" s="500"/>
      <c r="CZ87" s="500"/>
      <c r="DA87" s="500"/>
      <c r="DB87" s="500"/>
      <c r="DC87" s="500"/>
      <c r="DD87" s="500"/>
      <c r="DE87" s="500"/>
      <c r="DF87" s="500"/>
      <c r="DG87" s="500"/>
      <c r="DH87" s="500"/>
      <c r="DI87" s="500"/>
      <c r="DJ87" s="500"/>
      <c r="DK87" s="500"/>
      <c r="DL87" s="500"/>
      <c r="DM87" s="500"/>
      <c r="DN87" s="500"/>
      <c r="DO87" s="500"/>
      <c r="DP87" s="500"/>
      <c r="DQ87" s="500"/>
      <c r="DR87" s="500"/>
      <c r="DS87" s="500"/>
      <c r="DT87" s="500"/>
      <c r="DU87" s="500"/>
      <c r="DV87" s="500"/>
      <c r="DW87" s="500"/>
      <c r="DX87" s="500"/>
      <c r="DY87" s="500"/>
      <c r="DZ87" s="500"/>
      <c r="EA87" s="500"/>
      <c r="EB87" s="500"/>
      <c r="EC87" s="500"/>
      <c r="ED87" s="500"/>
      <c r="EE87" s="500"/>
      <c r="EF87" s="500"/>
      <c r="EG87" s="500"/>
      <c r="EH87" s="500"/>
      <c r="EI87" s="500"/>
      <c r="EJ87" s="500"/>
    </row>
    <row r="88" spans="1:140" s="299" customFormat="1" ht="22.5" hidden="1" customHeight="1">
      <c r="A88" s="912"/>
      <c r="B88" s="887"/>
      <c r="C88" s="890"/>
      <c r="D88" s="640" t="s">
        <v>49</v>
      </c>
      <c r="E88" s="700"/>
      <c r="F88" s="701"/>
      <c r="G88" s="701"/>
      <c r="H88" s="702"/>
      <c r="I88" s="703"/>
      <c r="J88" s="701"/>
      <c r="K88" s="410"/>
      <c r="L88" s="344">
        <v>8</v>
      </c>
      <c r="M88" s="344">
        <v>10</v>
      </c>
      <c r="N88" s="344">
        <v>49</v>
      </c>
      <c r="O88" s="344">
        <v>34</v>
      </c>
      <c r="P88" s="344">
        <v>32</v>
      </c>
      <c r="Q88" s="344">
        <v>16</v>
      </c>
      <c r="R88" s="344">
        <v>24</v>
      </c>
      <c r="S88" s="344">
        <v>31</v>
      </c>
      <c r="T88" s="345">
        <f>24+AB88</f>
        <v>24</v>
      </c>
      <c r="U88" s="390">
        <v>4</v>
      </c>
      <c r="V88" s="343">
        <v>65</v>
      </c>
      <c r="W88" s="343">
        <v>40</v>
      </c>
      <c r="X88" s="343"/>
      <c r="Y88" s="343"/>
      <c r="Z88" s="343"/>
      <c r="AA88" s="343"/>
      <c r="AB88" s="343"/>
      <c r="AC88" s="343"/>
      <c r="AD88" s="343"/>
      <c r="AE88" s="343"/>
      <c r="AF88" s="343"/>
      <c r="AG88" s="343"/>
      <c r="AH88" s="343"/>
      <c r="AI88" s="343"/>
      <c r="AJ88" s="343"/>
      <c r="AK88" s="343"/>
      <c r="AL88" s="343"/>
      <c r="AM88" s="343"/>
      <c r="AN88" s="343"/>
      <c r="AO88" s="343"/>
      <c r="AP88" s="343"/>
      <c r="AQ88" s="343"/>
      <c r="AR88" s="343"/>
      <c r="AS88" s="343"/>
      <c r="AT88" s="343"/>
      <c r="AU88" s="343"/>
      <c r="AV88" s="343"/>
      <c r="AW88" s="343"/>
      <c r="AX88" s="343"/>
      <c r="AY88" s="343"/>
      <c r="AZ88" s="343"/>
      <c r="BA88" s="343"/>
      <c r="BB88" s="343"/>
      <c r="BC88" s="343"/>
      <c r="BD88" s="343"/>
      <c r="BE88" s="343"/>
      <c r="BF88" s="343"/>
      <c r="BG88" s="343"/>
      <c r="BH88" s="343"/>
      <c r="BI88" s="343"/>
      <c r="BJ88" s="343"/>
      <c r="BK88" s="343"/>
      <c r="BL88" s="343"/>
      <c r="BM88" s="343"/>
      <c r="BN88" s="343"/>
      <c r="BO88" s="343"/>
      <c r="BP88" s="518"/>
      <c r="BQ88" s="390"/>
      <c r="BR88" s="343"/>
      <c r="BS88" s="343"/>
      <c r="BT88" s="343"/>
      <c r="BU88" s="343"/>
      <c r="BV88" s="343"/>
      <c r="BW88" s="343"/>
      <c r="BX88" s="343"/>
      <c r="BY88" s="343"/>
      <c r="BZ88" s="343"/>
      <c r="CA88" s="343"/>
      <c r="CB88" s="519"/>
      <c r="CC88" s="388"/>
      <c r="CD88" s="343"/>
      <c r="CE88" s="343"/>
      <c r="CF88" s="343"/>
      <c r="CG88" s="343"/>
      <c r="CH88" s="343"/>
      <c r="CI88" s="343"/>
      <c r="CJ88" s="343"/>
      <c r="CK88" s="343"/>
      <c r="CL88" s="343"/>
      <c r="CM88" s="343"/>
      <c r="CN88" s="343"/>
      <c r="CO88" s="343"/>
      <c r="CP88" s="343"/>
      <c r="CQ88" s="343"/>
      <c r="CR88" s="343"/>
      <c r="CS88" s="343"/>
      <c r="CT88" s="343"/>
      <c r="CU88" s="343"/>
      <c r="CV88" s="343"/>
      <c r="CW88" s="343"/>
      <c r="CX88" s="343"/>
      <c r="CY88" s="343"/>
      <c r="CZ88" s="343"/>
      <c r="DA88" s="343"/>
      <c r="DB88" s="343"/>
      <c r="DC88" s="343"/>
      <c r="DD88" s="343"/>
      <c r="DE88" s="343"/>
      <c r="DF88" s="343"/>
      <c r="DG88" s="343"/>
      <c r="DH88" s="343"/>
      <c r="DI88" s="343"/>
      <c r="DJ88" s="343"/>
      <c r="DK88" s="343"/>
      <c r="DL88" s="343"/>
      <c r="DM88" s="343"/>
      <c r="DN88" s="343"/>
      <c r="DO88" s="343"/>
      <c r="DP88" s="343"/>
      <c r="DQ88" s="343"/>
      <c r="DR88" s="343"/>
      <c r="DS88" s="343"/>
      <c r="DT88" s="343"/>
      <c r="DU88" s="343"/>
      <c r="DV88" s="343"/>
      <c r="DW88" s="343"/>
      <c r="DX88" s="343"/>
      <c r="DY88" s="343"/>
      <c r="DZ88" s="343"/>
      <c r="EA88" s="343"/>
      <c r="EB88" s="343"/>
      <c r="EC88" s="343"/>
      <c r="ED88" s="343"/>
      <c r="EE88" s="343"/>
      <c r="EF88" s="343"/>
      <c r="EG88" s="343"/>
      <c r="EH88" s="343"/>
      <c r="EI88" s="343"/>
      <c r="EJ88" s="343"/>
    </row>
    <row r="89" spans="1:140" s="299" customFormat="1" ht="22.5" hidden="1" customHeight="1">
      <c r="A89" s="912"/>
      <c r="B89" s="887"/>
      <c r="C89" s="891" t="s">
        <v>50</v>
      </c>
      <c r="D89" s="704" t="s">
        <v>48</v>
      </c>
      <c r="E89" s="705"/>
      <c r="F89" s="706"/>
      <c r="G89" s="706"/>
      <c r="H89" s="707"/>
      <c r="I89" s="708"/>
      <c r="J89" s="706"/>
      <c r="K89" s="411"/>
      <c r="L89" s="412">
        <v>0</v>
      </c>
      <c r="M89" s="412">
        <v>0</v>
      </c>
      <c r="N89" s="412">
        <v>0</v>
      </c>
      <c r="O89" s="383">
        <v>1746</v>
      </c>
      <c r="P89" s="383">
        <v>17073</v>
      </c>
      <c r="Q89" s="383">
        <v>6621</v>
      </c>
      <c r="R89" s="412">
        <v>0</v>
      </c>
      <c r="S89" s="412">
        <v>0</v>
      </c>
      <c r="T89" s="503">
        <v>4692.41</v>
      </c>
      <c r="U89" s="501">
        <v>11106</v>
      </c>
      <c r="V89" s="502">
        <v>1475</v>
      </c>
      <c r="W89" s="502">
        <v>6806</v>
      </c>
      <c r="X89" s="502"/>
      <c r="Y89" s="502"/>
      <c r="Z89" s="502"/>
      <c r="AA89" s="502"/>
      <c r="AB89" s="502"/>
      <c r="AC89" s="502"/>
      <c r="AD89" s="502"/>
      <c r="AE89" s="502"/>
      <c r="AF89" s="502"/>
      <c r="AG89" s="502"/>
      <c r="AH89" s="502"/>
      <c r="AI89" s="502"/>
      <c r="AJ89" s="502"/>
      <c r="AK89" s="502"/>
      <c r="AL89" s="502"/>
      <c r="AM89" s="502"/>
      <c r="AN89" s="502"/>
      <c r="AO89" s="502"/>
      <c r="AP89" s="502"/>
      <c r="AQ89" s="502"/>
      <c r="AR89" s="502"/>
      <c r="AS89" s="502"/>
      <c r="AT89" s="502"/>
      <c r="AU89" s="502"/>
      <c r="AV89" s="502"/>
      <c r="AW89" s="502"/>
      <c r="AX89" s="502"/>
      <c r="AY89" s="502"/>
      <c r="AZ89" s="502"/>
      <c r="BA89" s="502"/>
      <c r="BB89" s="502"/>
      <c r="BC89" s="502"/>
      <c r="BD89" s="502"/>
      <c r="BE89" s="502"/>
      <c r="BF89" s="502"/>
      <c r="BG89" s="502"/>
      <c r="BH89" s="502"/>
      <c r="BI89" s="502"/>
      <c r="BJ89" s="502"/>
      <c r="BK89" s="502"/>
      <c r="BL89" s="502"/>
      <c r="BM89" s="502"/>
      <c r="BN89" s="502"/>
      <c r="BO89" s="502"/>
      <c r="BP89" s="520"/>
      <c r="BQ89" s="481"/>
      <c r="BR89" s="502"/>
      <c r="BS89" s="502"/>
      <c r="BT89" s="502"/>
      <c r="BU89" s="502"/>
      <c r="BV89" s="502"/>
      <c r="BW89" s="502"/>
      <c r="BX89" s="502"/>
      <c r="BY89" s="502"/>
      <c r="BZ89" s="502"/>
      <c r="CA89" s="502"/>
      <c r="CB89" s="521"/>
      <c r="CC89" s="482"/>
      <c r="CD89" s="502"/>
      <c r="CE89" s="502"/>
      <c r="CF89" s="502"/>
      <c r="CG89" s="502"/>
      <c r="CH89" s="502"/>
      <c r="CI89" s="502"/>
      <c r="CJ89" s="502"/>
      <c r="CK89" s="502"/>
      <c r="CL89" s="502"/>
      <c r="CM89" s="502"/>
      <c r="CN89" s="502"/>
      <c r="CO89" s="502"/>
      <c r="CP89" s="502"/>
      <c r="CQ89" s="502"/>
      <c r="CR89" s="502"/>
      <c r="CS89" s="502"/>
      <c r="CT89" s="502"/>
      <c r="CU89" s="502"/>
      <c r="CV89" s="502"/>
      <c r="CW89" s="502"/>
      <c r="CX89" s="502"/>
      <c r="CY89" s="502"/>
      <c r="CZ89" s="502"/>
      <c r="DA89" s="502"/>
      <c r="DB89" s="502"/>
      <c r="DC89" s="502"/>
      <c r="DD89" s="502"/>
      <c r="DE89" s="502"/>
      <c r="DF89" s="502"/>
      <c r="DG89" s="502"/>
      <c r="DH89" s="502"/>
      <c r="DI89" s="502"/>
      <c r="DJ89" s="502"/>
      <c r="DK89" s="502"/>
      <c r="DL89" s="502"/>
      <c r="DM89" s="502"/>
      <c r="DN89" s="502"/>
      <c r="DO89" s="502"/>
      <c r="DP89" s="502"/>
      <c r="DQ89" s="502"/>
      <c r="DR89" s="502"/>
      <c r="DS89" s="502"/>
      <c r="DT89" s="502"/>
      <c r="DU89" s="502"/>
      <c r="DV89" s="502"/>
      <c r="DW89" s="502"/>
      <c r="DX89" s="502"/>
      <c r="DY89" s="502"/>
      <c r="DZ89" s="502"/>
      <c r="EA89" s="502"/>
      <c r="EB89" s="502"/>
      <c r="EC89" s="502"/>
      <c r="ED89" s="502"/>
      <c r="EE89" s="502"/>
      <c r="EF89" s="502"/>
      <c r="EG89" s="502"/>
      <c r="EH89" s="502"/>
      <c r="EI89" s="502"/>
      <c r="EJ89" s="502"/>
    </row>
    <row r="90" spans="1:140" s="299" customFormat="1" ht="22.5" hidden="1" customHeight="1">
      <c r="A90" s="912"/>
      <c r="B90" s="887"/>
      <c r="C90" s="890"/>
      <c r="D90" s="709" t="s">
        <v>49</v>
      </c>
      <c r="E90" s="710"/>
      <c r="F90" s="711"/>
      <c r="G90" s="711"/>
      <c r="H90" s="712"/>
      <c r="I90" s="713"/>
      <c r="J90" s="711"/>
      <c r="K90" s="419"/>
      <c r="L90" s="420">
        <v>0</v>
      </c>
      <c r="M90" s="420">
        <v>0</v>
      </c>
      <c r="N90" s="420">
        <v>0</v>
      </c>
      <c r="O90" s="344">
        <v>1</v>
      </c>
      <c r="P90" s="344">
        <v>9</v>
      </c>
      <c r="Q90" s="344">
        <v>4</v>
      </c>
      <c r="R90" s="420">
        <v>0</v>
      </c>
      <c r="S90" s="420">
        <v>0</v>
      </c>
      <c r="T90" s="522">
        <v>1</v>
      </c>
      <c r="U90" s="486">
        <v>4</v>
      </c>
      <c r="V90" s="420">
        <v>4</v>
      </c>
      <c r="W90" s="420">
        <v>7</v>
      </c>
      <c r="X90" s="420"/>
      <c r="Y90" s="420"/>
      <c r="Z90" s="420"/>
      <c r="AA90" s="420"/>
      <c r="AB90" s="420"/>
      <c r="AC90" s="420"/>
      <c r="AD90" s="420"/>
      <c r="AE90" s="420"/>
      <c r="AF90" s="420"/>
      <c r="AG90" s="420"/>
      <c r="AH90" s="420"/>
      <c r="AI90" s="420"/>
      <c r="AJ90" s="420"/>
      <c r="AK90" s="420"/>
      <c r="AL90" s="420"/>
      <c r="AM90" s="420"/>
      <c r="AN90" s="420"/>
      <c r="AO90" s="420"/>
      <c r="AP90" s="420"/>
      <c r="AQ90" s="420"/>
      <c r="AR90" s="420"/>
      <c r="AS90" s="420"/>
      <c r="AT90" s="420"/>
      <c r="AU90" s="420"/>
      <c r="AV90" s="420"/>
      <c r="AW90" s="420"/>
      <c r="AX90" s="420"/>
      <c r="AY90" s="420"/>
      <c r="AZ90" s="420"/>
      <c r="BA90" s="420"/>
      <c r="BB90" s="420"/>
      <c r="BC90" s="420"/>
      <c r="BD90" s="420"/>
      <c r="BE90" s="420"/>
      <c r="BF90" s="420"/>
      <c r="BG90" s="420"/>
      <c r="BH90" s="420"/>
      <c r="BI90" s="420"/>
      <c r="BJ90" s="420"/>
      <c r="BK90" s="420"/>
      <c r="BL90" s="420"/>
      <c r="BM90" s="420"/>
      <c r="BN90" s="420"/>
      <c r="BO90" s="420"/>
      <c r="BP90" s="523"/>
      <c r="BQ90" s="486"/>
      <c r="BR90" s="420"/>
      <c r="BS90" s="420"/>
      <c r="BT90" s="420"/>
      <c r="BU90" s="420"/>
      <c r="BV90" s="420"/>
      <c r="BW90" s="420"/>
      <c r="BX90" s="420"/>
      <c r="BY90" s="420"/>
      <c r="BZ90" s="420"/>
      <c r="CA90" s="420"/>
      <c r="CB90" s="485"/>
      <c r="CC90" s="487"/>
      <c r="CD90" s="420"/>
      <c r="CE90" s="420"/>
      <c r="CF90" s="420"/>
      <c r="CG90" s="420"/>
      <c r="CH90" s="420"/>
      <c r="CI90" s="420"/>
      <c r="CJ90" s="420"/>
      <c r="CK90" s="420"/>
      <c r="CL90" s="420"/>
      <c r="CM90" s="420"/>
      <c r="CN90" s="420"/>
      <c r="CO90" s="420"/>
      <c r="CP90" s="420"/>
      <c r="CQ90" s="420"/>
      <c r="CR90" s="420"/>
      <c r="CS90" s="420"/>
      <c r="CT90" s="420"/>
      <c r="CU90" s="420"/>
      <c r="CV90" s="420"/>
      <c r="CW90" s="420"/>
      <c r="CX90" s="420"/>
      <c r="CY90" s="420"/>
      <c r="CZ90" s="420"/>
      <c r="DA90" s="420"/>
      <c r="DB90" s="420"/>
      <c r="DC90" s="420"/>
      <c r="DD90" s="420"/>
      <c r="DE90" s="420"/>
      <c r="DF90" s="420"/>
      <c r="DG90" s="420"/>
      <c r="DH90" s="420"/>
      <c r="DI90" s="420"/>
      <c r="DJ90" s="420"/>
      <c r="DK90" s="420"/>
      <c r="DL90" s="420"/>
      <c r="DM90" s="420"/>
      <c r="DN90" s="420"/>
      <c r="DO90" s="420"/>
      <c r="DP90" s="420"/>
      <c r="DQ90" s="420"/>
      <c r="DR90" s="420"/>
      <c r="DS90" s="420"/>
      <c r="DT90" s="420"/>
      <c r="DU90" s="420"/>
      <c r="DV90" s="420"/>
      <c r="DW90" s="420"/>
      <c r="DX90" s="420"/>
      <c r="DY90" s="420"/>
      <c r="DZ90" s="420"/>
      <c r="EA90" s="420"/>
      <c r="EB90" s="420"/>
      <c r="EC90" s="420"/>
      <c r="ED90" s="420"/>
      <c r="EE90" s="420"/>
      <c r="EF90" s="420"/>
      <c r="EG90" s="420"/>
      <c r="EH90" s="420"/>
      <c r="EI90" s="420"/>
      <c r="EJ90" s="420"/>
    </row>
    <row r="91" spans="1:140" s="299" customFormat="1" ht="22.5" hidden="1" customHeight="1">
      <c r="A91" s="912"/>
      <c r="B91" s="887"/>
      <c r="C91" s="714" t="s">
        <v>51</v>
      </c>
      <c r="D91" s="677" t="s">
        <v>48</v>
      </c>
      <c r="E91" s="715"/>
      <c r="F91" s="716"/>
      <c r="G91" s="716"/>
      <c r="H91" s="717"/>
      <c r="I91" s="718"/>
      <c r="J91" s="716"/>
      <c r="K91" s="421"/>
      <c r="L91" s="412">
        <v>0</v>
      </c>
      <c r="M91" s="383">
        <v>962</v>
      </c>
      <c r="N91" s="383">
        <v>1057.5</v>
      </c>
      <c r="O91" s="383">
        <v>2461</v>
      </c>
      <c r="P91" s="383">
        <v>1658.5</v>
      </c>
      <c r="Q91" s="383">
        <v>6946.82</v>
      </c>
      <c r="R91" s="383">
        <v>4647.8999999999942</v>
      </c>
      <c r="S91" s="383">
        <v>7245.1000000000349</v>
      </c>
      <c r="T91" s="503">
        <v>7083.5</v>
      </c>
      <c r="U91" s="353">
        <v>7551.179999999993</v>
      </c>
      <c r="V91" s="383">
        <v>8409.820000000007</v>
      </c>
      <c r="W91" s="383">
        <v>9027.7700000000186</v>
      </c>
      <c r="X91" s="383"/>
      <c r="Y91" s="383"/>
      <c r="Z91" s="383"/>
      <c r="AA91" s="383"/>
      <c r="AB91" s="383"/>
      <c r="AC91" s="383"/>
      <c r="AD91" s="383"/>
      <c r="AE91" s="383"/>
      <c r="AF91" s="383"/>
      <c r="AG91" s="383"/>
      <c r="AH91" s="383"/>
      <c r="AI91" s="383"/>
      <c r="AJ91" s="383"/>
      <c r="AK91" s="383"/>
      <c r="AL91" s="383"/>
      <c r="AM91" s="383"/>
      <c r="AN91" s="383"/>
      <c r="AO91" s="383"/>
      <c r="AP91" s="383"/>
      <c r="AQ91" s="383"/>
      <c r="AR91" s="383"/>
      <c r="AS91" s="383"/>
      <c r="AT91" s="383"/>
      <c r="AU91" s="383"/>
      <c r="AV91" s="383"/>
      <c r="AW91" s="383"/>
      <c r="AX91" s="383"/>
      <c r="AY91" s="383"/>
      <c r="AZ91" s="383"/>
      <c r="BA91" s="383"/>
      <c r="BB91" s="383"/>
      <c r="BC91" s="383"/>
      <c r="BD91" s="383"/>
      <c r="BE91" s="383"/>
      <c r="BF91" s="383"/>
      <c r="BG91" s="383"/>
      <c r="BH91" s="383"/>
      <c r="BI91" s="383"/>
      <c r="BJ91" s="383"/>
      <c r="BK91" s="383"/>
      <c r="BL91" s="383"/>
      <c r="BM91" s="383"/>
      <c r="BN91" s="383"/>
      <c r="BO91" s="383"/>
      <c r="BP91" s="524"/>
      <c r="BQ91" s="353"/>
      <c r="BR91" s="383"/>
      <c r="BS91" s="383"/>
      <c r="BT91" s="383"/>
      <c r="BU91" s="383"/>
      <c r="BV91" s="383"/>
      <c r="BW91" s="383"/>
      <c r="BX91" s="383"/>
      <c r="BY91" s="383"/>
      <c r="BZ91" s="383"/>
      <c r="CA91" s="383"/>
      <c r="CB91" s="352"/>
      <c r="CC91" s="354"/>
      <c r="CD91" s="383"/>
      <c r="CE91" s="383"/>
      <c r="CF91" s="383"/>
      <c r="CG91" s="383"/>
      <c r="CH91" s="383"/>
      <c r="CI91" s="383"/>
      <c r="CJ91" s="383"/>
      <c r="CK91" s="383"/>
      <c r="CL91" s="383"/>
      <c r="CM91" s="383"/>
      <c r="CN91" s="383"/>
      <c r="CO91" s="383"/>
      <c r="CP91" s="383"/>
      <c r="CQ91" s="383"/>
      <c r="CR91" s="383"/>
      <c r="CS91" s="383"/>
      <c r="CT91" s="383"/>
      <c r="CU91" s="383"/>
      <c r="CV91" s="383"/>
      <c r="CW91" s="383"/>
      <c r="CX91" s="383"/>
      <c r="CY91" s="383"/>
      <c r="CZ91" s="383"/>
      <c r="DA91" s="383"/>
      <c r="DB91" s="383"/>
      <c r="DC91" s="383"/>
      <c r="DD91" s="383"/>
      <c r="DE91" s="383"/>
      <c r="DF91" s="383"/>
      <c r="DG91" s="383"/>
      <c r="DH91" s="383"/>
      <c r="DI91" s="383"/>
      <c r="DJ91" s="383"/>
      <c r="DK91" s="383"/>
      <c r="DL91" s="383"/>
      <c r="DM91" s="383"/>
      <c r="DN91" s="383"/>
      <c r="DO91" s="383"/>
      <c r="DP91" s="383"/>
      <c r="DQ91" s="383"/>
      <c r="DR91" s="383"/>
      <c r="DS91" s="383"/>
      <c r="DT91" s="383"/>
      <c r="DU91" s="383"/>
      <c r="DV91" s="383"/>
      <c r="DW91" s="383"/>
      <c r="DX91" s="383"/>
      <c r="DY91" s="383"/>
      <c r="DZ91" s="383"/>
      <c r="EA91" s="383"/>
      <c r="EB91" s="383"/>
      <c r="EC91" s="383"/>
      <c r="ED91" s="383"/>
      <c r="EE91" s="383"/>
      <c r="EF91" s="383"/>
      <c r="EG91" s="383"/>
      <c r="EH91" s="383"/>
      <c r="EI91" s="383"/>
      <c r="EJ91" s="383"/>
    </row>
    <row r="92" spans="1:140" s="299" customFormat="1" ht="22.5" customHeight="1" thickTop="1">
      <c r="A92" s="912"/>
      <c r="B92" s="887"/>
      <c r="C92" s="892" t="s">
        <v>52</v>
      </c>
      <c r="D92" s="657" t="s">
        <v>48</v>
      </c>
      <c r="E92" s="719"/>
      <c r="F92" s="720"/>
      <c r="G92" s="720"/>
      <c r="H92" s="721"/>
      <c r="I92" s="722"/>
      <c r="J92" s="720"/>
      <c r="K92" s="422"/>
      <c r="L92" s="423">
        <f>+L94</f>
        <v>18649</v>
      </c>
      <c r="M92" s="423">
        <f t="shared" ref="M92:BX93" si="68">+M94-L94</f>
        <v>16328.5</v>
      </c>
      <c r="N92" s="423">
        <f t="shared" si="68"/>
        <v>102608.5</v>
      </c>
      <c r="O92" s="423">
        <f t="shared" si="68"/>
        <v>71833.41</v>
      </c>
      <c r="P92" s="423">
        <f t="shared" si="68"/>
        <v>44523.399999999994</v>
      </c>
      <c r="Q92" s="423">
        <f t="shared" si="68"/>
        <v>11956.679999999993</v>
      </c>
      <c r="R92" s="423">
        <f t="shared" si="68"/>
        <v>47810.099999999977</v>
      </c>
      <c r="S92" s="423">
        <f t="shared" si="68"/>
        <v>49952.039999999979</v>
      </c>
      <c r="T92" s="424">
        <f t="shared" si="68"/>
        <v>54867.239999999991</v>
      </c>
      <c r="U92" s="425">
        <f t="shared" si="68"/>
        <v>-3582.1199999999953</v>
      </c>
      <c r="V92" s="423">
        <f t="shared" si="68"/>
        <v>121563.24000000005</v>
      </c>
      <c r="W92" s="423">
        <f t="shared" si="68"/>
        <v>79817.13</v>
      </c>
      <c r="X92" s="423">
        <f t="shared" si="68"/>
        <v>100828.25</v>
      </c>
      <c r="Y92" s="423">
        <f t="shared" si="68"/>
        <v>193982.16000000003</v>
      </c>
      <c r="Z92" s="423">
        <f t="shared" si="68"/>
        <v>44548.859999999986</v>
      </c>
      <c r="AA92" s="423">
        <f t="shared" si="68"/>
        <v>80889.659999999916</v>
      </c>
      <c r="AB92" s="426">
        <f t="shared" si="68"/>
        <v>89976.510000000126</v>
      </c>
      <c r="AC92" s="426">
        <f t="shared" si="68"/>
        <v>68375.310000000056</v>
      </c>
      <c r="AD92" s="426">
        <f t="shared" si="68"/>
        <v>57049.559999999823</v>
      </c>
      <c r="AE92" s="426">
        <f t="shared" si="68"/>
        <v>57717.050000000047</v>
      </c>
      <c r="AF92" s="426">
        <f t="shared" si="68"/>
        <v>20802.39000000013</v>
      </c>
      <c r="AG92" s="426">
        <f t="shared" si="68"/>
        <v>28252.589999999851</v>
      </c>
      <c r="AH92" s="426">
        <f t="shared" si="68"/>
        <v>47070.669999999925</v>
      </c>
      <c r="AI92" s="426">
        <f t="shared" si="68"/>
        <v>-700.25</v>
      </c>
      <c r="AJ92" s="426">
        <f t="shared" si="68"/>
        <v>19412.870000000112</v>
      </c>
      <c r="AK92" s="426">
        <f t="shared" si="68"/>
        <v>-98126.340000000084</v>
      </c>
      <c r="AL92" s="426">
        <f t="shared" si="68"/>
        <v>19620.560000000056</v>
      </c>
      <c r="AM92" s="426">
        <f t="shared" si="68"/>
        <v>22244.909999999916</v>
      </c>
      <c r="AN92" s="426">
        <f t="shared" si="68"/>
        <v>7487.1700000001583</v>
      </c>
      <c r="AO92" s="426">
        <f t="shared" si="68"/>
        <v>10247.320000000065</v>
      </c>
      <c r="AP92" s="426">
        <f t="shared" si="68"/>
        <v>26530.719999999972</v>
      </c>
      <c r="AQ92" s="426">
        <f t="shared" si="68"/>
        <v>20798.079999999842</v>
      </c>
      <c r="AR92" s="426">
        <f t="shared" si="68"/>
        <v>36918.070000000065</v>
      </c>
      <c r="AS92" s="426">
        <f t="shared" si="68"/>
        <v>42847.239999999991</v>
      </c>
      <c r="AT92" s="426">
        <f t="shared" si="68"/>
        <v>-13252.820000000065</v>
      </c>
      <c r="AU92" s="426">
        <f t="shared" si="68"/>
        <v>15147.860000000102</v>
      </c>
      <c r="AV92" s="426">
        <f t="shared" si="68"/>
        <v>47507.459999999963</v>
      </c>
      <c r="AW92" s="426">
        <f t="shared" si="68"/>
        <v>17586.990000000224</v>
      </c>
      <c r="AX92" s="426">
        <f t="shared" si="68"/>
        <v>5395.3499999998603</v>
      </c>
      <c r="AY92" s="426">
        <f t="shared" si="68"/>
        <v>36857.619999999879</v>
      </c>
      <c r="AZ92" s="426">
        <f t="shared" si="68"/>
        <v>6408.9899999999907</v>
      </c>
      <c r="BA92" s="426">
        <f t="shared" si="68"/>
        <v>55270.810000000056</v>
      </c>
      <c r="BB92" s="426">
        <f t="shared" si="68"/>
        <v>56875</v>
      </c>
      <c r="BC92" s="426">
        <f t="shared" si="68"/>
        <v>91378.199999999953</v>
      </c>
      <c r="BD92" s="426">
        <f t="shared" si="68"/>
        <v>4434.9900000002235</v>
      </c>
      <c r="BE92" s="426">
        <f t="shared" si="68"/>
        <v>35314.850000000093</v>
      </c>
      <c r="BF92" s="426">
        <f t="shared" si="68"/>
        <v>96877.029999999795</v>
      </c>
      <c r="BG92" s="426">
        <f t="shared" si="68"/>
        <v>7188.2099999999627</v>
      </c>
      <c r="BH92" s="426">
        <f t="shared" si="68"/>
        <v>69589.469999999972</v>
      </c>
      <c r="BI92" s="426">
        <f t="shared" si="68"/>
        <v>70370.760000000009</v>
      </c>
      <c r="BJ92" s="426">
        <f t="shared" si="68"/>
        <v>71456.260000000242</v>
      </c>
      <c r="BK92" s="426">
        <f t="shared" si="68"/>
        <v>61422.099999999627</v>
      </c>
      <c r="BL92" s="426">
        <f t="shared" si="68"/>
        <v>52969.950000000186</v>
      </c>
      <c r="BM92" s="426">
        <f t="shared" si="68"/>
        <v>73256.229999999981</v>
      </c>
      <c r="BN92" s="426">
        <f t="shared" si="68"/>
        <v>85730.049999999814</v>
      </c>
      <c r="BO92" s="426">
        <f t="shared" si="68"/>
        <v>87757.340000000782</v>
      </c>
      <c r="BP92" s="427">
        <f t="shared" si="68"/>
        <v>102364.58999999939</v>
      </c>
      <c r="BQ92" s="425">
        <f t="shared" si="68"/>
        <v>77178.330000000075</v>
      </c>
      <c r="BR92" s="426">
        <f t="shared" si="68"/>
        <v>76291.279999999795</v>
      </c>
      <c r="BS92" s="426">
        <f t="shared" si="68"/>
        <v>183160.58000000007</v>
      </c>
      <c r="BT92" s="426">
        <f t="shared" si="68"/>
        <v>107308.48000000045</v>
      </c>
      <c r="BU92" s="426">
        <f t="shared" si="68"/>
        <v>19786.94000000041</v>
      </c>
      <c r="BV92" s="426">
        <f t="shared" si="68"/>
        <v>129537.36999999965</v>
      </c>
      <c r="BW92" s="426">
        <f t="shared" si="68"/>
        <v>140507.56000000006</v>
      </c>
      <c r="BX92" s="426">
        <f t="shared" si="68"/>
        <v>198630.9299999997</v>
      </c>
      <c r="BY92" s="426">
        <f t="shared" ref="BY92:EJ93" si="69">+BY94-BX94</f>
        <v>355283.46000000043</v>
      </c>
      <c r="BZ92" s="426">
        <f t="shared" si="69"/>
        <v>203677.47999999952</v>
      </c>
      <c r="CA92" s="426">
        <f t="shared" si="69"/>
        <v>274462.91999999946</v>
      </c>
      <c r="CB92" s="428">
        <f t="shared" si="69"/>
        <v>167414.01000000071</v>
      </c>
      <c r="CC92" s="426">
        <f t="shared" si="69"/>
        <v>319616.37000000011</v>
      </c>
      <c r="CD92" s="426">
        <f t="shared" si="69"/>
        <v>295192.83000000007</v>
      </c>
      <c r="CE92" s="426">
        <f t="shared" si="69"/>
        <v>416583.88000000082</v>
      </c>
      <c r="CF92" s="426">
        <f t="shared" si="69"/>
        <v>267839.25999999978</v>
      </c>
      <c r="CG92" s="426">
        <f t="shared" si="69"/>
        <v>291617.25999999978</v>
      </c>
      <c r="CH92" s="426">
        <f t="shared" si="69"/>
        <v>233773.59999999963</v>
      </c>
      <c r="CI92" s="426">
        <f t="shared" si="69"/>
        <v>338884.01999999955</v>
      </c>
      <c r="CJ92" s="426">
        <f t="shared" si="69"/>
        <v>-68298.029999999329</v>
      </c>
      <c r="CK92" s="426">
        <f t="shared" si="69"/>
        <v>427096.98999999836</v>
      </c>
      <c r="CL92" s="426">
        <f t="shared" si="69"/>
        <v>450745.61000000127</v>
      </c>
      <c r="CM92" s="426">
        <f t="shared" si="69"/>
        <v>127950.64999999944</v>
      </c>
      <c r="CN92" s="426">
        <f t="shared" si="69"/>
        <v>213337.7399999937</v>
      </c>
      <c r="CO92" s="426">
        <f t="shared" si="69"/>
        <v>-48635.979999981821</v>
      </c>
      <c r="CP92" s="426">
        <f t="shared" si="69"/>
        <v>625762.19999998808</v>
      </c>
      <c r="CQ92" s="426">
        <f t="shared" si="69"/>
        <v>301769.43999999948</v>
      </c>
      <c r="CR92" s="426">
        <f t="shared" si="69"/>
        <v>218358.36000000127</v>
      </c>
      <c r="CS92" s="426">
        <f t="shared" si="69"/>
        <v>218257.90000000037</v>
      </c>
      <c r="CT92" s="426">
        <f t="shared" si="69"/>
        <v>53929.019999999553</v>
      </c>
      <c r="CU92" s="426">
        <f t="shared" si="69"/>
        <v>351225.68999999948</v>
      </c>
      <c r="CV92" s="426">
        <f t="shared" si="69"/>
        <v>234999.3900000006</v>
      </c>
      <c r="CW92" s="426">
        <f t="shared" si="69"/>
        <v>525885.70000000112</v>
      </c>
      <c r="CX92" s="426">
        <f t="shared" si="69"/>
        <v>388160.96999999881</v>
      </c>
      <c r="CY92" s="426">
        <f t="shared" si="69"/>
        <v>264614.43000000156</v>
      </c>
      <c r="CZ92" s="426">
        <f t="shared" si="69"/>
        <v>684243.36999999546</v>
      </c>
      <c r="DA92" s="426">
        <f t="shared" si="69"/>
        <v>-709275.86999999732</v>
      </c>
      <c r="DB92" s="426">
        <f t="shared" si="69"/>
        <v>366280.57000000402</v>
      </c>
      <c r="DC92" s="426">
        <f t="shared" si="69"/>
        <v>-5447.6000000070781</v>
      </c>
      <c r="DD92" s="426">
        <f t="shared" si="69"/>
        <v>464619.68999999575</v>
      </c>
      <c r="DE92" s="426">
        <f t="shared" si="69"/>
        <v>606890.5599999968</v>
      </c>
      <c r="DF92" s="426">
        <f t="shared" si="69"/>
        <v>498398.20000000484</v>
      </c>
      <c r="DG92" s="426">
        <f t="shared" si="69"/>
        <v>514080.06000000052</v>
      </c>
      <c r="DH92" s="426">
        <f t="shared" si="69"/>
        <v>490843.55000000633</v>
      </c>
      <c r="DI92" s="426">
        <f t="shared" si="69"/>
        <v>605498.51999999397</v>
      </c>
      <c r="DJ92" s="426">
        <f t="shared" si="69"/>
        <v>419693.08000000007</v>
      </c>
      <c r="DK92" s="426">
        <f t="shared" si="69"/>
        <v>705877.29000001028</v>
      </c>
      <c r="DL92" s="426">
        <f t="shared" si="69"/>
        <v>644584.58999999985</v>
      </c>
      <c r="DM92" s="426">
        <f t="shared" si="69"/>
        <v>1335314.8999999724</v>
      </c>
      <c r="DN92" s="426">
        <f t="shared" si="69"/>
        <v>722219.80000001937</v>
      </c>
      <c r="DO92" s="426">
        <f t="shared" si="69"/>
        <v>1371469.4199999943</v>
      </c>
      <c r="DP92" s="426">
        <f t="shared" si="69"/>
        <v>797753.06999998167</v>
      </c>
      <c r="DQ92" s="426">
        <f t="shared" si="69"/>
        <v>1130984.3600000143</v>
      </c>
      <c r="DR92" s="426">
        <f t="shared" si="69"/>
        <v>1624284.0300000384</v>
      </c>
      <c r="DS92" s="426">
        <f t="shared" si="69"/>
        <v>1709329.7599999197</v>
      </c>
      <c r="DT92" s="426">
        <f t="shared" si="69"/>
        <v>972216.42000005767</v>
      </c>
      <c r="DU92" s="426">
        <f t="shared" si="69"/>
        <v>1753683.7800000273</v>
      </c>
      <c r="DV92" s="426">
        <f t="shared" si="69"/>
        <v>701951.87999998778</v>
      </c>
      <c r="DW92" s="426">
        <f t="shared" si="69"/>
        <v>1455045.169999972</v>
      </c>
      <c r="DX92" s="426">
        <f t="shared" si="69"/>
        <v>1021008.8400000408</v>
      </c>
      <c r="DY92" s="426">
        <f t="shared" si="69"/>
        <v>-791731.65000002086</v>
      </c>
      <c r="DZ92" s="426">
        <f t="shared" si="69"/>
        <v>1522871.9899999909</v>
      </c>
      <c r="EA92" s="426">
        <f t="shared" si="69"/>
        <v>1230925.7900000103</v>
      </c>
      <c r="EB92" s="426">
        <f t="shared" si="69"/>
        <v>3213799.2199999467</v>
      </c>
      <c r="EC92" s="426">
        <f t="shared" si="69"/>
        <v>1153776.480000101</v>
      </c>
      <c r="ED92" s="426">
        <f t="shared" si="69"/>
        <v>1803970.1899999902</v>
      </c>
      <c r="EE92" s="426">
        <f t="shared" si="69"/>
        <v>1543501.599999927</v>
      </c>
      <c r="EF92" s="426">
        <f t="shared" si="69"/>
        <v>650465.53000000864</v>
      </c>
      <c r="EG92" s="426">
        <f t="shared" si="69"/>
        <v>1174623.8000001833</v>
      </c>
      <c r="EH92" s="426">
        <f t="shared" si="69"/>
        <v>-42416664.800000168</v>
      </c>
      <c r="EI92" s="426">
        <f t="shared" si="69"/>
        <v>0</v>
      </c>
      <c r="EJ92" s="426">
        <f t="shared" si="69"/>
        <v>0</v>
      </c>
    </row>
    <row r="93" spans="1:140" s="299" customFormat="1" ht="22.5" customHeight="1" thickBot="1">
      <c r="A93" s="912"/>
      <c r="B93" s="887"/>
      <c r="C93" s="893"/>
      <c r="D93" s="723" t="s">
        <v>49</v>
      </c>
      <c r="E93" s="724"/>
      <c r="F93" s="725"/>
      <c r="G93" s="725"/>
      <c r="H93" s="726"/>
      <c r="I93" s="727"/>
      <c r="J93" s="725"/>
      <c r="K93" s="429"/>
      <c r="L93" s="430">
        <f>+L95</f>
        <v>8</v>
      </c>
      <c r="M93" s="430">
        <f t="shared" si="68"/>
        <v>10</v>
      </c>
      <c r="N93" s="430">
        <f t="shared" si="68"/>
        <v>49</v>
      </c>
      <c r="O93" s="430">
        <f t="shared" si="68"/>
        <v>33</v>
      </c>
      <c r="P93" s="430">
        <f t="shared" si="68"/>
        <v>23</v>
      </c>
      <c r="Q93" s="430">
        <f t="shared" si="68"/>
        <v>12</v>
      </c>
      <c r="R93" s="430">
        <f t="shared" si="68"/>
        <v>24</v>
      </c>
      <c r="S93" s="430">
        <f t="shared" si="68"/>
        <v>31</v>
      </c>
      <c r="T93" s="431">
        <f t="shared" si="68"/>
        <v>23</v>
      </c>
      <c r="U93" s="432">
        <f t="shared" si="68"/>
        <v>0</v>
      </c>
      <c r="V93" s="430">
        <f t="shared" si="68"/>
        <v>61</v>
      </c>
      <c r="W93" s="430">
        <f t="shared" si="68"/>
        <v>33</v>
      </c>
      <c r="X93" s="430">
        <f t="shared" si="68"/>
        <v>49</v>
      </c>
      <c r="Y93" s="430">
        <f t="shared" si="68"/>
        <v>92</v>
      </c>
      <c r="Z93" s="430">
        <f t="shared" si="68"/>
        <v>20</v>
      </c>
      <c r="AA93" s="430">
        <f t="shared" si="68"/>
        <v>46</v>
      </c>
      <c r="AB93" s="433">
        <f t="shared" si="68"/>
        <v>36</v>
      </c>
      <c r="AC93" s="433">
        <f t="shared" si="68"/>
        <v>35</v>
      </c>
      <c r="AD93" s="433">
        <f t="shared" si="68"/>
        <v>37</v>
      </c>
      <c r="AE93" s="433">
        <f t="shared" si="68"/>
        <v>39</v>
      </c>
      <c r="AF93" s="433">
        <f t="shared" si="68"/>
        <v>14</v>
      </c>
      <c r="AG93" s="433">
        <f t="shared" si="68"/>
        <v>21</v>
      </c>
      <c r="AH93" s="433">
        <f t="shared" si="68"/>
        <v>27</v>
      </c>
      <c r="AI93" s="433">
        <f t="shared" si="68"/>
        <v>18</v>
      </c>
      <c r="AJ93" s="433">
        <f t="shared" si="68"/>
        <v>13</v>
      </c>
      <c r="AK93" s="433">
        <f t="shared" si="68"/>
        <v>-19</v>
      </c>
      <c r="AL93" s="433">
        <f t="shared" si="68"/>
        <v>25</v>
      </c>
      <c r="AM93" s="433">
        <f t="shared" si="68"/>
        <v>18</v>
      </c>
      <c r="AN93" s="433">
        <f t="shared" si="68"/>
        <v>14</v>
      </c>
      <c r="AO93" s="433">
        <f t="shared" si="68"/>
        <v>13</v>
      </c>
      <c r="AP93" s="433">
        <f t="shared" si="68"/>
        <v>11</v>
      </c>
      <c r="AQ93" s="433">
        <f t="shared" si="68"/>
        <v>28</v>
      </c>
      <c r="AR93" s="433">
        <f t="shared" si="68"/>
        <v>16</v>
      </c>
      <c r="AS93" s="433">
        <f t="shared" si="68"/>
        <v>16</v>
      </c>
      <c r="AT93" s="433">
        <f t="shared" si="68"/>
        <v>1</v>
      </c>
      <c r="AU93" s="433">
        <f t="shared" si="68"/>
        <v>6</v>
      </c>
      <c r="AV93" s="433">
        <f t="shared" si="68"/>
        <v>15</v>
      </c>
      <c r="AW93" s="433">
        <f t="shared" si="68"/>
        <v>3</v>
      </c>
      <c r="AX93" s="433">
        <f t="shared" si="68"/>
        <v>6</v>
      </c>
      <c r="AY93" s="433">
        <f t="shared" si="68"/>
        <v>16</v>
      </c>
      <c r="AZ93" s="433">
        <f t="shared" si="68"/>
        <v>-11</v>
      </c>
      <c r="BA93" s="433">
        <f t="shared" si="68"/>
        <v>27</v>
      </c>
      <c r="BB93" s="433">
        <f t="shared" si="68"/>
        <v>23</v>
      </c>
      <c r="BC93" s="433">
        <f t="shared" si="68"/>
        <v>12</v>
      </c>
      <c r="BD93" s="433">
        <f t="shared" si="68"/>
        <v>2</v>
      </c>
      <c r="BE93" s="433">
        <f t="shared" si="68"/>
        <v>11</v>
      </c>
      <c r="BF93" s="433">
        <f t="shared" si="68"/>
        <v>34</v>
      </c>
      <c r="BG93" s="433">
        <f t="shared" si="68"/>
        <v>10</v>
      </c>
      <c r="BH93" s="433">
        <f t="shared" si="68"/>
        <v>20</v>
      </c>
      <c r="BI93" s="433">
        <f t="shared" si="68"/>
        <v>20</v>
      </c>
      <c r="BJ93" s="433">
        <f t="shared" si="68"/>
        <v>22</v>
      </c>
      <c r="BK93" s="433">
        <f t="shared" si="68"/>
        <v>29</v>
      </c>
      <c r="BL93" s="433">
        <f t="shared" si="68"/>
        <v>19</v>
      </c>
      <c r="BM93" s="433">
        <f t="shared" si="68"/>
        <v>19</v>
      </c>
      <c r="BN93" s="433">
        <f t="shared" si="68"/>
        <v>23</v>
      </c>
      <c r="BO93" s="433">
        <f t="shared" si="68"/>
        <v>22</v>
      </c>
      <c r="BP93" s="434">
        <f t="shared" si="68"/>
        <v>20</v>
      </c>
      <c r="BQ93" s="432">
        <f t="shared" si="68"/>
        <v>18</v>
      </c>
      <c r="BR93" s="433">
        <f t="shared" si="68"/>
        <v>13</v>
      </c>
      <c r="BS93" s="433">
        <f t="shared" si="68"/>
        <v>23</v>
      </c>
      <c r="BT93" s="433">
        <f t="shared" si="68"/>
        <v>25</v>
      </c>
      <c r="BU93" s="433">
        <f t="shared" si="68"/>
        <v>3</v>
      </c>
      <c r="BV93" s="433">
        <f t="shared" si="68"/>
        <v>26</v>
      </c>
      <c r="BW93" s="433">
        <f t="shared" si="68"/>
        <v>42</v>
      </c>
      <c r="BX93" s="433">
        <f t="shared" si="68"/>
        <v>33</v>
      </c>
      <c r="BY93" s="433">
        <f t="shared" si="69"/>
        <v>51</v>
      </c>
      <c r="BZ93" s="433">
        <f t="shared" si="69"/>
        <v>29</v>
      </c>
      <c r="CA93" s="433">
        <f t="shared" si="69"/>
        <v>35</v>
      </c>
      <c r="CB93" s="435">
        <f t="shared" si="69"/>
        <v>35</v>
      </c>
      <c r="CC93" s="433">
        <f t="shared" si="69"/>
        <v>44</v>
      </c>
      <c r="CD93" s="433">
        <f t="shared" si="69"/>
        <v>49</v>
      </c>
      <c r="CE93" s="433">
        <f t="shared" si="69"/>
        <v>81</v>
      </c>
      <c r="CF93" s="433">
        <f t="shared" si="69"/>
        <v>57</v>
      </c>
      <c r="CG93" s="433">
        <f t="shared" si="69"/>
        <v>61</v>
      </c>
      <c r="CH93" s="433">
        <f t="shared" si="69"/>
        <v>51</v>
      </c>
      <c r="CI93" s="433">
        <f t="shared" si="69"/>
        <v>61</v>
      </c>
      <c r="CJ93" s="433">
        <f t="shared" si="69"/>
        <v>-67</v>
      </c>
      <c r="CK93" s="433">
        <f t="shared" si="69"/>
        <v>75</v>
      </c>
      <c r="CL93" s="433">
        <f t="shared" si="69"/>
        <v>86</v>
      </c>
      <c r="CM93" s="433">
        <f t="shared" si="69"/>
        <v>8</v>
      </c>
      <c r="CN93" s="433">
        <f t="shared" si="69"/>
        <v>17</v>
      </c>
      <c r="CO93" s="433">
        <f t="shared" si="69"/>
        <v>-70</v>
      </c>
      <c r="CP93" s="433">
        <f t="shared" si="69"/>
        <v>136</v>
      </c>
      <c r="CQ93" s="433">
        <f t="shared" si="69"/>
        <v>59</v>
      </c>
      <c r="CR93" s="433">
        <f t="shared" si="69"/>
        <v>44</v>
      </c>
      <c r="CS93" s="433">
        <f t="shared" si="69"/>
        <v>53</v>
      </c>
      <c r="CT93" s="433">
        <f t="shared" si="69"/>
        <v>33</v>
      </c>
      <c r="CU93" s="433">
        <f t="shared" si="69"/>
        <v>71</v>
      </c>
      <c r="CV93" s="433">
        <f t="shared" si="69"/>
        <v>46</v>
      </c>
      <c r="CW93" s="433">
        <f t="shared" si="69"/>
        <v>75</v>
      </c>
      <c r="CX93" s="433">
        <f t="shared" si="69"/>
        <v>103</v>
      </c>
      <c r="CY93" s="433">
        <f t="shared" si="69"/>
        <v>68</v>
      </c>
      <c r="CZ93" s="433">
        <f t="shared" si="69"/>
        <v>-1790</v>
      </c>
      <c r="DA93" s="433">
        <f t="shared" si="69"/>
        <v>1767</v>
      </c>
      <c r="DB93" s="433">
        <f t="shared" si="69"/>
        <v>64</v>
      </c>
      <c r="DC93" s="433">
        <f t="shared" si="69"/>
        <v>-1</v>
      </c>
      <c r="DD93" s="433">
        <f t="shared" si="69"/>
        <v>94</v>
      </c>
      <c r="DE93" s="433">
        <f t="shared" si="69"/>
        <v>91</v>
      </c>
      <c r="DF93" s="433">
        <f t="shared" si="69"/>
        <v>74</v>
      </c>
      <c r="DG93" s="433">
        <f t="shared" si="69"/>
        <v>89</v>
      </c>
      <c r="DH93" s="433">
        <f t="shared" si="69"/>
        <v>62</v>
      </c>
      <c r="DI93" s="433">
        <f t="shared" si="69"/>
        <v>85</v>
      </c>
      <c r="DJ93" s="433">
        <f t="shared" si="69"/>
        <v>49</v>
      </c>
      <c r="DK93" s="433">
        <f t="shared" si="69"/>
        <v>92</v>
      </c>
      <c r="DL93" s="433">
        <f t="shared" si="69"/>
        <v>99</v>
      </c>
      <c r="DM93" s="433">
        <f t="shared" si="69"/>
        <v>184</v>
      </c>
      <c r="DN93" s="433">
        <f t="shared" si="69"/>
        <v>97</v>
      </c>
      <c r="DO93" s="433">
        <f t="shared" si="69"/>
        <v>159</v>
      </c>
      <c r="DP93" s="433">
        <f t="shared" si="69"/>
        <v>100</v>
      </c>
      <c r="DQ93" s="433">
        <f t="shared" si="69"/>
        <v>131</v>
      </c>
      <c r="DR93" s="433">
        <f t="shared" si="69"/>
        <v>180</v>
      </c>
      <c r="DS93" s="433">
        <f t="shared" si="69"/>
        <v>207</v>
      </c>
      <c r="DT93" s="433">
        <f t="shared" si="69"/>
        <v>85</v>
      </c>
      <c r="DU93" s="433">
        <f t="shared" si="69"/>
        <v>209</v>
      </c>
      <c r="DV93" s="433">
        <f t="shared" si="69"/>
        <v>92</v>
      </c>
      <c r="DW93" s="433">
        <f t="shared" si="69"/>
        <v>152</v>
      </c>
      <c r="DX93" s="433">
        <f t="shared" si="69"/>
        <v>84</v>
      </c>
      <c r="DY93" s="433">
        <f t="shared" si="69"/>
        <v>-88</v>
      </c>
      <c r="DZ93" s="433">
        <f t="shared" si="69"/>
        <v>165</v>
      </c>
      <c r="EA93" s="433">
        <f t="shared" si="69"/>
        <v>158</v>
      </c>
      <c r="EB93" s="433">
        <f t="shared" si="69"/>
        <v>329</v>
      </c>
      <c r="EC93" s="433">
        <f t="shared" si="69"/>
        <v>137</v>
      </c>
      <c r="ED93" s="433">
        <f t="shared" si="69"/>
        <v>162</v>
      </c>
      <c r="EE93" s="433">
        <f t="shared" si="69"/>
        <v>105</v>
      </c>
      <c r="EF93" s="433">
        <f t="shared" si="69"/>
        <v>58</v>
      </c>
      <c r="EG93" s="433">
        <f t="shared" si="69"/>
        <v>107</v>
      </c>
      <c r="EH93" s="433">
        <f t="shared" si="69"/>
        <v>-6287</v>
      </c>
      <c r="EI93" s="433">
        <f t="shared" si="69"/>
        <v>0</v>
      </c>
      <c r="EJ93" s="433">
        <f t="shared" si="69"/>
        <v>0</v>
      </c>
    </row>
    <row r="94" spans="1:140" s="323" customFormat="1" ht="22.5" customHeight="1">
      <c r="A94" s="912"/>
      <c r="B94" s="887"/>
      <c r="C94" s="880" t="s">
        <v>53</v>
      </c>
      <c r="D94" s="728" t="s">
        <v>48</v>
      </c>
      <c r="E94" s="729"/>
      <c r="F94" s="730"/>
      <c r="G94" s="730"/>
      <c r="H94" s="728"/>
      <c r="I94" s="731">
        <v>0</v>
      </c>
      <c r="J94" s="732">
        <v>0</v>
      </c>
      <c r="K94" s="732">
        <v>0</v>
      </c>
      <c r="L94" s="363">
        <v>18649</v>
      </c>
      <c r="M94" s="363">
        <f t="shared" ref="M94:W94" si="70">+L94+M87-M89-M91</f>
        <v>34977.5</v>
      </c>
      <c r="N94" s="363">
        <f t="shared" si="70"/>
        <v>137586</v>
      </c>
      <c r="O94" s="363">
        <f t="shared" si="70"/>
        <v>209419.41</v>
      </c>
      <c r="P94" s="363">
        <f t="shared" si="70"/>
        <v>253942.81</v>
      </c>
      <c r="Q94" s="363">
        <f t="shared" si="70"/>
        <v>265899.49</v>
      </c>
      <c r="R94" s="363">
        <f t="shared" si="70"/>
        <v>313709.58999999997</v>
      </c>
      <c r="S94" s="363">
        <f t="shared" si="70"/>
        <v>363661.62999999995</v>
      </c>
      <c r="T94" s="364">
        <f t="shared" si="70"/>
        <v>418528.86999999994</v>
      </c>
      <c r="U94" s="365">
        <f t="shared" si="70"/>
        <v>414946.74999999994</v>
      </c>
      <c r="V94" s="363">
        <f t="shared" si="70"/>
        <v>536509.99</v>
      </c>
      <c r="W94" s="363">
        <f t="shared" si="70"/>
        <v>616327.12</v>
      </c>
      <c r="X94" s="363">
        <v>717155.37</v>
      </c>
      <c r="Y94" s="363">
        <v>911137.53</v>
      </c>
      <c r="Z94" s="363">
        <f>1055227.98-99541.59</f>
        <v>955686.39</v>
      </c>
      <c r="AA94" s="363">
        <f>1126797.38-90221.33</f>
        <v>1036576.0499999999</v>
      </c>
      <c r="AB94" s="363">
        <v>1126552.56</v>
      </c>
      <c r="AC94" s="366">
        <v>1194927.8700000001</v>
      </c>
      <c r="AD94" s="366">
        <v>1251977.43</v>
      </c>
      <c r="AE94" s="366">
        <v>1309694.48</v>
      </c>
      <c r="AF94" s="366">
        <v>1330496.8700000001</v>
      </c>
      <c r="AG94" s="366">
        <v>1358749.46</v>
      </c>
      <c r="AH94" s="366">
        <v>1405820.13</v>
      </c>
      <c r="AI94" s="366">
        <v>1405119.88</v>
      </c>
      <c r="AJ94" s="366">
        <v>1424532.75</v>
      </c>
      <c r="AK94" s="366">
        <v>1326406.4099999999</v>
      </c>
      <c r="AL94" s="366">
        <v>1346026.97</v>
      </c>
      <c r="AM94" s="366">
        <v>1368271.88</v>
      </c>
      <c r="AN94" s="366">
        <v>1375759.05</v>
      </c>
      <c r="AO94" s="366">
        <v>1386006.37</v>
      </c>
      <c r="AP94" s="366">
        <v>1412537.09</v>
      </c>
      <c r="AQ94" s="366">
        <v>1433335.17</v>
      </c>
      <c r="AR94" s="366">
        <v>1470253.24</v>
      </c>
      <c r="AS94" s="366">
        <v>1513100.48</v>
      </c>
      <c r="AT94" s="366">
        <v>1499847.66</v>
      </c>
      <c r="AU94" s="366">
        <v>1514995.52</v>
      </c>
      <c r="AV94" s="366">
        <v>1562502.98</v>
      </c>
      <c r="AW94" s="366">
        <v>1580089.9700000002</v>
      </c>
      <c r="AX94" s="366">
        <v>1585485.32</v>
      </c>
      <c r="AY94" s="366">
        <v>1622342.94</v>
      </c>
      <c r="AZ94" s="366">
        <v>1628751.93</v>
      </c>
      <c r="BA94" s="366">
        <v>1684022.74</v>
      </c>
      <c r="BB94" s="366">
        <v>1740897.74</v>
      </c>
      <c r="BC94" s="366">
        <v>1832275.94</v>
      </c>
      <c r="BD94" s="366">
        <v>1836710.9300000002</v>
      </c>
      <c r="BE94" s="366">
        <v>1872025.7800000003</v>
      </c>
      <c r="BF94" s="366">
        <v>1968902.81</v>
      </c>
      <c r="BG94" s="366">
        <v>1976091.02</v>
      </c>
      <c r="BH94" s="366">
        <v>2045680.49</v>
      </c>
      <c r="BI94" s="366">
        <v>2116051.25</v>
      </c>
      <c r="BJ94" s="366">
        <v>2187507.5100000002</v>
      </c>
      <c r="BK94" s="366">
        <v>2248929.61</v>
      </c>
      <c r="BL94" s="366">
        <v>2301899.56</v>
      </c>
      <c r="BM94" s="366">
        <v>2375155.79</v>
      </c>
      <c r="BN94" s="366">
        <v>2460885.84</v>
      </c>
      <c r="BO94" s="366">
        <v>2548643.1800000006</v>
      </c>
      <c r="BP94" s="436">
        <v>2651007.77</v>
      </c>
      <c r="BQ94" s="365">
        <v>2728186.1</v>
      </c>
      <c r="BR94" s="366">
        <v>2804477.38</v>
      </c>
      <c r="BS94" s="366">
        <v>2987637.96</v>
      </c>
      <c r="BT94" s="366">
        <v>3094946.4400000004</v>
      </c>
      <c r="BU94" s="366">
        <v>3114733.3800000008</v>
      </c>
      <c r="BV94" s="366">
        <v>3244270.7500000005</v>
      </c>
      <c r="BW94" s="366">
        <v>3384778.3100000005</v>
      </c>
      <c r="BX94" s="366">
        <v>3583409.24</v>
      </c>
      <c r="BY94" s="366">
        <v>3938692.7000000007</v>
      </c>
      <c r="BZ94" s="366">
        <v>4142370.18</v>
      </c>
      <c r="CA94" s="366">
        <v>4416833.0999999996</v>
      </c>
      <c r="CB94" s="437">
        <v>4584247.1100000003</v>
      </c>
      <c r="CC94" s="366">
        <v>4903863.4800000004</v>
      </c>
      <c r="CD94" s="366">
        <v>5199056.3100000005</v>
      </c>
      <c r="CE94" s="366">
        <v>5615640.1900000013</v>
      </c>
      <c r="CF94" s="366">
        <v>5883479.4500000011</v>
      </c>
      <c r="CG94" s="366">
        <v>6175096.7100000009</v>
      </c>
      <c r="CH94" s="366">
        <v>6408870.3100000005</v>
      </c>
      <c r="CI94" s="366">
        <v>6747754.3300000001</v>
      </c>
      <c r="CJ94" s="366">
        <v>6679456.3000000007</v>
      </c>
      <c r="CK94" s="366">
        <v>7106553.2899999991</v>
      </c>
      <c r="CL94" s="366">
        <v>7557298.9000000004</v>
      </c>
      <c r="CM94" s="366">
        <v>7685249.5499999998</v>
      </c>
      <c r="CN94" s="366">
        <v>7898587.2899999935</v>
      </c>
      <c r="CO94" s="366">
        <v>7849951.3100000117</v>
      </c>
      <c r="CP94" s="366">
        <v>8475713.5099999998</v>
      </c>
      <c r="CQ94" s="366">
        <v>8777482.9499999993</v>
      </c>
      <c r="CR94" s="366">
        <v>8995841.3100000005</v>
      </c>
      <c r="CS94" s="366">
        <v>9214099.2100000009</v>
      </c>
      <c r="CT94" s="366">
        <v>9268028.2300000004</v>
      </c>
      <c r="CU94" s="366">
        <v>9619253.9199999999</v>
      </c>
      <c r="CV94" s="366">
        <v>9854253.3100000005</v>
      </c>
      <c r="CW94" s="366">
        <v>10380139.010000002</v>
      </c>
      <c r="CX94" s="366">
        <v>10768299.98</v>
      </c>
      <c r="CY94" s="366">
        <v>11032914.410000002</v>
      </c>
      <c r="CZ94" s="366">
        <v>11717157.779999997</v>
      </c>
      <c r="DA94" s="366">
        <v>11007881.91</v>
      </c>
      <c r="DB94" s="366">
        <v>11374162.480000004</v>
      </c>
      <c r="DC94" s="366">
        <v>11368714.879999997</v>
      </c>
      <c r="DD94" s="366">
        <v>11833334.569999993</v>
      </c>
      <c r="DE94" s="366">
        <v>12440225.12999999</v>
      </c>
      <c r="DF94" s="366">
        <v>12938623.329999994</v>
      </c>
      <c r="DG94" s="366">
        <v>13452703.389999995</v>
      </c>
      <c r="DH94" s="366">
        <v>13943546.940000001</v>
      </c>
      <c r="DI94" s="366">
        <v>14549045.459999995</v>
      </c>
      <c r="DJ94" s="366">
        <v>14968738.539999995</v>
      </c>
      <c r="DK94" s="366">
        <v>15674615.830000006</v>
      </c>
      <c r="DL94" s="366">
        <v>16319200.420000006</v>
      </c>
      <c r="DM94" s="366">
        <v>17654515.319999978</v>
      </c>
      <c r="DN94" s="366">
        <v>18376735.119999997</v>
      </c>
      <c r="DO94" s="366">
        <v>19748204.539999992</v>
      </c>
      <c r="DP94" s="366">
        <v>20545957.609999973</v>
      </c>
      <c r="DQ94" s="366">
        <v>21676941.969999988</v>
      </c>
      <c r="DR94" s="366">
        <v>23301226.000000026</v>
      </c>
      <c r="DS94" s="366">
        <v>25010555.759999946</v>
      </c>
      <c r="DT94" s="366">
        <v>25982772.180000003</v>
      </c>
      <c r="DU94" s="366">
        <v>27736455.960000031</v>
      </c>
      <c r="DV94" s="366">
        <v>28438407.840000018</v>
      </c>
      <c r="DW94" s="366">
        <v>29893453.00999999</v>
      </c>
      <c r="DX94" s="366">
        <v>30914461.850000031</v>
      </c>
      <c r="DY94" s="366">
        <v>30122730.20000001</v>
      </c>
      <c r="DZ94" s="366">
        <v>31645602.190000001</v>
      </c>
      <c r="EA94" s="366">
        <v>32876527.980000012</v>
      </c>
      <c r="EB94" s="366">
        <v>36090327.199999958</v>
      </c>
      <c r="EC94" s="366">
        <v>37244103.680000059</v>
      </c>
      <c r="ED94" s="366">
        <v>39048073.870000049</v>
      </c>
      <c r="EE94" s="366">
        <v>40591575.469999976</v>
      </c>
      <c r="EF94" s="366">
        <v>41242040.999999985</v>
      </c>
      <c r="EG94" s="366">
        <v>42416664.800000168</v>
      </c>
      <c r="EH94" s="366"/>
      <c r="EI94" s="366"/>
      <c r="EJ94" s="366"/>
    </row>
    <row r="95" spans="1:140" s="300" customFormat="1" ht="22.5" customHeight="1" thickBot="1">
      <c r="A95" s="912"/>
      <c r="B95" s="887"/>
      <c r="C95" s="881"/>
      <c r="D95" s="602" t="s">
        <v>49</v>
      </c>
      <c r="E95" s="733"/>
      <c r="F95" s="734"/>
      <c r="G95" s="734"/>
      <c r="H95" s="602"/>
      <c r="I95" s="735">
        <v>0</v>
      </c>
      <c r="J95" s="736">
        <v>0</v>
      </c>
      <c r="K95" s="736">
        <v>0</v>
      </c>
      <c r="L95" s="371">
        <v>8</v>
      </c>
      <c r="M95" s="371">
        <f t="shared" ref="M95:W95" si="71">+L95+M88-M90</f>
        <v>18</v>
      </c>
      <c r="N95" s="371">
        <f t="shared" si="71"/>
        <v>67</v>
      </c>
      <c r="O95" s="371">
        <f t="shared" si="71"/>
        <v>100</v>
      </c>
      <c r="P95" s="371">
        <f t="shared" si="71"/>
        <v>123</v>
      </c>
      <c r="Q95" s="371">
        <f t="shared" si="71"/>
        <v>135</v>
      </c>
      <c r="R95" s="371">
        <f t="shared" si="71"/>
        <v>159</v>
      </c>
      <c r="S95" s="371">
        <f t="shared" si="71"/>
        <v>190</v>
      </c>
      <c r="T95" s="372">
        <f t="shared" si="71"/>
        <v>213</v>
      </c>
      <c r="U95" s="373">
        <f t="shared" si="71"/>
        <v>213</v>
      </c>
      <c r="V95" s="371">
        <f t="shared" si="71"/>
        <v>274</v>
      </c>
      <c r="W95" s="371">
        <f t="shared" si="71"/>
        <v>307</v>
      </c>
      <c r="X95" s="371">
        <v>356</v>
      </c>
      <c r="Y95" s="371">
        <v>448</v>
      </c>
      <c r="Z95" s="371">
        <f>515-47</f>
        <v>468</v>
      </c>
      <c r="AA95" s="371">
        <f>541-27</f>
        <v>514</v>
      </c>
      <c r="AB95" s="371">
        <v>550</v>
      </c>
      <c r="AC95" s="438">
        <v>585</v>
      </c>
      <c r="AD95" s="438">
        <v>622</v>
      </c>
      <c r="AE95" s="438">
        <v>661</v>
      </c>
      <c r="AF95" s="438">
        <v>675</v>
      </c>
      <c r="AG95" s="438">
        <v>696</v>
      </c>
      <c r="AH95" s="438">
        <v>723</v>
      </c>
      <c r="AI95" s="438">
        <v>741</v>
      </c>
      <c r="AJ95" s="438">
        <v>754</v>
      </c>
      <c r="AK95" s="438">
        <v>735</v>
      </c>
      <c r="AL95" s="438">
        <v>760</v>
      </c>
      <c r="AM95" s="438">
        <v>778</v>
      </c>
      <c r="AN95" s="438">
        <v>792</v>
      </c>
      <c r="AO95" s="438">
        <v>805</v>
      </c>
      <c r="AP95" s="438">
        <v>816</v>
      </c>
      <c r="AQ95" s="438">
        <v>844</v>
      </c>
      <c r="AR95" s="438">
        <v>860</v>
      </c>
      <c r="AS95" s="438">
        <v>876</v>
      </c>
      <c r="AT95" s="438">
        <v>877</v>
      </c>
      <c r="AU95" s="438">
        <v>883</v>
      </c>
      <c r="AV95" s="438">
        <v>898</v>
      </c>
      <c r="AW95" s="438">
        <v>901</v>
      </c>
      <c r="AX95" s="438">
        <v>907</v>
      </c>
      <c r="AY95" s="438">
        <v>923</v>
      </c>
      <c r="AZ95" s="438">
        <v>912</v>
      </c>
      <c r="BA95" s="438">
        <v>939</v>
      </c>
      <c r="BB95" s="438">
        <v>962</v>
      </c>
      <c r="BC95" s="438">
        <v>974</v>
      </c>
      <c r="BD95" s="438">
        <v>976</v>
      </c>
      <c r="BE95" s="438">
        <v>987</v>
      </c>
      <c r="BF95" s="438">
        <v>1021</v>
      </c>
      <c r="BG95" s="438">
        <v>1031</v>
      </c>
      <c r="BH95" s="438">
        <v>1051</v>
      </c>
      <c r="BI95" s="438">
        <v>1071</v>
      </c>
      <c r="BJ95" s="438">
        <v>1093</v>
      </c>
      <c r="BK95" s="438">
        <v>1122</v>
      </c>
      <c r="BL95" s="438">
        <v>1141</v>
      </c>
      <c r="BM95" s="438">
        <v>1160</v>
      </c>
      <c r="BN95" s="438">
        <v>1183</v>
      </c>
      <c r="BO95" s="438">
        <v>1205</v>
      </c>
      <c r="BP95" s="439">
        <v>1225</v>
      </c>
      <c r="BQ95" s="373">
        <v>1243</v>
      </c>
      <c r="BR95" s="438">
        <v>1256</v>
      </c>
      <c r="BS95" s="438">
        <v>1279</v>
      </c>
      <c r="BT95" s="438">
        <v>1304</v>
      </c>
      <c r="BU95" s="438">
        <v>1307</v>
      </c>
      <c r="BV95" s="438">
        <v>1333</v>
      </c>
      <c r="BW95" s="438">
        <v>1375</v>
      </c>
      <c r="BX95" s="438">
        <v>1408</v>
      </c>
      <c r="BY95" s="438">
        <v>1459</v>
      </c>
      <c r="BZ95" s="438">
        <v>1488</v>
      </c>
      <c r="CA95" s="438">
        <v>1523</v>
      </c>
      <c r="CB95" s="440">
        <v>1558</v>
      </c>
      <c r="CC95" s="438">
        <v>1602</v>
      </c>
      <c r="CD95" s="438">
        <v>1651</v>
      </c>
      <c r="CE95" s="438">
        <v>1732</v>
      </c>
      <c r="CF95" s="438">
        <v>1789</v>
      </c>
      <c r="CG95" s="438">
        <v>1850</v>
      </c>
      <c r="CH95" s="438">
        <v>1901</v>
      </c>
      <c r="CI95" s="438">
        <v>1962</v>
      </c>
      <c r="CJ95" s="438">
        <v>1895</v>
      </c>
      <c r="CK95" s="438">
        <v>1970</v>
      </c>
      <c r="CL95" s="438">
        <v>2056</v>
      </c>
      <c r="CM95" s="438">
        <v>2064</v>
      </c>
      <c r="CN95" s="438">
        <v>2081</v>
      </c>
      <c r="CO95" s="438">
        <v>2011</v>
      </c>
      <c r="CP95" s="438">
        <v>2147</v>
      </c>
      <c r="CQ95" s="438">
        <v>2206</v>
      </c>
      <c r="CR95" s="438">
        <v>2250</v>
      </c>
      <c r="CS95" s="438">
        <v>2303</v>
      </c>
      <c r="CT95" s="438">
        <v>2336</v>
      </c>
      <c r="CU95" s="438">
        <v>2407</v>
      </c>
      <c r="CV95" s="438">
        <v>2453</v>
      </c>
      <c r="CW95" s="438">
        <v>2528</v>
      </c>
      <c r="CX95" s="438">
        <v>2631</v>
      </c>
      <c r="CY95" s="438">
        <v>2699</v>
      </c>
      <c r="CZ95" s="438">
        <v>909</v>
      </c>
      <c r="DA95" s="438">
        <v>2676</v>
      </c>
      <c r="DB95" s="438">
        <v>2740</v>
      </c>
      <c r="DC95" s="438">
        <v>2739</v>
      </c>
      <c r="DD95" s="438">
        <v>2833</v>
      </c>
      <c r="DE95" s="438">
        <v>2924</v>
      </c>
      <c r="DF95" s="438">
        <v>2998</v>
      </c>
      <c r="DG95" s="438">
        <v>3087</v>
      </c>
      <c r="DH95" s="438">
        <v>3149</v>
      </c>
      <c r="DI95" s="438">
        <v>3234</v>
      </c>
      <c r="DJ95" s="438">
        <v>3283</v>
      </c>
      <c r="DK95" s="438">
        <v>3375</v>
      </c>
      <c r="DL95" s="438">
        <v>3474</v>
      </c>
      <c r="DM95" s="438">
        <v>3658</v>
      </c>
      <c r="DN95" s="438">
        <v>3755</v>
      </c>
      <c r="DO95" s="438">
        <v>3914</v>
      </c>
      <c r="DP95" s="438">
        <v>4014</v>
      </c>
      <c r="DQ95" s="438">
        <v>4145</v>
      </c>
      <c r="DR95" s="438">
        <v>4325</v>
      </c>
      <c r="DS95" s="438">
        <v>4532</v>
      </c>
      <c r="DT95" s="438">
        <v>4617</v>
      </c>
      <c r="DU95" s="438">
        <v>4826</v>
      </c>
      <c r="DV95" s="438">
        <v>4918</v>
      </c>
      <c r="DW95" s="438">
        <v>5070</v>
      </c>
      <c r="DX95" s="438">
        <v>5154</v>
      </c>
      <c r="DY95" s="438">
        <v>5066</v>
      </c>
      <c r="DZ95" s="438">
        <v>5231</v>
      </c>
      <c r="EA95" s="438">
        <v>5389</v>
      </c>
      <c r="EB95" s="438">
        <v>5718</v>
      </c>
      <c r="EC95" s="438">
        <v>5855</v>
      </c>
      <c r="ED95" s="438">
        <v>6017</v>
      </c>
      <c r="EE95" s="438">
        <v>6122</v>
      </c>
      <c r="EF95" s="438">
        <v>6180</v>
      </c>
      <c r="EG95" s="438">
        <v>6287</v>
      </c>
      <c r="EH95" s="438"/>
      <c r="EI95" s="438"/>
      <c r="EJ95" s="438"/>
    </row>
    <row r="96" spans="1:140" s="301" customFormat="1" ht="22.5" customHeight="1">
      <c r="A96" s="912"/>
      <c r="B96" s="887"/>
      <c r="C96" s="894" t="s">
        <v>54</v>
      </c>
      <c r="D96" s="704" t="s">
        <v>48</v>
      </c>
      <c r="E96" s="705"/>
      <c r="F96" s="706"/>
      <c r="G96" s="706"/>
      <c r="H96" s="707"/>
      <c r="I96" s="413">
        <v>1343237.5</v>
      </c>
      <c r="J96" s="413">
        <v>1314090.67</v>
      </c>
      <c r="K96" s="413">
        <v>1428499.37</v>
      </c>
      <c r="L96" s="413">
        <v>1558852.75</v>
      </c>
      <c r="M96" s="413">
        <v>1670134.27</v>
      </c>
      <c r="N96" s="413">
        <v>1912292.13</v>
      </c>
      <c r="O96" s="413">
        <v>1961375.05</v>
      </c>
      <c r="P96" s="413">
        <v>2200624.46</v>
      </c>
      <c r="Q96" s="413">
        <v>2305867.9700000002</v>
      </c>
      <c r="R96" s="413">
        <v>2576408.02</v>
      </c>
      <c r="S96" s="413">
        <v>2643485.71</v>
      </c>
      <c r="T96" s="414">
        <v>2648971.5699999998</v>
      </c>
      <c r="U96" s="415">
        <f>477+1319.5+2766894.35</f>
        <v>2768690.85</v>
      </c>
      <c r="V96" s="413">
        <f>427+1253+2868110.49</f>
        <v>2869790.49</v>
      </c>
      <c r="W96" s="413">
        <f>3227512.97+431</f>
        <v>3227943.97</v>
      </c>
      <c r="X96" s="413">
        <v>3465193.79</v>
      </c>
      <c r="Y96" s="413">
        <v>3501255.55</v>
      </c>
      <c r="Z96" s="413">
        <v>3644915.12</v>
      </c>
      <c r="AA96" s="413">
        <v>3445032.23</v>
      </c>
      <c r="AB96" s="416">
        <v>3105918.49</v>
      </c>
      <c r="AC96" s="416">
        <v>3130111.73</v>
      </c>
      <c r="AD96" s="416">
        <v>3678854.94</v>
      </c>
      <c r="AE96" s="416">
        <v>3924597.19</v>
      </c>
      <c r="AF96" s="416">
        <v>3485603.11</v>
      </c>
      <c r="AG96" s="416">
        <v>3526678.41</v>
      </c>
      <c r="AH96" s="416">
        <v>4909323.24</v>
      </c>
      <c r="AI96" s="416">
        <v>3878110.58</v>
      </c>
      <c r="AJ96" s="416">
        <v>3475014.11</v>
      </c>
      <c r="AK96" s="416">
        <v>3850758.69</v>
      </c>
      <c r="AL96" s="416">
        <v>3337718.56</v>
      </c>
      <c r="AM96" s="416">
        <v>3298243.71</v>
      </c>
      <c r="AN96" s="416">
        <v>3285815.65</v>
      </c>
      <c r="AO96" s="416">
        <v>3128543.12</v>
      </c>
      <c r="AP96" s="416">
        <v>3498801.09</v>
      </c>
      <c r="AQ96" s="416">
        <v>3970613.49</v>
      </c>
      <c r="AR96" s="416">
        <v>3759357.8</v>
      </c>
      <c r="AS96" s="416">
        <v>3897711.55</v>
      </c>
      <c r="AT96" s="416">
        <f>3992.22004*1000</f>
        <v>3992220.04</v>
      </c>
      <c r="AU96" s="416">
        <v>3883495.67</v>
      </c>
      <c r="AV96" s="416">
        <v>3999346.99</v>
      </c>
      <c r="AW96" s="416">
        <v>3944304.53</v>
      </c>
      <c r="AX96" s="416">
        <v>4123933.33</v>
      </c>
      <c r="AY96" s="416">
        <v>4532303.93</v>
      </c>
      <c r="AZ96" s="416">
        <v>4408374.13</v>
      </c>
      <c r="BA96" s="416">
        <v>4631005.29</v>
      </c>
      <c r="BB96" s="416">
        <v>4769892.62</v>
      </c>
      <c r="BC96" s="416">
        <v>4805423.82</v>
      </c>
      <c r="BD96" s="416">
        <v>4901185.2699999996</v>
      </c>
      <c r="BE96" s="416">
        <v>5070021.2</v>
      </c>
      <c r="BF96" s="416">
        <v>5330969.45</v>
      </c>
      <c r="BG96" s="416">
        <v>5461263.1799999997</v>
      </c>
      <c r="BH96" s="416">
        <v>5804411.75</v>
      </c>
      <c r="BI96" s="416">
        <v>6092111.8000000007</v>
      </c>
      <c r="BJ96" s="416">
        <v>6489525.2300000004</v>
      </c>
      <c r="BK96" s="416">
        <v>7551442.8600000003</v>
      </c>
      <c r="BL96" s="416">
        <v>8109399.1900000004</v>
      </c>
      <c r="BM96" s="416">
        <v>9822067.0500000007</v>
      </c>
      <c r="BN96" s="416">
        <v>10653647.110000001</v>
      </c>
      <c r="BO96" s="416">
        <v>11691397.720000001</v>
      </c>
      <c r="BP96" s="417">
        <v>12022736.51</v>
      </c>
      <c r="BQ96" s="415">
        <v>11711050.710000001</v>
      </c>
      <c r="BR96" s="416">
        <v>12453711.25</v>
      </c>
      <c r="BS96" s="416">
        <v>13398028.630000001</v>
      </c>
      <c r="BT96" s="416">
        <v>14677610.220000001</v>
      </c>
      <c r="BU96" s="416">
        <v>15542377.970000001</v>
      </c>
      <c r="BV96" s="416">
        <f>16239.70966*1000</f>
        <v>16239709.66</v>
      </c>
      <c r="BW96" s="416">
        <v>17812163.77</v>
      </c>
      <c r="BX96" s="416">
        <v>19843542.879999999</v>
      </c>
      <c r="BY96" s="416">
        <v>22572110.469999999</v>
      </c>
      <c r="BZ96" s="416">
        <v>24644306.68</v>
      </c>
      <c r="CA96" s="416">
        <v>25603142.850000001</v>
      </c>
      <c r="CB96" s="418">
        <v>25636652.859999999</v>
      </c>
      <c r="CC96" s="416">
        <v>25826246.140000001</v>
      </c>
      <c r="CD96" s="416">
        <v>23754373.760000002</v>
      </c>
      <c r="CE96" s="416">
        <v>26498098.969999999</v>
      </c>
      <c r="CF96" s="416">
        <v>29457896.739999998</v>
      </c>
      <c r="CG96" s="416">
        <v>30498853.620000001</v>
      </c>
      <c r="CH96" s="416">
        <v>31523297.239999998</v>
      </c>
      <c r="CI96" s="416">
        <v>34540642.219999999</v>
      </c>
      <c r="CJ96" s="416">
        <v>35512039.289999999</v>
      </c>
      <c r="CK96" s="416">
        <v>37226543.390000008</v>
      </c>
      <c r="CL96" s="416">
        <v>37215608.370000005</v>
      </c>
      <c r="CM96" s="416">
        <v>37881517.200000003</v>
      </c>
      <c r="CN96" s="416">
        <v>38720937.149999999</v>
      </c>
      <c r="CO96" s="416">
        <v>37523717.199999996</v>
      </c>
      <c r="CP96" s="416">
        <v>39881977.509999998</v>
      </c>
      <c r="CQ96" s="416">
        <v>41522298.730000004</v>
      </c>
      <c r="CR96" s="416">
        <v>40938341.290000007</v>
      </c>
      <c r="CS96" s="416">
        <v>40546857</v>
      </c>
      <c r="CT96" s="416">
        <v>40825205.560000002</v>
      </c>
      <c r="CU96" s="416">
        <v>45030748.25</v>
      </c>
      <c r="CV96" s="416">
        <v>47772456.210000001</v>
      </c>
      <c r="CW96" s="416">
        <v>51096481.579999991</v>
      </c>
      <c r="CX96" s="416">
        <v>55858582.540000007</v>
      </c>
      <c r="CY96" s="416">
        <v>57831730.049999997</v>
      </c>
      <c r="CZ96" s="416">
        <v>58465200.439999998</v>
      </c>
      <c r="DA96" s="416">
        <v>59000234.430000007</v>
      </c>
      <c r="DB96" s="416">
        <v>60368963.210000001</v>
      </c>
      <c r="DC96" s="416">
        <v>62233751.180000007</v>
      </c>
      <c r="DD96" s="416">
        <v>62494761.209999993</v>
      </c>
      <c r="DE96" s="416">
        <v>64104545.689999998</v>
      </c>
      <c r="DF96" s="416">
        <v>63291834.380000003</v>
      </c>
      <c r="DG96" s="416">
        <v>65353654.770000003</v>
      </c>
      <c r="DH96" s="416">
        <v>63446391.800000004</v>
      </c>
      <c r="DI96" s="416">
        <v>65521022.149999999</v>
      </c>
      <c r="DJ96" s="416">
        <v>67034674.780000001</v>
      </c>
      <c r="DK96" s="416">
        <v>67861554.659999996</v>
      </c>
      <c r="DL96" s="416">
        <v>71840812.200000003</v>
      </c>
      <c r="DM96" s="416">
        <v>74685595.359999999</v>
      </c>
      <c r="DN96" s="416">
        <v>76713457.430000007</v>
      </c>
      <c r="DO96" s="416">
        <v>80541652.840000004</v>
      </c>
      <c r="DP96" s="416">
        <v>82304951.049999997</v>
      </c>
      <c r="DQ96" s="416">
        <v>86010062.829999998</v>
      </c>
      <c r="DR96" s="416">
        <v>87754840.719999999</v>
      </c>
      <c r="DS96" s="416">
        <v>90614369.149999991</v>
      </c>
      <c r="DT96" s="416">
        <v>91723443.899999991</v>
      </c>
      <c r="DU96" s="416">
        <v>94996313.689999998</v>
      </c>
      <c r="DV96" s="416">
        <v>95999701.310000002</v>
      </c>
      <c r="DW96" s="416">
        <v>97937597.669999987</v>
      </c>
      <c r="DX96" s="416">
        <v>95158756.780000001</v>
      </c>
      <c r="DY96" s="416">
        <v>93490801.979999989</v>
      </c>
      <c r="DZ96" s="416">
        <v>95096234.480000004</v>
      </c>
      <c r="EA96" s="416">
        <v>99494997.599999994</v>
      </c>
      <c r="EB96" s="416">
        <v>103437095.12000002</v>
      </c>
      <c r="EC96" s="416">
        <v>101991504.88</v>
      </c>
      <c r="ED96" s="416">
        <v>101255717.13</v>
      </c>
      <c r="EE96" s="416">
        <v>102879636.57999998</v>
      </c>
      <c r="EF96" s="416">
        <v>100776240.30000001</v>
      </c>
      <c r="EG96" s="416">
        <v>104107644.52999999</v>
      </c>
      <c r="EH96" s="416"/>
      <c r="EI96" s="416"/>
      <c r="EJ96" s="416"/>
    </row>
    <row r="97" spans="1:140" s="301" customFormat="1" ht="22.5" customHeight="1">
      <c r="A97" s="912"/>
      <c r="B97" s="887"/>
      <c r="C97" s="895"/>
      <c r="D97" s="709" t="s">
        <v>49</v>
      </c>
      <c r="E97" s="710"/>
      <c r="F97" s="711"/>
      <c r="G97" s="711"/>
      <c r="H97" s="712"/>
      <c r="I97" s="441">
        <v>1197</v>
      </c>
      <c r="J97" s="441">
        <v>1172</v>
      </c>
      <c r="K97" s="441">
        <v>1160</v>
      </c>
      <c r="L97" s="441">
        <v>1195</v>
      </c>
      <c r="M97" s="441">
        <v>1200</v>
      </c>
      <c r="N97" s="441">
        <v>1317</v>
      </c>
      <c r="O97" s="441">
        <v>1276</v>
      </c>
      <c r="P97" s="441">
        <v>1448</v>
      </c>
      <c r="Q97" s="441">
        <v>1483</v>
      </c>
      <c r="R97" s="441">
        <v>1619</v>
      </c>
      <c r="S97" s="441">
        <v>1617</v>
      </c>
      <c r="T97" s="442">
        <v>1546</v>
      </c>
      <c r="U97" s="443">
        <f>1647+4+1</f>
        <v>1652</v>
      </c>
      <c r="V97" s="441">
        <f>1724+4+1</f>
        <v>1729</v>
      </c>
      <c r="W97" s="441">
        <f>1854+2</f>
        <v>1856</v>
      </c>
      <c r="X97" s="441">
        <v>2034</v>
      </c>
      <c r="Y97" s="441">
        <v>2067</v>
      </c>
      <c r="Z97" s="441">
        <v>2119</v>
      </c>
      <c r="AA97" s="441">
        <v>1942</v>
      </c>
      <c r="AB97" s="444">
        <v>1786</v>
      </c>
      <c r="AC97" s="444">
        <v>1747</v>
      </c>
      <c r="AD97" s="444">
        <v>2057</v>
      </c>
      <c r="AE97" s="444">
        <v>2215</v>
      </c>
      <c r="AF97" s="444">
        <v>1977</v>
      </c>
      <c r="AG97" s="444">
        <v>1953</v>
      </c>
      <c r="AH97" s="444">
        <v>2733</v>
      </c>
      <c r="AI97" s="444">
        <v>2229</v>
      </c>
      <c r="AJ97" s="444">
        <v>1942</v>
      </c>
      <c r="AK97" s="444">
        <v>2151</v>
      </c>
      <c r="AL97" s="444">
        <v>1998</v>
      </c>
      <c r="AM97" s="444">
        <v>1955</v>
      </c>
      <c r="AN97" s="444">
        <v>1926</v>
      </c>
      <c r="AO97" s="444">
        <v>1855</v>
      </c>
      <c r="AP97" s="444">
        <v>2083</v>
      </c>
      <c r="AQ97" s="444">
        <v>2603</v>
      </c>
      <c r="AR97" s="444">
        <v>2503</v>
      </c>
      <c r="AS97" s="444">
        <v>2488</v>
      </c>
      <c r="AT97" s="444">
        <v>2533</v>
      </c>
      <c r="AU97" s="444">
        <v>2432</v>
      </c>
      <c r="AV97" s="444">
        <v>2444</v>
      </c>
      <c r="AW97" s="444">
        <v>2419</v>
      </c>
      <c r="AX97" s="444">
        <v>2485</v>
      </c>
      <c r="AY97" s="444">
        <v>2616</v>
      </c>
      <c r="AZ97" s="444">
        <v>2570</v>
      </c>
      <c r="BA97" s="444">
        <v>2658</v>
      </c>
      <c r="BB97" s="444">
        <v>2671</v>
      </c>
      <c r="BC97" s="444">
        <v>2637</v>
      </c>
      <c r="BD97" s="444">
        <v>2666</v>
      </c>
      <c r="BE97" s="444">
        <v>2745</v>
      </c>
      <c r="BF97" s="444">
        <v>2817</v>
      </c>
      <c r="BG97" s="444">
        <v>2875</v>
      </c>
      <c r="BH97" s="444">
        <v>3115</v>
      </c>
      <c r="BI97" s="444">
        <v>3096</v>
      </c>
      <c r="BJ97" s="444">
        <v>4302.0177199999998</v>
      </c>
      <c r="BK97" s="444">
        <v>3632</v>
      </c>
      <c r="BL97" s="444">
        <v>3814</v>
      </c>
      <c r="BM97" s="444">
        <v>4508</v>
      </c>
      <c r="BN97" s="444">
        <v>4731</v>
      </c>
      <c r="BO97" s="444">
        <v>5083</v>
      </c>
      <c r="BP97" s="445">
        <v>5096</v>
      </c>
      <c r="BQ97" s="443">
        <v>4812</v>
      </c>
      <c r="BR97" s="444">
        <v>5103</v>
      </c>
      <c r="BS97" s="444">
        <v>5380</v>
      </c>
      <c r="BT97" s="444">
        <v>5863</v>
      </c>
      <c r="BU97" s="444">
        <v>6346</v>
      </c>
      <c r="BV97" s="444">
        <v>6522</v>
      </c>
      <c r="BW97" s="444">
        <v>7012</v>
      </c>
      <c r="BX97" s="444">
        <v>7568</v>
      </c>
      <c r="BY97" s="444">
        <v>8532</v>
      </c>
      <c r="BZ97" s="444">
        <v>9154</v>
      </c>
      <c r="CA97" s="444">
        <v>9388</v>
      </c>
      <c r="CB97" s="446">
        <v>9424</v>
      </c>
      <c r="CC97" s="444">
        <v>9278</v>
      </c>
      <c r="CD97" s="444">
        <v>8349</v>
      </c>
      <c r="CE97" s="444">
        <v>9245</v>
      </c>
      <c r="CF97" s="444">
        <v>10099</v>
      </c>
      <c r="CG97" s="444">
        <v>10432</v>
      </c>
      <c r="CH97" s="444">
        <v>11107</v>
      </c>
      <c r="CI97" s="444">
        <v>12093</v>
      </c>
      <c r="CJ97" s="444">
        <v>12664</v>
      </c>
      <c r="CK97" s="444">
        <v>13071</v>
      </c>
      <c r="CL97" s="444">
        <v>13048</v>
      </c>
      <c r="CM97" s="444">
        <v>12956</v>
      </c>
      <c r="CN97" s="444">
        <v>12437</v>
      </c>
      <c r="CO97" s="444">
        <v>11839</v>
      </c>
      <c r="CP97" s="444">
        <v>12483</v>
      </c>
      <c r="CQ97" s="444">
        <v>12423</v>
      </c>
      <c r="CR97" s="444">
        <v>12241</v>
      </c>
      <c r="CS97" s="444">
        <v>11804</v>
      </c>
      <c r="CT97" s="444">
        <v>11615</v>
      </c>
      <c r="CU97" s="444">
        <v>12312</v>
      </c>
      <c r="CV97" s="444">
        <v>13050</v>
      </c>
      <c r="CW97" s="444">
        <v>13690</v>
      </c>
      <c r="CX97" s="444">
        <v>14441</v>
      </c>
      <c r="CY97" s="444">
        <v>14661</v>
      </c>
      <c r="CZ97" s="444">
        <v>11548</v>
      </c>
      <c r="DA97" s="444">
        <v>13176</v>
      </c>
      <c r="DB97" s="444">
        <v>13246</v>
      </c>
      <c r="DC97" s="444">
        <v>13343</v>
      </c>
      <c r="DD97" s="444">
        <v>13573</v>
      </c>
      <c r="DE97" s="444">
        <v>13953</v>
      </c>
      <c r="DF97" s="444">
        <v>13742</v>
      </c>
      <c r="DG97" s="444">
        <v>14178</v>
      </c>
      <c r="DH97" s="444">
        <v>13817</v>
      </c>
      <c r="DI97" s="444">
        <v>14010</v>
      </c>
      <c r="DJ97" s="444">
        <v>14184</v>
      </c>
      <c r="DK97" s="444">
        <v>14112</v>
      </c>
      <c r="DL97" s="444">
        <v>14501</v>
      </c>
      <c r="DM97" s="444">
        <v>14504</v>
      </c>
      <c r="DN97" s="444">
        <v>14668</v>
      </c>
      <c r="DO97" s="444">
        <v>15251</v>
      </c>
      <c r="DP97" s="444">
        <v>15439</v>
      </c>
      <c r="DQ97" s="444">
        <v>16129</v>
      </c>
      <c r="DR97" s="444">
        <v>16250</v>
      </c>
      <c r="DS97" s="444">
        <v>16521</v>
      </c>
      <c r="DT97" s="444">
        <v>16374</v>
      </c>
      <c r="DU97" s="444">
        <v>16706</v>
      </c>
      <c r="DV97" s="444">
        <v>16649</v>
      </c>
      <c r="DW97" s="444">
        <v>16880</v>
      </c>
      <c r="DX97" s="444">
        <v>16320</v>
      </c>
      <c r="DY97" s="444">
        <v>15778</v>
      </c>
      <c r="DZ97" s="444">
        <v>15901</v>
      </c>
      <c r="EA97" s="444">
        <v>16434</v>
      </c>
      <c r="EB97" s="444">
        <v>17013</v>
      </c>
      <c r="EC97" s="444">
        <v>16813</v>
      </c>
      <c r="ED97" s="444">
        <v>16700</v>
      </c>
      <c r="EE97" s="444">
        <v>16756</v>
      </c>
      <c r="EF97" s="444">
        <v>16297</v>
      </c>
      <c r="EG97" s="444">
        <v>16632</v>
      </c>
      <c r="EH97" s="444"/>
      <c r="EI97" s="444"/>
      <c r="EJ97" s="444"/>
    </row>
    <row r="98" spans="1:140" s="301" customFormat="1" ht="22.5" customHeight="1">
      <c r="A98" s="912"/>
      <c r="B98" s="887"/>
      <c r="C98" s="896" t="s">
        <v>55</v>
      </c>
      <c r="D98" s="737" t="s">
        <v>48</v>
      </c>
      <c r="E98" s="738"/>
      <c r="F98" s="739"/>
      <c r="G98" s="739"/>
      <c r="H98" s="740"/>
      <c r="I98" s="447">
        <f t="shared" ref="I98:BT99" si="72">+I96-I94</f>
        <v>1343237.5</v>
      </c>
      <c r="J98" s="447">
        <f t="shared" si="72"/>
        <v>1314090.67</v>
      </c>
      <c r="K98" s="447">
        <f t="shared" si="72"/>
        <v>1428499.37</v>
      </c>
      <c r="L98" s="447">
        <f t="shared" si="72"/>
        <v>1540203.75</v>
      </c>
      <c r="M98" s="447">
        <f t="shared" si="72"/>
        <v>1635156.77</v>
      </c>
      <c r="N98" s="447">
        <f t="shared" si="72"/>
        <v>1774706.13</v>
      </c>
      <c r="O98" s="447">
        <f t="shared" si="72"/>
        <v>1751955.6400000001</v>
      </c>
      <c r="P98" s="447">
        <f t="shared" si="72"/>
        <v>1946681.65</v>
      </c>
      <c r="Q98" s="447">
        <f t="shared" si="72"/>
        <v>2039968.4800000002</v>
      </c>
      <c r="R98" s="447">
        <f t="shared" si="72"/>
        <v>2262698.4300000002</v>
      </c>
      <c r="S98" s="447">
        <f t="shared" si="72"/>
        <v>2279824.08</v>
      </c>
      <c r="T98" s="448">
        <f t="shared" si="72"/>
        <v>2230442.6999999997</v>
      </c>
      <c r="U98" s="449">
        <f t="shared" si="72"/>
        <v>2353744.1</v>
      </c>
      <c r="V98" s="447">
        <f t="shared" si="72"/>
        <v>2333280.5</v>
      </c>
      <c r="W98" s="447">
        <f t="shared" si="72"/>
        <v>2611616.85</v>
      </c>
      <c r="X98" s="447">
        <f t="shared" si="72"/>
        <v>2748038.42</v>
      </c>
      <c r="Y98" s="447">
        <f t="shared" si="72"/>
        <v>2590118.0199999996</v>
      </c>
      <c r="Z98" s="447">
        <f t="shared" si="72"/>
        <v>2689228.73</v>
      </c>
      <c r="AA98" s="447">
        <f t="shared" si="72"/>
        <v>2408456.1800000002</v>
      </c>
      <c r="AB98" s="450">
        <f t="shared" si="72"/>
        <v>1979365.9300000002</v>
      </c>
      <c r="AC98" s="450">
        <f t="shared" si="72"/>
        <v>1935183.8599999999</v>
      </c>
      <c r="AD98" s="450">
        <f t="shared" si="72"/>
        <v>2426877.5099999998</v>
      </c>
      <c r="AE98" s="450">
        <f t="shared" si="72"/>
        <v>2614902.71</v>
      </c>
      <c r="AF98" s="450">
        <f t="shared" si="72"/>
        <v>2155106.2399999998</v>
      </c>
      <c r="AG98" s="450">
        <f t="shared" si="72"/>
        <v>2167928.9500000002</v>
      </c>
      <c r="AH98" s="450">
        <f t="shared" si="72"/>
        <v>3503503.1100000003</v>
      </c>
      <c r="AI98" s="450">
        <f t="shared" si="72"/>
        <v>2472990.7000000002</v>
      </c>
      <c r="AJ98" s="450">
        <f t="shared" si="72"/>
        <v>2050481.3599999999</v>
      </c>
      <c r="AK98" s="450">
        <f t="shared" si="72"/>
        <v>2524352.2800000003</v>
      </c>
      <c r="AL98" s="450">
        <f t="shared" si="72"/>
        <v>1991691.59</v>
      </c>
      <c r="AM98" s="450">
        <f t="shared" si="72"/>
        <v>1929971.83</v>
      </c>
      <c r="AN98" s="450">
        <f t="shared" si="72"/>
        <v>1910056.5999999999</v>
      </c>
      <c r="AO98" s="450">
        <f t="shared" si="72"/>
        <v>1742536.75</v>
      </c>
      <c r="AP98" s="450">
        <f t="shared" si="72"/>
        <v>2086263.9999999998</v>
      </c>
      <c r="AQ98" s="450">
        <f t="shared" si="72"/>
        <v>2537278.3200000003</v>
      </c>
      <c r="AR98" s="450">
        <f t="shared" si="72"/>
        <v>2289104.5599999996</v>
      </c>
      <c r="AS98" s="450">
        <f t="shared" si="72"/>
        <v>2384611.0699999998</v>
      </c>
      <c r="AT98" s="450">
        <f t="shared" si="72"/>
        <v>2492372.38</v>
      </c>
      <c r="AU98" s="450">
        <f t="shared" si="72"/>
        <v>2368500.15</v>
      </c>
      <c r="AV98" s="450">
        <f t="shared" si="72"/>
        <v>2436844.0100000002</v>
      </c>
      <c r="AW98" s="450">
        <f t="shared" si="72"/>
        <v>2364214.5599999996</v>
      </c>
      <c r="AX98" s="450">
        <f t="shared" si="72"/>
        <v>2538448.0099999998</v>
      </c>
      <c r="AY98" s="450">
        <f t="shared" si="72"/>
        <v>2909960.9899999998</v>
      </c>
      <c r="AZ98" s="450">
        <f t="shared" si="72"/>
        <v>2779622.2</v>
      </c>
      <c r="BA98" s="450">
        <f t="shared" si="72"/>
        <v>2946982.55</v>
      </c>
      <c r="BB98" s="450">
        <f t="shared" si="72"/>
        <v>3028994.88</v>
      </c>
      <c r="BC98" s="450">
        <f t="shared" si="72"/>
        <v>2973147.8800000004</v>
      </c>
      <c r="BD98" s="450">
        <f t="shared" si="72"/>
        <v>3064474.3399999994</v>
      </c>
      <c r="BE98" s="450">
        <f t="shared" si="72"/>
        <v>3197995.42</v>
      </c>
      <c r="BF98" s="450">
        <f t="shared" si="72"/>
        <v>3362066.64</v>
      </c>
      <c r="BG98" s="450">
        <f t="shared" si="72"/>
        <v>3485172.1599999997</v>
      </c>
      <c r="BH98" s="450">
        <f t="shared" si="72"/>
        <v>3758731.26</v>
      </c>
      <c r="BI98" s="450">
        <f t="shared" si="72"/>
        <v>3976060.5500000007</v>
      </c>
      <c r="BJ98" s="450">
        <f t="shared" si="72"/>
        <v>4302017.7200000007</v>
      </c>
      <c r="BK98" s="450">
        <f t="shared" si="72"/>
        <v>5302513.25</v>
      </c>
      <c r="BL98" s="450">
        <f t="shared" si="72"/>
        <v>5807499.6300000008</v>
      </c>
      <c r="BM98" s="450">
        <f t="shared" si="72"/>
        <v>7446911.2600000007</v>
      </c>
      <c r="BN98" s="450">
        <f t="shared" si="72"/>
        <v>8192761.2700000014</v>
      </c>
      <c r="BO98" s="450">
        <f t="shared" si="72"/>
        <v>9142754.5399999991</v>
      </c>
      <c r="BP98" s="451">
        <f t="shared" si="72"/>
        <v>9371728.7400000002</v>
      </c>
      <c r="BQ98" s="449">
        <f t="shared" si="72"/>
        <v>8982864.6100000013</v>
      </c>
      <c r="BR98" s="450">
        <f t="shared" si="72"/>
        <v>9649233.870000001</v>
      </c>
      <c r="BS98" s="450">
        <f t="shared" si="72"/>
        <v>10410390.670000002</v>
      </c>
      <c r="BT98" s="450">
        <f t="shared" si="72"/>
        <v>11582663.780000001</v>
      </c>
      <c r="BU98" s="450">
        <f t="shared" ref="BU98:EF99" si="73">+BU96-BU94</f>
        <v>12427644.59</v>
      </c>
      <c r="BV98" s="450">
        <f t="shared" si="73"/>
        <v>12995438.91</v>
      </c>
      <c r="BW98" s="450">
        <f t="shared" si="73"/>
        <v>14427385.459999999</v>
      </c>
      <c r="BX98" s="450">
        <f t="shared" si="73"/>
        <v>16260133.639999999</v>
      </c>
      <c r="BY98" s="450">
        <f t="shared" si="73"/>
        <v>18633417.77</v>
      </c>
      <c r="BZ98" s="450">
        <f t="shared" si="73"/>
        <v>20501936.5</v>
      </c>
      <c r="CA98" s="450">
        <f t="shared" si="73"/>
        <v>21186309.75</v>
      </c>
      <c r="CB98" s="452">
        <f t="shared" si="73"/>
        <v>21052405.75</v>
      </c>
      <c r="CC98" s="450">
        <f t="shared" si="73"/>
        <v>20922382.66</v>
      </c>
      <c r="CD98" s="450">
        <f t="shared" si="73"/>
        <v>18555317.450000003</v>
      </c>
      <c r="CE98" s="450">
        <f t="shared" si="73"/>
        <v>20882458.779999997</v>
      </c>
      <c r="CF98" s="450">
        <f t="shared" si="73"/>
        <v>23574417.289999999</v>
      </c>
      <c r="CG98" s="450">
        <f t="shared" si="73"/>
        <v>24323756.91</v>
      </c>
      <c r="CH98" s="450">
        <f t="shared" si="73"/>
        <v>25114426.93</v>
      </c>
      <c r="CI98" s="450">
        <f t="shared" si="73"/>
        <v>27792887.890000001</v>
      </c>
      <c r="CJ98" s="450">
        <f t="shared" si="73"/>
        <v>28832582.989999998</v>
      </c>
      <c r="CK98" s="450">
        <f t="shared" si="73"/>
        <v>30119990.100000009</v>
      </c>
      <c r="CL98" s="450">
        <f t="shared" si="73"/>
        <v>29658309.470000006</v>
      </c>
      <c r="CM98" s="450">
        <f t="shared" si="73"/>
        <v>30196267.650000002</v>
      </c>
      <c r="CN98" s="450">
        <f t="shared" si="73"/>
        <v>30822349.860000007</v>
      </c>
      <c r="CO98" s="450">
        <f t="shared" si="73"/>
        <v>29673765.889999986</v>
      </c>
      <c r="CP98" s="450">
        <f t="shared" si="73"/>
        <v>31406264</v>
      </c>
      <c r="CQ98" s="450">
        <f t="shared" si="73"/>
        <v>32744815.780000005</v>
      </c>
      <c r="CR98" s="450">
        <f t="shared" si="73"/>
        <v>31942499.980000004</v>
      </c>
      <c r="CS98" s="450">
        <f t="shared" si="73"/>
        <v>31332757.789999999</v>
      </c>
      <c r="CT98" s="450">
        <f t="shared" si="73"/>
        <v>31557177.330000002</v>
      </c>
      <c r="CU98" s="450">
        <f t="shared" si="73"/>
        <v>35411494.329999998</v>
      </c>
      <c r="CV98" s="450">
        <f t="shared" si="73"/>
        <v>37918202.899999999</v>
      </c>
      <c r="CW98" s="450">
        <f t="shared" si="73"/>
        <v>40716342.569999993</v>
      </c>
      <c r="CX98" s="450">
        <f t="shared" si="73"/>
        <v>45090282.560000002</v>
      </c>
      <c r="CY98" s="450">
        <f t="shared" si="73"/>
        <v>46798815.639999993</v>
      </c>
      <c r="CZ98" s="450">
        <f t="shared" si="73"/>
        <v>46748042.659999996</v>
      </c>
      <c r="DA98" s="450">
        <f t="shared" si="73"/>
        <v>47992352.520000011</v>
      </c>
      <c r="DB98" s="450">
        <f t="shared" si="73"/>
        <v>48994800.729999997</v>
      </c>
      <c r="DC98" s="450">
        <f t="shared" si="73"/>
        <v>50865036.300000012</v>
      </c>
      <c r="DD98" s="450">
        <f t="shared" si="73"/>
        <v>50661426.640000001</v>
      </c>
      <c r="DE98" s="450">
        <f t="shared" si="73"/>
        <v>51664320.56000001</v>
      </c>
      <c r="DF98" s="450">
        <f t="shared" si="73"/>
        <v>50353211.050000012</v>
      </c>
      <c r="DG98" s="450">
        <f t="shared" si="73"/>
        <v>51900951.38000001</v>
      </c>
      <c r="DH98" s="450">
        <f t="shared" si="73"/>
        <v>49502844.859999999</v>
      </c>
      <c r="DI98" s="450">
        <f t="shared" si="73"/>
        <v>50971976.690000005</v>
      </c>
      <c r="DJ98" s="450">
        <f t="shared" si="73"/>
        <v>52065936.24000001</v>
      </c>
      <c r="DK98" s="450">
        <f t="shared" si="73"/>
        <v>52186938.829999991</v>
      </c>
      <c r="DL98" s="450">
        <f t="shared" si="73"/>
        <v>55521611.780000001</v>
      </c>
      <c r="DM98" s="450">
        <f t="shared" si="73"/>
        <v>57031080.040000021</v>
      </c>
      <c r="DN98" s="450">
        <f t="shared" si="73"/>
        <v>58336722.31000001</v>
      </c>
      <c r="DO98" s="450">
        <f t="shared" si="73"/>
        <v>60793448.300000012</v>
      </c>
      <c r="DP98" s="450">
        <f t="shared" si="73"/>
        <v>61758993.440000027</v>
      </c>
      <c r="DQ98" s="450">
        <f t="shared" si="73"/>
        <v>64333120.860000014</v>
      </c>
      <c r="DR98" s="450">
        <f t="shared" si="73"/>
        <v>64453614.719999969</v>
      </c>
      <c r="DS98" s="450">
        <f t="shared" si="73"/>
        <v>65603813.390000045</v>
      </c>
      <c r="DT98" s="450">
        <f t="shared" si="73"/>
        <v>65740671.719999984</v>
      </c>
      <c r="DU98" s="450">
        <f t="shared" si="73"/>
        <v>67259857.729999959</v>
      </c>
      <c r="DV98" s="450">
        <f t="shared" si="73"/>
        <v>67561293.469999984</v>
      </c>
      <c r="DW98" s="450">
        <f t="shared" si="73"/>
        <v>68044144.659999996</v>
      </c>
      <c r="DX98" s="450">
        <f t="shared" si="73"/>
        <v>64244294.92999997</v>
      </c>
      <c r="DY98" s="450">
        <f t="shared" si="73"/>
        <v>63368071.779999979</v>
      </c>
      <c r="DZ98" s="450">
        <f t="shared" si="73"/>
        <v>63450632.290000007</v>
      </c>
      <c r="EA98" s="450">
        <f t="shared" si="73"/>
        <v>66618469.619999982</v>
      </c>
      <c r="EB98" s="450">
        <f t="shared" si="73"/>
        <v>67346767.920000061</v>
      </c>
      <c r="EC98" s="450">
        <f t="shared" si="73"/>
        <v>64747401.199999936</v>
      </c>
      <c r="ED98" s="450">
        <f t="shared" si="73"/>
        <v>62207643.259999946</v>
      </c>
      <c r="EE98" s="450">
        <f t="shared" si="73"/>
        <v>62288061.110000007</v>
      </c>
      <c r="EF98" s="450">
        <f t="shared" si="73"/>
        <v>59534199.300000027</v>
      </c>
      <c r="EG98" s="450">
        <f t="shared" ref="EG98:EJ99" si="74">+EG96-EG94</f>
        <v>61690979.729999818</v>
      </c>
      <c r="EH98" s="450">
        <f t="shared" si="74"/>
        <v>0</v>
      </c>
      <c r="EI98" s="450">
        <f t="shared" si="74"/>
        <v>0</v>
      </c>
      <c r="EJ98" s="450">
        <f t="shared" si="74"/>
        <v>0</v>
      </c>
    </row>
    <row r="99" spans="1:140" s="301" customFormat="1" ht="22.5" customHeight="1" thickBot="1">
      <c r="A99" s="912"/>
      <c r="B99" s="887"/>
      <c r="C99" s="897"/>
      <c r="D99" s="723" t="s">
        <v>49</v>
      </c>
      <c r="E99" s="741"/>
      <c r="F99" s="742"/>
      <c r="G99" s="742"/>
      <c r="H99" s="743"/>
      <c r="I99" s="453">
        <f t="shared" si="72"/>
        <v>1197</v>
      </c>
      <c r="J99" s="453">
        <f t="shared" si="72"/>
        <v>1172</v>
      </c>
      <c r="K99" s="453">
        <f t="shared" si="72"/>
        <v>1160</v>
      </c>
      <c r="L99" s="453">
        <f t="shared" si="72"/>
        <v>1187</v>
      </c>
      <c r="M99" s="453">
        <f t="shared" si="72"/>
        <v>1182</v>
      </c>
      <c r="N99" s="453">
        <f t="shared" si="72"/>
        <v>1250</v>
      </c>
      <c r="O99" s="453">
        <f t="shared" si="72"/>
        <v>1176</v>
      </c>
      <c r="P99" s="453">
        <f t="shared" si="72"/>
        <v>1325</v>
      </c>
      <c r="Q99" s="453">
        <f t="shared" si="72"/>
        <v>1348</v>
      </c>
      <c r="R99" s="453">
        <f t="shared" si="72"/>
        <v>1460</v>
      </c>
      <c r="S99" s="453">
        <f t="shared" si="72"/>
        <v>1427</v>
      </c>
      <c r="T99" s="454">
        <f t="shared" si="72"/>
        <v>1333</v>
      </c>
      <c r="U99" s="455">
        <f t="shared" si="72"/>
        <v>1439</v>
      </c>
      <c r="V99" s="453">
        <f t="shared" si="72"/>
        <v>1455</v>
      </c>
      <c r="W99" s="453">
        <f t="shared" si="72"/>
        <v>1549</v>
      </c>
      <c r="X99" s="453">
        <f t="shared" si="72"/>
        <v>1678</v>
      </c>
      <c r="Y99" s="453">
        <f t="shared" si="72"/>
        <v>1619</v>
      </c>
      <c r="Z99" s="453">
        <f t="shared" si="72"/>
        <v>1651</v>
      </c>
      <c r="AA99" s="453">
        <f t="shared" si="72"/>
        <v>1428</v>
      </c>
      <c r="AB99" s="456">
        <f t="shared" si="72"/>
        <v>1236</v>
      </c>
      <c r="AC99" s="456">
        <f t="shared" si="72"/>
        <v>1162</v>
      </c>
      <c r="AD99" s="456">
        <f t="shared" si="72"/>
        <v>1435</v>
      </c>
      <c r="AE99" s="456">
        <f t="shared" si="72"/>
        <v>1554</v>
      </c>
      <c r="AF99" s="456">
        <f t="shared" si="72"/>
        <v>1302</v>
      </c>
      <c r="AG99" s="456">
        <f t="shared" si="72"/>
        <v>1257</v>
      </c>
      <c r="AH99" s="456">
        <f t="shared" si="72"/>
        <v>2010</v>
      </c>
      <c r="AI99" s="456">
        <f t="shared" si="72"/>
        <v>1488</v>
      </c>
      <c r="AJ99" s="456">
        <f t="shared" si="72"/>
        <v>1188</v>
      </c>
      <c r="AK99" s="456">
        <f t="shared" si="72"/>
        <v>1416</v>
      </c>
      <c r="AL99" s="456">
        <f t="shared" si="72"/>
        <v>1238</v>
      </c>
      <c r="AM99" s="456">
        <f t="shared" si="72"/>
        <v>1177</v>
      </c>
      <c r="AN99" s="456">
        <f t="shared" si="72"/>
        <v>1134</v>
      </c>
      <c r="AO99" s="456">
        <f t="shared" si="72"/>
        <v>1050</v>
      </c>
      <c r="AP99" s="456">
        <f t="shared" si="72"/>
        <v>1267</v>
      </c>
      <c r="AQ99" s="456">
        <f t="shared" si="72"/>
        <v>1759</v>
      </c>
      <c r="AR99" s="456">
        <f t="shared" si="72"/>
        <v>1643</v>
      </c>
      <c r="AS99" s="456">
        <f t="shared" si="72"/>
        <v>1612</v>
      </c>
      <c r="AT99" s="456">
        <f t="shared" si="72"/>
        <v>1656</v>
      </c>
      <c r="AU99" s="456">
        <f t="shared" si="72"/>
        <v>1549</v>
      </c>
      <c r="AV99" s="456">
        <f t="shared" si="72"/>
        <v>1546</v>
      </c>
      <c r="AW99" s="456">
        <f t="shared" si="72"/>
        <v>1518</v>
      </c>
      <c r="AX99" s="456">
        <f t="shared" si="72"/>
        <v>1578</v>
      </c>
      <c r="AY99" s="456">
        <f t="shared" si="72"/>
        <v>1693</v>
      </c>
      <c r="AZ99" s="456">
        <f t="shared" si="72"/>
        <v>1658</v>
      </c>
      <c r="BA99" s="456">
        <f t="shared" si="72"/>
        <v>1719</v>
      </c>
      <c r="BB99" s="456">
        <f t="shared" si="72"/>
        <v>1709</v>
      </c>
      <c r="BC99" s="456">
        <f t="shared" si="72"/>
        <v>1663</v>
      </c>
      <c r="BD99" s="456">
        <f t="shared" si="72"/>
        <v>1690</v>
      </c>
      <c r="BE99" s="456">
        <f t="shared" si="72"/>
        <v>1758</v>
      </c>
      <c r="BF99" s="456">
        <f t="shared" si="72"/>
        <v>1796</v>
      </c>
      <c r="BG99" s="456">
        <f t="shared" si="72"/>
        <v>1844</v>
      </c>
      <c r="BH99" s="456">
        <f t="shared" si="72"/>
        <v>2064</v>
      </c>
      <c r="BI99" s="456">
        <f t="shared" si="72"/>
        <v>2025</v>
      </c>
      <c r="BJ99" s="456">
        <f t="shared" si="72"/>
        <v>3209.0177199999998</v>
      </c>
      <c r="BK99" s="456">
        <f t="shared" si="72"/>
        <v>2510</v>
      </c>
      <c r="BL99" s="456">
        <f t="shared" si="72"/>
        <v>2673</v>
      </c>
      <c r="BM99" s="456">
        <f t="shared" si="72"/>
        <v>3348</v>
      </c>
      <c r="BN99" s="456">
        <f t="shared" si="72"/>
        <v>3548</v>
      </c>
      <c r="BO99" s="456">
        <f t="shared" si="72"/>
        <v>3878</v>
      </c>
      <c r="BP99" s="457">
        <f t="shared" si="72"/>
        <v>3871</v>
      </c>
      <c r="BQ99" s="455">
        <f t="shared" si="72"/>
        <v>3569</v>
      </c>
      <c r="BR99" s="456">
        <f t="shared" si="72"/>
        <v>3847</v>
      </c>
      <c r="BS99" s="456">
        <f t="shared" si="72"/>
        <v>4101</v>
      </c>
      <c r="BT99" s="456">
        <f t="shared" si="72"/>
        <v>4559</v>
      </c>
      <c r="BU99" s="456">
        <f t="shared" si="73"/>
        <v>5039</v>
      </c>
      <c r="BV99" s="456">
        <f t="shared" si="73"/>
        <v>5189</v>
      </c>
      <c r="BW99" s="456">
        <f t="shared" si="73"/>
        <v>5637</v>
      </c>
      <c r="BX99" s="456">
        <f t="shared" si="73"/>
        <v>6160</v>
      </c>
      <c r="BY99" s="456">
        <f t="shared" si="73"/>
        <v>7073</v>
      </c>
      <c r="BZ99" s="456">
        <f t="shared" si="73"/>
        <v>7666</v>
      </c>
      <c r="CA99" s="456">
        <f t="shared" si="73"/>
        <v>7865</v>
      </c>
      <c r="CB99" s="458">
        <f t="shared" si="73"/>
        <v>7866</v>
      </c>
      <c r="CC99" s="456">
        <f t="shared" si="73"/>
        <v>7676</v>
      </c>
      <c r="CD99" s="456">
        <f t="shared" si="73"/>
        <v>6698</v>
      </c>
      <c r="CE99" s="456">
        <f t="shared" si="73"/>
        <v>7513</v>
      </c>
      <c r="CF99" s="456">
        <f t="shared" si="73"/>
        <v>8310</v>
      </c>
      <c r="CG99" s="456">
        <f t="shared" si="73"/>
        <v>8582</v>
      </c>
      <c r="CH99" s="456">
        <f t="shared" si="73"/>
        <v>9206</v>
      </c>
      <c r="CI99" s="456">
        <f t="shared" si="73"/>
        <v>10131</v>
      </c>
      <c r="CJ99" s="456">
        <f t="shared" si="73"/>
        <v>10769</v>
      </c>
      <c r="CK99" s="456">
        <f t="shared" si="73"/>
        <v>11101</v>
      </c>
      <c r="CL99" s="456">
        <f t="shared" si="73"/>
        <v>10992</v>
      </c>
      <c r="CM99" s="456">
        <f t="shared" si="73"/>
        <v>10892</v>
      </c>
      <c r="CN99" s="456">
        <f t="shared" si="73"/>
        <v>10356</v>
      </c>
      <c r="CO99" s="456">
        <f t="shared" si="73"/>
        <v>9828</v>
      </c>
      <c r="CP99" s="456">
        <f t="shared" si="73"/>
        <v>10336</v>
      </c>
      <c r="CQ99" s="456">
        <f t="shared" si="73"/>
        <v>10217</v>
      </c>
      <c r="CR99" s="456">
        <f t="shared" si="73"/>
        <v>9991</v>
      </c>
      <c r="CS99" s="456">
        <f t="shared" si="73"/>
        <v>9501</v>
      </c>
      <c r="CT99" s="456">
        <f t="shared" si="73"/>
        <v>9279</v>
      </c>
      <c r="CU99" s="456">
        <f t="shared" si="73"/>
        <v>9905</v>
      </c>
      <c r="CV99" s="456">
        <f t="shared" si="73"/>
        <v>10597</v>
      </c>
      <c r="CW99" s="456">
        <f t="shared" si="73"/>
        <v>11162</v>
      </c>
      <c r="CX99" s="456">
        <f t="shared" si="73"/>
        <v>11810</v>
      </c>
      <c r="CY99" s="456">
        <f t="shared" si="73"/>
        <v>11962</v>
      </c>
      <c r="CZ99" s="456">
        <f t="shared" si="73"/>
        <v>10639</v>
      </c>
      <c r="DA99" s="456">
        <f t="shared" si="73"/>
        <v>10500</v>
      </c>
      <c r="DB99" s="456">
        <f t="shared" si="73"/>
        <v>10506</v>
      </c>
      <c r="DC99" s="456">
        <f t="shared" si="73"/>
        <v>10604</v>
      </c>
      <c r="DD99" s="456">
        <f t="shared" si="73"/>
        <v>10740</v>
      </c>
      <c r="DE99" s="456">
        <f t="shared" si="73"/>
        <v>11029</v>
      </c>
      <c r="DF99" s="456">
        <f t="shared" si="73"/>
        <v>10744</v>
      </c>
      <c r="DG99" s="456">
        <f t="shared" si="73"/>
        <v>11091</v>
      </c>
      <c r="DH99" s="456">
        <f t="shared" si="73"/>
        <v>10668</v>
      </c>
      <c r="DI99" s="456">
        <f t="shared" si="73"/>
        <v>10776</v>
      </c>
      <c r="DJ99" s="456">
        <f t="shared" si="73"/>
        <v>10901</v>
      </c>
      <c r="DK99" s="456">
        <f t="shared" si="73"/>
        <v>10737</v>
      </c>
      <c r="DL99" s="456">
        <f t="shared" si="73"/>
        <v>11027</v>
      </c>
      <c r="DM99" s="456">
        <f t="shared" si="73"/>
        <v>10846</v>
      </c>
      <c r="DN99" s="456">
        <f t="shared" si="73"/>
        <v>10913</v>
      </c>
      <c r="DO99" s="456">
        <f t="shared" si="73"/>
        <v>11337</v>
      </c>
      <c r="DP99" s="456">
        <f t="shared" si="73"/>
        <v>11425</v>
      </c>
      <c r="DQ99" s="456">
        <f t="shared" si="73"/>
        <v>11984</v>
      </c>
      <c r="DR99" s="456">
        <f t="shared" si="73"/>
        <v>11925</v>
      </c>
      <c r="DS99" s="456">
        <f t="shared" si="73"/>
        <v>11989</v>
      </c>
      <c r="DT99" s="456">
        <f t="shared" si="73"/>
        <v>11757</v>
      </c>
      <c r="DU99" s="456">
        <f t="shared" si="73"/>
        <v>11880</v>
      </c>
      <c r="DV99" s="456">
        <f t="shared" si="73"/>
        <v>11731</v>
      </c>
      <c r="DW99" s="456">
        <f t="shared" si="73"/>
        <v>11810</v>
      </c>
      <c r="DX99" s="456">
        <f t="shared" si="73"/>
        <v>11166</v>
      </c>
      <c r="DY99" s="456">
        <f t="shared" si="73"/>
        <v>10712</v>
      </c>
      <c r="DZ99" s="456">
        <f t="shared" si="73"/>
        <v>10670</v>
      </c>
      <c r="EA99" s="456">
        <f t="shared" si="73"/>
        <v>11045</v>
      </c>
      <c r="EB99" s="456">
        <f t="shared" si="73"/>
        <v>11295</v>
      </c>
      <c r="EC99" s="456">
        <f t="shared" si="73"/>
        <v>10958</v>
      </c>
      <c r="ED99" s="456">
        <f t="shared" si="73"/>
        <v>10683</v>
      </c>
      <c r="EE99" s="456">
        <f t="shared" si="73"/>
        <v>10634</v>
      </c>
      <c r="EF99" s="456">
        <f t="shared" si="73"/>
        <v>10117</v>
      </c>
      <c r="EG99" s="456">
        <f t="shared" si="74"/>
        <v>10345</v>
      </c>
      <c r="EH99" s="456">
        <f t="shared" si="74"/>
        <v>0</v>
      </c>
      <c r="EI99" s="456">
        <f t="shared" si="74"/>
        <v>0</v>
      </c>
      <c r="EJ99" s="456">
        <f t="shared" si="74"/>
        <v>0</v>
      </c>
    </row>
    <row r="100" spans="1:140" s="301" customFormat="1" ht="22.5" customHeight="1">
      <c r="A100" s="912"/>
      <c r="B100" s="887"/>
      <c r="C100" s="898" t="s">
        <v>56</v>
      </c>
      <c r="D100" s="704" t="s">
        <v>48</v>
      </c>
      <c r="E100" s="705"/>
      <c r="F100" s="706"/>
      <c r="G100" s="706"/>
      <c r="H100" s="707"/>
      <c r="I100" s="413">
        <v>203989.13</v>
      </c>
      <c r="J100" s="413">
        <v>206164</v>
      </c>
      <c r="K100" s="413">
        <v>207842.5</v>
      </c>
      <c r="L100" s="413">
        <v>212484</v>
      </c>
      <c r="M100" s="413">
        <v>220856</v>
      </c>
      <c r="N100" s="413">
        <v>262667.5</v>
      </c>
      <c r="O100" s="413">
        <v>290159.52</v>
      </c>
      <c r="P100" s="413">
        <v>286584</v>
      </c>
      <c r="Q100" s="413">
        <v>356691.46</v>
      </c>
      <c r="R100" s="413">
        <v>307022.73</v>
      </c>
      <c r="S100" s="413">
        <v>447545.83</v>
      </c>
      <c r="T100" s="503">
        <v>854613.74</v>
      </c>
      <c r="U100" s="415">
        <v>626490.43999999994</v>
      </c>
      <c r="V100" s="413">
        <v>717204.15</v>
      </c>
      <c r="W100" s="413">
        <v>782782.4</v>
      </c>
      <c r="X100" s="413">
        <v>844217.81</v>
      </c>
      <c r="Y100" s="413">
        <v>908353.24</v>
      </c>
      <c r="Z100" s="525">
        <v>895437.18</v>
      </c>
      <c r="AA100" s="525">
        <v>839367.66</v>
      </c>
      <c r="AB100" s="459">
        <v>830739.95</v>
      </c>
      <c r="AC100" s="459">
        <v>609441.77</v>
      </c>
      <c r="AD100" s="459">
        <v>620539.89</v>
      </c>
      <c r="AE100" s="459">
        <v>861135.32</v>
      </c>
      <c r="AF100" s="459">
        <v>900641.89</v>
      </c>
      <c r="AG100" s="459">
        <v>605087.14</v>
      </c>
      <c r="AH100" s="459">
        <v>600527.65</v>
      </c>
      <c r="AI100" s="459">
        <v>1508984.56</v>
      </c>
      <c r="AJ100" s="459">
        <v>755575.05</v>
      </c>
      <c r="AK100" s="459">
        <v>637878.32999999996</v>
      </c>
      <c r="AL100" s="459">
        <v>1059701.08</v>
      </c>
      <c r="AM100" s="459">
        <v>581939.35</v>
      </c>
      <c r="AN100" s="459">
        <v>629265.01</v>
      </c>
      <c r="AO100" s="459">
        <v>678175.47</v>
      </c>
      <c r="AP100" s="459">
        <v>611915.09</v>
      </c>
      <c r="AQ100" s="459">
        <v>625767</v>
      </c>
      <c r="AR100" s="459">
        <v>1012597.92</v>
      </c>
      <c r="AS100" s="459">
        <v>638605.59</v>
      </c>
      <c r="AT100" s="459">
        <v>673566</v>
      </c>
      <c r="AU100" s="459">
        <v>806491.16</v>
      </c>
      <c r="AV100" s="459">
        <v>725498.28</v>
      </c>
      <c r="AW100" s="459">
        <v>786675.14</v>
      </c>
      <c r="AX100" s="459">
        <v>733803.98</v>
      </c>
      <c r="AY100" s="459">
        <v>753766.32000000007</v>
      </c>
      <c r="AZ100" s="459">
        <v>809723.49</v>
      </c>
      <c r="BA100" s="459">
        <v>950338.94000000006</v>
      </c>
      <c r="BB100" s="459">
        <v>763819.61999999976</v>
      </c>
      <c r="BC100" s="459">
        <v>903317.90999999992</v>
      </c>
      <c r="BD100" s="459">
        <v>753057.15</v>
      </c>
      <c r="BE100" s="459">
        <v>951901.56</v>
      </c>
      <c r="BF100" s="459">
        <v>816141.97000000009</v>
      </c>
      <c r="BG100" s="459">
        <v>899117.2300000001</v>
      </c>
      <c r="BH100" s="459">
        <v>803025.53999999992</v>
      </c>
      <c r="BI100" s="459">
        <v>1190751.77</v>
      </c>
      <c r="BJ100" s="459">
        <v>1005839.0499999999</v>
      </c>
      <c r="BK100" s="459">
        <v>802738.81</v>
      </c>
      <c r="BL100" s="459">
        <v>1216293.1000000001</v>
      </c>
      <c r="BM100" s="459">
        <v>844024.86</v>
      </c>
      <c r="BN100" s="459">
        <v>966216.65999999992</v>
      </c>
      <c r="BO100" s="459">
        <v>980475.12999999989</v>
      </c>
      <c r="BP100" s="460">
        <v>1528442.69</v>
      </c>
      <c r="BQ100" s="461">
        <v>2395779.37</v>
      </c>
      <c r="BR100" s="459">
        <v>1718688.5299999996</v>
      </c>
      <c r="BS100" s="459">
        <v>1735066.2100000002</v>
      </c>
      <c r="BT100" s="459">
        <v>1146004.1200000001</v>
      </c>
      <c r="BU100" s="459">
        <v>1984355.05</v>
      </c>
      <c r="BV100" s="459">
        <v>2478228.21</v>
      </c>
      <c r="BW100" s="459">
        <v>2469257.4500000002</v>
      </c>
      <c r="BX100" s="459">
        <v>2772590.33</v>
      </c>
      <c r="BY100" s="459">
        <v>3211385.24</v>
      </c>
      <c r="BZ100" s="459">
        <v>2474798.1299999976</v>
      </c>
      <c r="CA100" s="459">
        <v>4294592.55</v>
      </c>
      <c r="CB100" s="462">
        <v>4219465.24</v>
      </c>
      <c r="CC100" s="459">
        <v>5362526.67</v>
      </c>
      <c r="CD100" s="459">
        <v>8173212.3200000003</v>
      </c>
      <c r="CE100" s="459">
        <v>3219137.18</v>
      </c>
      <c r="CF100" s="459">
        <v>3763052.0099999993</v>
      </c>
      <c r="CG100" s="459">
        <v>4816277.67</v>
      </c>
      <c r="CH100" s="459">
        <v>5570899.2400000002</v>
      </c>
      <c r="CI100" s="459">
        <v>1663648.52</v>
      </c>
      <c r="CJ100" s="459">
        <v>4084409.91</v>
      </c>
      <c r="CK100" s="459">
        <v>4321903.7</v>
      </c>
      <c r="CL100" s="459">
        <v>5548313.3900000025</v>
      </c>
      <c r="CM100" s="459">
        <v>4714988.8199999994</v>
      </c>
      <c r="CN100" s="459">
        <v>4222646.0299999993</v>
      </c>
      <c r="CO100" s="459">
        <v>7129869.5999999968</v>
      </c>
      <c r="CP100" s="459">
        <v>5520480.5600000005</v>
      </c>
      <c r="CQ100" s="459">
        <v>5956189.0600000005</v>
      </c>
      <c r="CR100" s="459">
        <v>6849589.4699999988</v>
      </c>
      <c r="CS100" s="459">
        <v>6795250.7099999944</v>
      </c>
      <c r="CT100" s="459">
        <v>6903812.9699999988</v>
      </c>
      <c r="CU100" s="459">
        <v>4614232.2500000028</v>
      </c>
      <c r="CV100" s="459">
        <v>5984002.2500000028</v>
      </c>
      <c r="CW100" s="459">
        <v>6680262.6000000034</v>
      </c>
      <c r="CX100" s="459">
        <v>5590065.1399999941</v>
      </c>
      <c r="CY100" s="459">
        <v>13183005.23</v>
      </c>
      <c r="CZ100" s="459">
        <v>3570130.2299999897</v>
      </c>
      <c r="DA100" s="459">
        <v>7562023.3599999743</v>
      </c>
      <c r="DB100" s="459">
        <v>7814835.7499999776</v>
      </c>
      <c r="DC100" s="459">
        <v>7709846.1399999736</v>
      </c>
      <c r="DD100" s="459">
        <v>9160670.4899999686</v>
      </c>
      <c r="DE100" s="459">
        <v>9581542.7799999602</v>
      </c>
      <c r="DF100" s="459">
        <v>9349529.199999962</v>
      </c>
      <c r="DG100" s="459">
        <v>8754115.4699999783</v>
      </c>
      <c r="DH100" s="459">
        <v>9203854.9799999762</v>
      </c>
      <c r="DI100" s="459">
        <v>9420932.0599999689</v>
      </c>
      <c r="DJ100" s="459">
        <v>8568032.5399999823</v>
      </c>
      <c r="DK100" s="459">
        <v>9423852.4199999776</v>
      </c>
      <c r="DL100" s="459">
        <v>8932909.869999975</v>
      </c>
      <c r="DM100" s="459">
        <v>8459123.1599999927</v>
      </c>
      <c r="DN100" s="459">
        <v>9270560.2099999804</v>
      </c>
      <c r="DO100" s="459">
        <v>9751059.0099999737</v>
      </c>
      <c r="DP100" s="459">
        <v>10384862.079999974</v>
      </c>
      <c r="DQ100" s="459">
        <v>10571467.089999959</v>
      </c>
      <c r="DR100" s="459">
        <v>10782342.869999994</v>
      </c>
      <c r="DS100" s="459">
        <v>10746029.979999982</v>
      </c>
      <c r="DT100" s="459">
        <v>12200271.229999974</v>
      </c>
      <c r="DU100" s="459">
        <v>11699063.339999994</v>
      </c>
      <c r="DV100" s="459">
        <v>11852682.269999899</v>
      </c>
      <c r="DW100" s="459">
        <v>11955259.459999967</v>
      </c>
      <c r="DX100" s="459">
        <v>12299904.489999991</v>
      </c>
      <c r="DY100" s="459">
        <v>11859327.090000013</v>
      </c>
      <c r="DZ100" s="459">
        <v>11189331.410000002</v>
      </c>
      <c r="EA100" s="459">
        <v>11249248.289999997</v>
      </c>
      <c r="EB100" s="459">
        <v>10827640.049999988</v>
      </c>
      <c r="EC100" s="459">
        <v>11028081.359999996</v>
      </c>
      <c r="ED100" s="459">
        <v>11549950.869999995</v>
      </c>
      <c r="EE100" s="459">
        <v>12986821.770000003</v>
      </c>
      <c r="EF100" s="459">
        <v>12788632.269999992</v>
      </c>
      <c r="EG100" s="459">
        <v>11548949.059999999</v>
      </c>
      <c r="EH100" s="459"/>
      <c r="EI100" s="459"/>
      <c r="EJ100" s="459"/>
    </row>
    <row r="101" spans="1:140" s="301" customFormat="1" ht="22.5" customHeight="1" thickBot="1">
      <c r="A101" s="912"/>
      <c r="B101" s="887"/>
      <c r="C101" s="899"/>
      <c r="D101" s="744" t="s">
        <v>49</v>
      </c>
      <c r="E101" s="745"/>
      <c r="F101" s="746"/>
      <c r="G101" s="746"/>
      <c r="H101" s="747"/>
      <c r="I101" s="463">
        <v>161</v>
      </c>
      <c r="J101" s="463">
        <v>176</v>
      </c>
      <c r="K101" s="463">
        <v>189</v>
      </c>
      <c r="L101" s="463">
        <v>179</v>
      </c>
      <c r="M101" s="463">
        <v>183</v>
      </c>
      <c r="N101" s="463">
        <v>172</v>
      </c>
      <c r="O101" s="463">
        <v>240</v>
      </c>
      <c r="P101" s="463">
        <v>181</v>
      </c>
      <c r="Q101" s="463">
        <v>274</v>
      </c>
      <c r="R101" s="463">
        <v>164</v>
      </c>
      <c r="S101" s="463">
        <v>273</v>
      </c>
      <c r="T101" s="526">
        <v>472</v>
      </c>
      <c r="U101" s="465">
        <v>298</v>
      </c>
      <c r="V101" s="463">
        <v>369</v>
      </c>
      <c r="W101" s="463">
        <v>473</v>
      </c>
      <c r="X101" s="463">
        <v>420</v>
      </c>
      <c r="Y101" s="463">
        <v>477</v>
      </c>
      <c r="Z101" s="527">
        <v>490</v>
      </c>
      <c r="AA101" s="527">
        <v>436</v>
      </c>
      <c r="AB101" s="490">
        <v>408</v>
      </c>
      <c r="AC101" s="490">
        <v>308</v>
      </c>
      <c r="AD101" s="490">
        <v>273</v>
      </c>
      <c r="AE101" s="490">
        <v>423</v>
      </c>
      <c r="AF101" s="490">
        <v>429</v>
      </c>
      <c r="AG101" s="490">
        <v>305</v>
      </c>
      <c r="AH101" s="490">
        <v>283</v>
      </c>
      <c r="AI101" s="490">
        <v>835</v>
      </c>
      <c r="AJ101" s="490">
        <v>471</v>
      </c>
      <c r="AK101" s="490">
        <v>367</v>
      </c>
      <c r="AL101" s="490">
        <v>569</v>
      </c>
      <c r="AM101" s="490">
        <v>310</v>
      </c>
      <c r="AN101" s="490">
        <v>392</v>
      </c>
      <c r="AO101" s="490">
        <f>188+159</f>
        <v>347</v>
      </c>
      <c r="AP101" s="490">
        <v>331</v>
      </c>
      <c r="AQ101" s="490">
        <v>361</v>
      </c>
      <c r="AR101" s="490">
        <v>598</v>
      </c>
      <c r="AS101" s="490">
        <v>445</v>
      </c>
      <c r="AT101" s="490">
        <v>391</v>
      </c>
      <c r="AU101" s="490">
        <v>496</v>
      </c>
      <c r="AV101" s="490">
        <v>436</v>
      </c>
      <c r="AW101" s="490">
        <v>434</v>
      </c>
      <c r="AX101" s="490">
        <v>387</v>
      </c>
      <c r="AY101" s="490">
        <v>437</v>
      </c>
      <c r="AZ101" s="490">
        <v>370</v>
      </c>
      <c r="BA101" s="490">
        <v>502</v>
      </c>
      <c r="BB101" s="490">
        <v>400</v>
      </c>
      <c r="BC101" s="490">
        <v>461</v>
      </c>
      <c r="BD101" s="490">
        <v>389</v>
      </c>
      <c r="BE101" s="490">
        <v>440</v>
      </c>
      <c r="BF101" s="490">
        <v>403</v>
      </c>
      <c r="BG101" s="490">
        <v>417</v>
      </c>
      <c r="BH101" s="490">
        <v>309</v>
      </c>
      <c r="BI101" s="490">
        <v>624</v>
      </c>
      <c r="BJ101" s="490">
        <v>427</v>
      </c>
      <c r="BK101" s="490">
        <v>390</v>
      </c>
      <c r="BL101" s="490">
        <v>507</v>
      </c>
      <c r="BM101" s="490">
        <v>283</v>
      </c>
      <c r="BN101" s="490">
        <v>397</v>
      </c>
      <c r="BO101" s="490">
        <v>406</v>
      </c>
      <c r="BP101" s="491">
        <v>644</v>
      </c>
      <c r="BQ101" s="492">
        <v>1020</v>
      </c>
      <c r="BR101" s="490">
        <v>573</v>
      </c>
      <c r="BS101" s="490">
        <v>595</v>
      </c>
      <c r="BT101" s="490">
        <v>415</v>
      </c>
      <c r="BU101" s="490">
        <v>564</v>
      </c>
      <c r="BV101" s="490">
        <v>938</v>
      </c>
      <c r="BW101" s="490">
        <v>812</v>
      </c>
      <c r="BX101" s="490">
        <v>1023</v>
      </c>
      <c r="BY101" s="490">
        <v>1027</v>
      </c>
      <c r="BZ101" s="490">
        <v>781</v>
      </c>
      <c r="CA101" s="490">
        <v>1416</v>
      </c>
      <c r="CB101" s="493">
        <v>1233</v>
      </c>
      <c r="CC101" s="490">
        <v>1791</v>
      </c>
      <c r="CD101" s="490">
        <v>2830</v>
      </c>
      <c r="CE101" s="490">
        <v>977</v>
      </c>
      <c r="CF101" s="490">
        <v>1359</v>
      </c>
      <c r="CG101" s="490">
        <v>1554</v>
      </c>
      <c r="CH101" s="490">
        <v>1527</v>
      </c>
      <c r="CI101" s="490">
        <v>603</v>
      </c>
      <c r="CJ101" s="490">
        <v>1154</v>
      </c>
      <c r="CK101" s="490">
        <v>1462</v>
      </c>
      <c r="CL101" s="490">
        <v>1613</v>
      </c>
      <c r="CM101" s="490">
        <v>1637</v>
      </c>
      <c r="CN101" s="490">
        <v>1983</v>
      </c>
      <c r="CO101" s="490">
        <v>2044</v>
      </c>
      <c r="CP101" s="490">
        <v>1595</v>
      </c>
      <c r="CQ101" s="490">
        <v>2063</v>
      </c>
      <c r="CR101" s="490">
        <v>2032</v>
      </c>
      <c r="CS101" s="490">
        <v>2146</v>
      </c>
      <c r="CT101" s="490">
        <v>2088</v>
      </c>
      <c r="CU101" s="490">
        <v>1403</v>
      </c>
      <c r="CV101" s="490">
        <v>1336</v>
      </c>
      <c r="CW101" s="490">
        <v>1663</v>
      </c>
      <c r="CX101" s="490">
        <v>1569</v>
      </c>
      <c r="CY101" s="490">
        <v>1426</v>
      </c>
      <c r="CZ101" s="490">
        <v>3168</v>
      </c>
      <c r="DA101" s="490">
        <v>1857</v>
      </c>
      <c r="DB101" s="490">
        <v>1754</v>
      </c>
      <c r="DC101" s="490">
        <v>1688</v>
      </c>
      <c r="DD101" s="490">
        <v>1847</v>
      </c>
      <c r="DE101" s="490">
        <v>1970</v>
      </c>
      <c r="DF101" s="490">
        <v>2007</v>
      </c>
      <c r="DG101" s="490">
        <v>1772</v>
      </c>
      <c r="DH101" s="490">
        <v>1789</v>
      </c>
      <c r="DI101" s="490">
        <v>1900</v>
      </c>
      <c r="DJ101" s="490">
        <v>1782</v>
      </c>
      <c r="DK101" s="490">
        <v>1919</v>
      </c>
      <c r="DL101" s="490">
        <v>1721</v>
      </c>
      <c r="DM101" s="490">
        <v>1715</v>
      </c>
      <c r="DN101" s="490">
        <v>1824</v>
      </c>
      <c r="DO101" s="490">
        <v>1853</v>
      </c>
      <c r="DP101" s="490">
        <v>1854</v>
      </c>
      <c r="DQ101" s="490">
        <v>1866</v>
      </c>
      <c r="DR101" s="490">
        <v>1927</v>
      </c>
      <c r="DS101" s="490">
        <v>1937</v>
      </c>
      <c r="DT101" s="490">
        <v>2140</v>
      </c>
      <c r="DU101" s="490">
        <v>2026</v>
      </c>
      <c r="DV101" s="490">
        <v>2010</v>
      </c>
      <c r="DW101" s="490">
        <v>2068</v>
      </c>
      <c r="DX101" s="490">
        <v>1994</v>
      </c>
      <c r="DY101" s="490">
        <v>1906</v>
      </c>
      <c r="DZ101" s="490">
        <v>1751</v>
      </c>
      <c r="EA101" s="490">
        <v>1842</v>
      </c>
      <c r="EB101" s="490">
        <v>1792</v>
      </c>
      <c r="EC101" s="490">
        <v>1716</v>
      </c>
      <c r="ED101" s="490">
        <v>1801</v>
      </c>
      <c r="EE101" s="490">
        <v>2021</v>
      </c>
      <c r="EF101" s="490">
        <v>1994</v>
      </c>
      <c r="EG101" s="490">
        <v>1869</v>
      </c>
      <c r="EH101" s="490"/>
      <c r="EI101" s="490"/>
      <c r="EJ101" s="490"/>
    </row>
    <row r="102" spans="1:140" s="300" customFormat="1" ht="22.5" customHeight="1" thickBot="1">
      <c r="A102" s="913"/>
      <c r="B102" s="903"/>
      <c r="C102" s="756" t="s">
        <v>57</v>
      </c>
      <c r="D102" s="757" t="s">
        <v>48</v>
      </c>
      <c r="E102" s="750"/>
      <c r="F102" s="748"/>
      <c r="G102" s="748"/>
      <c r="H102" s="749"/>
      <c r="I102" s="469">
        <v>246825</v>
      </c>
      <c r="J102" s="469">
        <v>177017.17</v>
      </c>
      <c r="K102" s="469">
        <v>322251.2</v>
      </c>
      <c r="L102" s="469">
        <v>324188.38</v>
      </c>
      <c r="M102" s="528">
        <f t="shared" ref="M102:BX102" si="75">+M98+M100-L98</f>
        <v>315809.02</v>
      </c>
      <c r="N102" s="528">
        <f t="shared" si="75"/>
        <v>402216.85999999987</v>
      </c>
      <c r="O102" s="528">
        <f t="shared" si="75"/>
        <v>267409.03000000026</v>
      </c>
      <c r="P102" s="528">
        <f t="shared" si="75"/>
        <v>481310.00999999978</v>
      </c>
      <c r="Q102" s="528">
        <f t="shared" si="75"/>
        <v>449978.2900000005</v>
      </c>
      <c r="R102" s="528">
        <f t="shared" si="75"/>
        <v>529752.67999999993</v>
      </c>
      <c r="S102" s="528">
        <f t="shared" si="75"/>
        <v>464671.48</v>
      </c>
      <c r="T102" s="529">
        <f t="shared" si="75"/>
        <v>805232.3599999994</v>
      </c>
      <c r="U102" s="471">
        <f t="shared" si="75"/>
        <v>749791.84000000032</v>
      </c>
      <c r="V102" s="528">
        <f t="shared" si="75"/>
        <v>696740.54999999981</v>
      </c>
      <c r="W102" s="528">
        <f t="shared" si="75"/>
        <v>1061118.75</v>
      </c>
      <c r="X102" s="528">
        <f t="shared" si="75"/>
        <v>980639.37999999989</v>
      </c>
      <c r="Y102" s="528">
        <f t="shared" si="75"/>
        <v>750432.83999999985</v>
      </c>
      <c r="Z102" s="528">
        <f t="shared" si="75"/>
        <v>994547.8900000006</v>
      </c>
      <c r="AA102" s="528">
        <f t="shared" si="75"/>
        <v>558595.11000000034</v>
      </c>
      <c r="AB102" s="469">
        <f t="shared" si="75"/>
        <v>401649.69999999972</v>
      </c>
      <c r="AC102" s="469">
        <f t="shared" si="75"/>
        <v>565259.69999999972</v>
      </c>
      <c r="AD102" s="469">
        <f t="shared" si="75"/>
        <v>1112233.54</v>
      </c>
      <c r="AE102" s="469">
        <f t="shared" si="75"/>
        <v>1049160.52</v>
      </c>
      <c r="AF102" s="469">
        <f t="shared" si="75"/>
        <v>440845.41999999993</v>
      </c>
      <c r="AG102" s="469">
        <f t="shared" si="75"/>
        <v>617909.85000000056</v>
      </c>
      <c r="AH102" s="469">
        <f t="shared" si="75"/>
        <v>1936101.81</v>
      </c>
      <c r="AI102" s="469">
        <f t="shared" si="75"/>
        <v>478472.14999999991</v>
      </c>
      <c r="AJ102" s="469">
        <f t="shared" si="75"/>
        <v>333065.70999999996</v>
      </c>
      <c r="AK102" s="469">
        <f t="shared" si="75"/>
        <v>1111749.2500000005</v>
      </c>
      <c r="AL102" s="469">
        <f t="shared" si="75"/>
        <v>527040.38999999966</v>
      </c>
      <c r="AM102" s="469">
        <f t="shared" si="75"/>
        <v>520219.59000000008</v>
      </c>
      <c r="AN102" s="469">
        <f t="shared" si="75"/>
        <v>609349.7799999998</v>
      </c>
      <c r="AO102" s="469">
        <f t="shared" si="75"/>
        <v>510655.61999999988</v>
      </c>
      <c r="AP102" s="469">
        <f t="shared" si="75"/>
        <v>955642.33999999985</v>
      </c>
      <c r="AQ102" s="469">
        <f t="shared" si="75"/>
        <v>1076781.3200000005</v>
      </c>
      <c r="AR102" s="469">
        <f t="shared" si="75"/>
        <v>764424.15999999922</v>
      </c>
      <c r="AS102" s="469">
        <f t="shared" si="75"/>
        <v>734112.10000000009</v>
      </c>
      <c r="AT102" s="469">
        <f t="shared" si="75"/>
        <v>781327.31</v>
      </c>
      <c r="AU102" s="469">
        <f t="shared" si="75"/>
        <v>682618.93000000017</v>
      </c>
      <c r="AV102" s="469">
        <f t="shared" si="75"/>
        <v>793842.14000000013</v>
      </c>
      <c r="AW102" s="469">
        <f t="shared" si="75"/>
        <v>714045.68999999948</v>
      </c>
      <c r="AX102" s="469">
        <f t="shared" si="75"/>
        <v>908037.43000000017</v>
      </c>
      <c r="AY102" s="469">
        <f t="shared" si="75"/>
        <v>1125279.2999999998</v>
      </c>
      <c r="AZ102" s="469">
        <f t="shared" si="75"/>
        <v>679384.70000000065</v>
      </c>
      <c r="BA102" s="469">
        <f t="shared" si="75"/>
        <v>1117699.2899999996</v>
      </c>
      <c r="BB102" s="469">
        <f t="shared" si="75"/>
        <v>845831.94999999972</v>
      </c>
      <c r="BC102" s="469">
        <f t="shared" si="75"/>
        <v>847470.91000000015</v>
      </c>
      <c r="BD102" s="469">
        <f t="shared" si="75"/>
        <v>844383.60999999894</v>
      </c>
      <c r="BE102" s="469">
        <f t="shared" si="75"/>
        <v>1085422.6400000006</v>
      </c>
      <c r="BF102" s="469">
        <f t="shared" si="75"/>
        <v>980213.19000000041</v>
      </c>
      <c r="BG102" s="469">
        <f t="shared" si="75"/>
        <v>1022222.7499999995</v>
      </c>
      <c r="BH102" s="469">
        <f t="shared" si="75"/>
        <v>1076584.6400000001</v>
      </c>
      <c r="BI102" s="469">
        <f t="shared" si="75"/>
        <v>1408081.0600000005</v>
      </c>
      <c r="BJ102" s="469">
        <f t="shared" si="75"/>
        <v>1331796.2199999997</v>
      </c>
      <c r="BK102" s="469">
        <f t="shared" si="75"/>
        <v>1803234.3399999999</v>
      </c>
      <c r="BL102" s="469">
        <f t="shared" si="75"/>
        <v>1721279.4800000004</v>
      </c>
      <c r="BM102" s="469">
        <f t="shared" si="75"/>
        <v>2483436.4900000002</v>
      </c>
      <c r="BN102" s="469">
        <f t="shared" si="75"/>
        <v>1712066.6700000009</v>
      </c>
      <c r="BO102" s="469">
        <f t="shared" si="75"/>
        <v>1930468.3999999966</v>
      </c>
      <c r="BP102" s="530">
        <f t="shared" si="75"/>
        <v>1757416.8900000006</v>
      </c>
      <c r="BQ102" s="531">
        <f t="shared" si="75"/>
        <v>2006915.2400000002</v>
      </c>
      <c r="BR102" s="532">
        <f t="shared" si="75"/>
        <v>2385057.7899999991</v>
      </c>
      <c r="BS102" s="532">
        <f t="shared" si="75"/>
        <v>2496223.0100000016</v>
      </c>
      <c r="BT102" s="532">
        <f t="shared" si="75"/>
        <v>2318277.2300000004</v>
      </c>
      <c r="BU102" s="532">
        <f t="shared" si="75"/>
        <v>2829335.8599999994</v>
      </c>
      <c r="BV102" s="532">
        <f t="shared" si="75"/>
        <v>3046022.5300000012</v>
      </c>
      <c r="BW102" s="532">
        <f t="shared" si="75"/>
        <v>3901204</v>
      </c>
      <c r="BX102" s="532">
        <f t="shared" si="75"/>
        <v>4605338.51</v>
      </c>
      <c r="BY102" s="532">
        <f t="shared" ref="BY102:EJ102" si="76">+BY98+BY100-BX98</f>
        <v>5584669.3699999992</v>
      </c>
      <c r="BZ102" s="532">
        <f t="shared" si="76"/>
        <v>4343316.8599999994</v>
      </c>
      <c r="CA102" s="532">
        <f t="shared" si="76"/>
        <v>4978965.8000000007</v>
      </c>
      <c r="CB102" s="533">
        <f t="shared" si="76"/>
        <v>4085561.2400000021</v>
      </c>
      <c r="CC102" s="472">
        <f t="shared" si="76"/>
        <v>5232503.5799999982</v>
      </c>
      <c r="CD102" s="469">
        <f t="shared" si="76"/>
        <v>5806147.1100000031</v>
      </c>
      <c r="CE102" s="469">
        <f t="shared" si="76"/>
        <v>5546278.5099999942</v>
      </c>
      <c r="CF102" s="469">
        <f t="shared" si="76"/>
        <v>6455010.5199999996</v>
      </c>
      <c r="CG102" s="469">
        <f t="shared" si="76"/>
        <v>5565617.2899999991</v>
      </c>
      <c r="CH102" s="469">
        <f t="shared" si="76"/>
        <v>6361569.2600000016</v>
      </c>
      <c r="CI102" s="469">
        <f t="shared" si="76"/>
        <v>4342109.4800000004</v>
      </c>
      <c r="CJ102" s="469">
        <f t="shared" si="76"/>
        <v>5124105.0099999979</v>
      </c>
      <c r="CK102" s="469">
        <f t="shared" si="76"/>
        <v>5609310.8100000136</v>
      </c>
      <c r="CL102" s="469">
        <f t="shared" si="76"/>
        <v>5086632.7599999979</v>
      </c>
      <c r="CM102" s="469">
        <f t="shared" si="76"/>
        <v>5252946.9999999925</v>
      </c>
      <c r="CN102" s="469">
        <f t="shared" si="76"/>
        <v>4848728.2400000058</v>
      </c>
      <c r="CO102" s="469">
        <f t="shared" si="76"/>
        <v>5981285.6299999729</v>
      </c>
      <c r="CP102" s="469">
        <f t="shared" si="76"/>
        <v>7252978.6700000167</v>
      </c>
      <c r="CQ102" s="469">
        <f t="shared" si="76"/>
        <v>7294740.8400000036</v>
      </c>
      <c r="CR102" s="469">
        <f t="shared" si="76"/>
        <v>6047273.6699999981</v>
      </c>
      <c r="CS102" s="469">
        <f t="shared" si="76"/>
        <v>6185508.5199999884</v>
      </c>
      <c r="CT102" s="469">
        <f t="shared" si="76"/>
        <v>7128232.5099999979</v>
      </c>
      <c r="CU102" s="469">
        <f t="shared" si="76"/>
        <v>8468549.2499999963</v>
      </c>
      <c r="CV102" s="469">
        <f t="shared" si="76"/>
        <v>8490710.8200000003</v>
      </c>
      <c r="CW102" s="469">
        <f t="shared" si="76"/>
        <v>9478402.2699999958</v>
      </c>
      <c r="CX102" s="469">
        <f t="shared" si="76"/>
        <v>9964005.1300000027</v>
      </c>
      <c r="CY102" s="469">
        <f t="shared" si="76"/>
        <v>14891538.309999987</v>
      </c>
      <c r="CZ102" s="469">
        <f t="shared" si="76"/>
        <v>3519357.2499999925</v>
      </c>
      <c r="DA102" s="469">
        <f t="shared" si="76"/>
        <v>8806333.2199999914</v>
      </c>
      <c r="DB102" s="469">
        <f t="shared" si="76"/>
        <v>8817283.9599999636</v>
      </c>
      <c r="DC102" s="469">
        <f t="shared" si="76"/>
        <v>9580081.709999986</v>
      </c>
      <c r="DD102" s="469">
        <f t="shared" si="76"/>
        <v>8957060.8299999535</v>
      </c>
      <c r="DE102" s="469">
        <f t="shared" si="76"/>
        <v>10584436.699999973</v>
      </c>
      <c r="DF102" s="469">
        <f t="shared" si="76"/>
        <v>8038419.6899999604</v>
      </c>
      <c r="DG102" s="469">
        <f t="shared" si="76"/>
        <v>10301855.799999975</v>
      </c>
      <c r="DH102" s="469">
        <f t="shared" si="76"/>
        <v>6805748.4599999636</v>
      </c>
      <c r="DI102" s="469">
        <f t="shared" si="76"/>
        <v>10890063.889999971</v>
      </c>
      <c r="DJ102" s="469">
        <f t="shared" si="76"/>
        <v>9661992.0899999887</v>
      </c>
      <c r="DK102" s="469">
        <f t="shared" si="76"/>
        <v>9544855.0099999607</v>
      </c>
      <c r="DL102" s="469">
        <f t="shared" si="76"/>
        <v>12267582.819999985</v>
      </c>
      <c r="DM102" s="469">
        <f t="shared" si="76"/>
        <v>9968591.4200000167</v>
      </c>
      <c r="DN102" s="469">
        <f t="shared" si="76"/>
        <v>10576202.479999974</v>
      </c>
      <c r="DO102" s="469">
        <f t="shared" si="76"/>
        <v>12207784.999999978</v>
      </c>
      <c r="DP102" s="469">
        <f t="shared" si="76"/>
        <v>11350407.219999984</v>
      </c>
      <c r="DQ102" s="469">
        <f t="shared" si="76"/>
        <v>13145594.509999946</v>
      </c>
      <c r="DR102" s="469">
        <f t="shared" si="76"/>
        <v>10902836.729999945</v>
      </c>
      <c r="DS102" s="469">
        <f t="shared" si="76"/>
        <v>11896228.650000066</v>
      </c>
      <c r="DT102" s="469">
        <f t="shared" si="76"/>
        <v>12337129.559999913</v>
      </c>
      <c r="DU102" s="469">
        <f t="shared" si="76"/>
        <v>13218249.349999964</v>
      </c>
      <c r="DV102" s="469">
        <f t="shared" si="76"/>
        <v>12154118.009999931</v>
      </c>
      <c r="DW102" s="469">
        <f t="shared" si="76"/>
        <v>12438110.649999976</v>
      </c>
      <c r="DX102" s="469">
        <f t="shared" si="76"/>
        <v>8500054.7599999607</v>
      </c>
      <c r="DY102" s="469">
        <f t="shared" si="76"/>
        <v>10983103.94000002</v>
      </c>
      <c r="DZ102" s="469">
        <f t="shared" si="76"/>
        <v>11271891.920000024</v>
      </c>
      <c r="EA102" s="469">
        <f t="shared" si="76"/>
        <v>14417085.619999975</v>
      </c>
      <c r="EB102" s="469">
        <f t="shared" si="76"/>
        <v>11555938.350000061</v>
      </c>
      <c r="EC102" s="469">
        <f t="shared" si="76"/>
        <v>8428714.6399998665</v>
      </c>
      <c r="ED102" s="469">
        <f t="shared" si="76"/>
        <v>9010192.9299999997</v>
      </c>
      <c r="EE102" s="469">
        <f t="shared" si="76"/>
        <v>13067239.620000064</v>
      </c>
      <c r="EF102" s="469">
        <f t="shared" si="76"/>
        <v>10034770.460000016</v>
      </c>
      <c r="EG102" s="469">
        <f t="shared" si="76"/>
        <v>13705729.489999786</v>
      </c>
      <c r="EH102" s="469">
        <f t="shared" si="76"/>
        <v>-61690979.729999818</v>
      </c>
      <c r="EI102" s="469">
        <f t="shared" si="76"/>
        <v>0</v>
      </c>
      <c r="EJ102" s="469">
        <f t="shared" si="76"/>
        <v>0</v>
      </c>
    </row>
    <row r="103" spans="1:140">
      <c r="M103" s="758"/>
      <c r="U103" s="759"/>
      <c r="V103" s="759"/>
      <c r="W103" s="759"/>
      <c r="X103" s="759"/>
      <c r="Y103" s="759"/>
      <c r="Z103" s="759"/>
      <c r="AA103" s="759"/>
      <c r="AB103" s="759"/>
      <c r="AC103" s="759"/>
      <c r="AD103" s="759"/>
      <c r="AE103" s="759"/>
      <c r="AF103" s="759"/>
      <c r="AG103" s="759"/>
      <c r="AH103" s="759"/>
      <c r="AI103" s="759"/>
      <c r="AJ103" s="759"/>
      <c r="AK103" s="759"/>
      <c r="AL103" s="759"/>
      <c r="AM103" s="759"/>
      <c r="AN103" s="759"/>
      <c r="AO103" s="759"/>
      <c r="AP103" s="759"/>
      <c r="AQ103" s="759"/>
      <c r="AR103" s="759"/>
      <c r="AS103" s="759"/>
      <c r="AT103" s="759"/>
      <c r="AU103" s="759"/>
      <c r="AV103" s="759"/>
      <c r="AW103" s="759"/>
      <c r="AX103" s="759"/>
      <c r="AY103" s="759"/>
      <c r="AZ103" s="759"/>
      <c r="BA103" s="759"/>
      <c r="BB103" s="759"/>
      <c r="BC103" s="759"/>
      <c r="BD103" s="759"/>
      <c r="BE103" s="759"/>
      <c r="BF103" s="759"/>
      <c r="BG103" s="759"/>
      <c r="BH103" s="759"/>
      <c r="BI103" s="759"/>
      <c r="BJ103" s="759"/>
      <c r="BK103" s="759"/>
      <c r="BL103" s="759"/>
      <c r="BM103" s="759"/>
      <c r="BN103" s="759"/>
      <c r="BO103" s="759"/>
      <c r="BP103" s="759"/>
      <c r="BQ103" s="759"/>
      <c r="BR103" s="759"/>
      <c r="BS103" s="759"/>
      <c r="BT103" s="759"/>
      <c r="BU103" s="759"/>
      <c r="BV103" s="759"/>
      <c r="BW103" s="759"/>
      <c r="BX103" s="759"/>
      <c r="BY103" s="759"/>
      <c r="BZ103" s="759"/>
      <c r="CA103" s="759"/>
      <c r="CB103" s="759"/>
      <c r="CC103" s="759"/>
      <c r="CD103" s="759"/>
      <c r="CE103" s="759"/>
      <c r="CF103" s="759"/>
      <c r="CG103" s="759"/>
      <c r="CH103" s="759"/>
      <c r="CI103" s="759"/>
      <c r="CJ103" s="759"/>
      <c r="CK103" s="759"/>
      <c r="CL103" s="759"/>
      <c r="CM103" s="759"/>
      <c r="CN103" s="759"/>
      <c r="CO103" s="759"/>
      <c r="CP103" s="759"/>
      <c r="CQ103" s="759"/>
      <c r="CR103" s="759"/>
      <c r="CS103" s="759"/>
      <c r="CT103" s="759"/>
      <c r="CU103" s="759"/>
      <c r="CV103" s="759"/>
      <c r="CW103" s="759"/>
      <c r="CX103" s="759"/>
      <c r="CY103" s="759"/>
      <c r="CZ103" s="759"/>
      <c r="DA103" s="759"/>
      <c r="DB103" s="759"/>
      <c r="DC103" s="759"/>
      <c r="DD103" s="759"/>
      <c r="DE103" s="759"/>
      <c r="DF103" s="759"/>
      <c r="DG103" s="759"/>
      <c r="DH103" s="759"/>
      <c r="DI103" s="759"/>
      <c r="DJ103" s="759"/>
      <c r="DK103" s="759"/>
      <c r="DL103" s="759"/>
      <c r="DM103" s="759"/>
    </row>
    <row r="104" spans="1:140">
      <c r="C104" s="534"/>
      <c r="D104" s="534"/>
      <c r="E104" s="534"/>
      <c r="F104" s="534"/>
      <c r="G104" s="534"/>
      <c r="H104" s="534"/>
      <c r="I104" s="534"/>
      <c r="J104" s="534"/>
      <c r="K104" s="535"/>
      <c r="L104" s="535"/>
      <c r="M104" s="535"/>
      <c r="N104" s="535"/>
      <c r="O104" s="535"/>
      <c r="P104" s="535"/>
      <c r="Q104" s="535"/>
      <c r="R104" s="534"/>
      <c r="S104" s="535"/>
      <c r="T104" s="535"/>
      <c r="U104" s="535"/>
      <c r="V104" s="535"/>
      <c r="W104" s="535"/>
      <c r="X104" s="535"/>
      <c r="Y104" s="535"/>
      <c r="Z104" s="535"/>
      <c r="AA104" s="535"/>
      <c r="AB104" s="535"/>
      <c r="AC104" s="535"/>
      <c r="AD104" s="535"/>
      <c r="AE104" s="535"/>
      <c r="AF104" s="535"/>
      <c r="AG104" s="535"/>
      <c r="AH104" s="535"/>
      <c r="AI104" s="535"/>
      <c r="AJ104" s="535"/>
      <c r="AK104" s="535"/>
      <c r="AL104" s="535"/>
      <c r="AM104" s="535"/>
      <c r="AN104" s="535"/>
      <c r="AO104" s="535"/>
      <c r="AP104" s="535"/>
      <c r="AQ104" s="535"/>
      <c r="AR104" s="535"/>
      <c r="AS104" s="535"/>
      <c r="AT104" s="535"/>
      <c r="AU104" s="535"/>
      <c r="AV104" s="535"/>
      <c r="AW104" s="535"/>
      <c r="AX104" s="535"/>
      <c r="AY104" s="535"/>
      <c r="AZ104" s="535"/>
      <c r="BA104" s="535"/>
      <c r="BB104" s="535"/>
      <c r="BC104" s="535"/>
      <c r="BD104" s="535"/>
      <c r="BE104" s="535"/>
      <c r="BF104" s="535"/>
      <c r="BG104" s="535"/>
      <c r="BH104" s="535"/>
      <c r="BI104" s="535"/>
      <c r="BJ104" s="535"/>
      <c r="BK104" s="535"/>
      <c r="BL104" s="535"/>
      <c r="BM104" s="535"/>
      <c r="BN104" s="535"/>
      <c r="BO104" s="535"/>
      <c r="BP104" s="535"/>
      <c r="BQ104" s="535"/>
      <c r="BR104" s="535"/>
      <c r="BS104" s="535"/>
      <c r="BT104" s="535"/>
      <c r="BU104" s="535"/>
      <c r="BV104" s="535"/>
      <c r="BW104" s="535"/>
      <c r="BX104" s="535"/>
      <c r="BY104" s="535"/>
      <c r="BZ104" s="535"/>
      <c r="CA104" s="535"/>
      <c r="CB104" s="535"/>
      <c r="CC104" s="535"/>
      <c r="CD104" s="535"/>
      <c r="CE104" s="535"/>
      <c r="CF104" s="535"/>
      <c r="CG104" s="535"/>
      <c r="CH104" s="535"/>
      <c r="CI104" s="535"/>
      <c r="CJ104" s="535"/>
      <c r="CK104" s="535"/>
      <c r="CL104" s="535"/>
      <c r="CM104" s="535"/>
      <c r="CN104" s="535"/>
      <c r="CO104" s="535"/>
      <c r="CP104" s="535"/>
      <c r="CQ104" s="535"/>
      <c r="CR104" s="535"/>
      <c r="CS104" s="535"/>
      <c r="CT104" s="535"/>
      <c r="CU104" s="535"/>
      <c r="CV104" s="535"/>
      <c r="CW104" s="535"/>
      <c r="CX104" s="535"/>
      <c r="CY104" s="535"/>
      <c r="CZ104" s="535"/>
      <c r="DA104" s="535"/>
      <c r="DB104" s="535"/>
      <c r="DC104" s="535"/>
      <c r="DD104" s="535"/>
      <c r="DE104" s="535"/>
      <c r="DF104" s="535"/>
      <c r="DG104" s="535"/>
      <c r="DH104" s="535"/>
      <c r="DI104" s="535"/>
      <c r="DJ104" s="535"/>
      <c r="DK104" s="535"/>
      <c r="DL104" s="535"/>
      <c r="DM104" s="535"/>
    </row>
    <row r="105" spans="1:140">
      <c r="L105" s="760"/>
    </row>
  </sheetData>
  <mergeCells count="65">
    <mergeCell ref="A55:A102"/>
    <mergeCell ref="C28:C29"/>
    <mergeCell ref="C30:C31"/>
    <mergeCell ref="C32:C33"/>
    <mergeCell ref="C34:C35"/>
    <mergeCell ref="C36:C37"/>
    <mergeCell ref="C46:C47"/>
    <mergeCell ref="C48:C49"/>
    <mergeCell ref="C50:C51"/>
    <mergeCell ref="C52:C53"/>
    <mergeCell ref="A22:B38"/>
    <mergeCell ref="C22:C23"/>
    <mergeCell ref="C24:C25"/>
    <mergeCell ref="B55:B70"/>
    <mergeCell ref="C55:C56"/>
    <mergeCell ref="C57:C58"/>
    <mergeCell ref="DA3:DL3"/>
    <mergeCell ref="CC3:CN3"/>
    <mergeCell ref="CO3:CZ3"/>
    <mergeCell ref="U3:AF3"/>
    <mergeCell ref="AG3:AR3"/>
    <mergeCell ref="AS3:BD3"/>
    <mergeCell ref="BE3:BP3"/>
    <mergeCell ref="BQ3:CB3"/>
    <mergeCell ref="DY3:EJ3"/>
    <mergeCell ref="DM3:DX3"/>
    <mergeCell ref="C84:C85"/>
    <mergeCell ref="B87:B102"/>
    <mergeCell ref="C87:C88"/>
    <mergeCell ref="C89:C90"/>
    <mergeCell ref="C92:C93"/>
    <mergeCell ref="C94:C95"/>
    <mergeCell ref="C96:C97"/>
    <mergeCell ref="C98:C99"/>
    <mergeCell ref="C100:C101"/>
    <mergeCell ref="C82:C83"/>
    <mergeCell ref="A39:B54"/>
    <mergeCell ref="C39:C40"/>
    <mergeCell ref="C41:C42"/>
    <mergeCell ref="C44:C45"/>
    <mergeCell ref="C60:C61"/>
    <mergeCell ref="C62:C63"/>
    <mergeCell ref="C64:C65"/>
    <mergeCell ref="C66:C67"/>
    <mergeCell ref="C68:C69"/>
    <mergeCell ref="B71:B86"/>
    <mergeCell ref="C71:C72"/>
    <mergeCell ref="C73:C74"/>
    <mergeCell ref="C76:C77"/>
    <mergeCell ref="C78:C79"/>
    <mergeCell ref="C80:C81"/>
    <mergeCell ref="A5:B21"/>
    <mergeCell ref="C5:C6"/>
    <mergeCell ref="C7:C8"/>
    <mergeCell ref="C9:C10"/>
    <mergeCell ref="C11:C12"/>
    <mergeCell ref="C13:C14"/>
    <mergeCell ref="C15:C16"/>
    <mergeCell ref="C17:C18"/>
    <mergeCell ref="C19:C20"/>
    <mergeCell ref="A3:B4"/>
    <mergeCell ref="C3:C4"/>
    <mergeCell ref="D3:D4"/>
    <mergeCell ref="E3:H3"/>
    <mergeCell ref="I3:T3"/>
  </mergeCells>
  <phoneticPr fontId="25" type="noConversion"/>
  <printOptions horizontalCentered="1"/>
  <pageMargins left="0.5" right="0.5" top="0.7" bottom="0.7" header="0" footer="0"/>
  <pageSetup paperSize="9" scale="18" orientation="landscape" r:id="rId1"/>
  <headerFooter alignWithMargins="0"/>
  <rowBreaks count="1" manualBreakCount="1">
    <brk id="54" max="136" man="1"/>
  </rowBreaks>
  <colBreaks count="1" manualBreakCount="1">
    <brk id="77" max="101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NPL (ALL)</vt:lpstr>
      <vt:lpstr>By Product(Link)</vt:lpstr>
      <vt:lpstr>AKPK</vt:lpstr>
      <vt:lpstr>_Q1000000</vt:lpstr>
      <vt:lpstr>_Q70000</vt:lpstr>
      <vt:lpstr>_Q80000</vt:lpstr>
      <vt:lpstr>_Q90000</vt:lpstr>
      <vt:lpstr>_Q900000</vt:lpstr>
      <vt:lpstr>AKPK!Print_Area</vt:lpstr>
      <vt:lpstr>'By Product(Link)'!Print_Area</vt:lpstr>
      <vt:lpstr>'NPL (ALL)'!Print_Area</vt:lpstr>
      <vt:lpstr>AKPK!Print_Titles</vt:lpstr>
      <vt:lpstr>'By Product(Link)'!Print_Titles</vt:lpstr>
      <vt:lpstr>Q1100000</vt:lpstr>
      <vt:lpstr>Q1200000</vt:lpstr>
      <vt:lpstr>Q1300000</vt:lpstr>
      <vt:lpstr>Q1310000</vt:lpstr>
      <vt:lpstr>Q1320000</vt:lpstr>
    </vt:vector>
  </TitlesOfParts>
  <Company>AEON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A04120</dc:creator>
  <cp:lastModifiedBy>A140100</cp:lastModifiedBy>
  <cp:lastPrinted>2017-11-06T03:00:54Z</cp:lastPrinted>
  <dcterms:created xsi:type="dcterms:W3CDTF">2007-03-21T01:43:14Z</dcterms:created>
  <dcterms:modified xsi:type="dcterms:W3CDTF">2018-12-07T10:48:50Z</dcterms:modified>
</cp:coreProperties>
</file>