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30" windowWidth="19215" windowHeight="7530" firstSheet="1" activeTab="1"/>
  </bookViews>
  <sheets>
    <sheet name="AEON-iCash Campaign 1730 (2" sheetId="5" state="hidden" r:id="rId1"/>
    <sheet name="AEON-iCash Campaign 1000 gifts" sheetId="4" r:id="rId2"/>
    <sheet name="PF PL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2">[1]HP!#REF!</definedName>
    <definedName name="___APP12" localSheetId="2">#REF!</definedName>
    <definedName name="___DAT1" localSheetId="2">#REF!</definedName>
    <definedName name="___DAT10" localSheetId="2">#REF!</definedName>
    <definedName name="___DAT12" localSheetId="2">'[2]세부(보험료1)'!#REF!</definedName>
    <definedName name="___DAT2" localSheetId="2">#REF!</definedName>
    <definedName name="___DAT3" localSheetId="2">#REF!</definedName>
    <definedName name="___DAT4" localSheetId="2">#REF!</definedName>
    <definedName name="___DAT5" localSheetId="2">#REF!</definedName>
    <definedName name="___DAT6" localSheetId="2">#REF!</definedName>
    <definedName name="___DAT7" localSheetId="2">#REF!</definedName>
    <definedName name="___DAT8" localSheetId="2">#REF!</definedName>
    <definedName name="___DAT9" localSheetId="2">#REF!</definedName>
    <definedName name="___mdf1" localSheetId="2">#REF!</definedName>
    <definedName name="___OCT334">'[3]FF-3'!$A$1:$IV$8</definedName>
    <definedName name="__APP12" localSheetId="2">#REF!</definedName>
    <definedName name="__DAT1" localSheetId="2">#REF!</definedName>
    <definedName name="__DAT10" localSheetId="2">#REF!</definedName>
    <definedName name="__DAT12" localSheetId="2">'[2]세부(보험료1)'!#REF!</definedName>
    <definedName name="__DAT2" localSheetId="2">#REF!</definedName>
    <definedName name="__DAT3" localSheetId="2">#REF!</definedName>
    <definedName name="__DAT4" localSheetId="2">#REF!</definedName>
    <definedName name="__DAT5" localSheetId="2">#REF!</definedName>
    <definedName name="__DAT6" localSheetId="2">#REF!</definedName>
    <definedName name="__DAT7" localSheetId="2">#REF!</definedName>
    <definedName name="__DAT8" localSheetId="2">#REF!</definedName>
    <definedName name="__DAT9" localSheetId="2">#REF!</definedName>
    <definedName name="__mdf1" localSheetId="2">#REF!</definedName>
    <definedName name="__OCT334">'[3]FF-3'!$A$1:$IV$8</definedName>
    <definedName name="_1" localSheetId="2">#REF!</definedName>
    <definedName name="_2" localSheetId="2">#REF!</definedName>
    <definedName name="_200_38" localSheetId="2">[4]l!#REF!</definedName>
    <definedName name="_2FLOW" localSheetId="2">#REF!</definedName>
    <definedName name="_3" localSheetId="2">#REF!</definedName>
    <definedName name="_4" localSheetId="2">#REF!</definedName>
    <definedName name="_4P" localSheetId="2">#REF!</definedName>
    <definedName name="_5" localSheetId="2">#REF!</definedName>
    <definedName name="_5P" localSheetId="2">#REF!</definedName>
    <definedName name="_6" localSheetId="2">#REF!</definedName>
    <definedName name="_6P" localSheetId="2">#REF!</definedName>
    <definedName name="_7" localSheetId="2">#REF!</definedName>
    <definedName name="_8" localSheetId="2">#REF!</definedName>
    <definedName name="_9P" localSheetId="2">#REF!</definedName>
    <definedName name="_APP12" localSheetId="2">#REF!</definedName>
    <definedName name="_DAT1" localSheetId="2">#REF!</definedName>
    <definedName name="_DAT10" localSheetId="2">#REF!</definedName>
    <definedName name="_DAT12" localSheetId="2">'[2]세부(보험료1)'!#REF!</definedName>
    <definedName name="_DAT2" localSheetId="2">#REF!</definedName>
    <definedName name="_DAT3" localSheetId="2">#REF!</definedName>
    <definedName name="_DAT4" localSheetId="2">#REF!</definedName>
    <definedName name="_DAT5" localSheetId="2">#REF!</definedName>
    <definedName name="_DAT6" localSheetId="2">#REF!</definedName>
    <definedName name="_DAT7" localSheetId="2">#REF!</definedName>
    <definedName name="_DAT8" localSheetId="2">#REF!</definedName>
    <definedName name="_DAT9" localSheetId="2">#REF!</definedName>
    <definedName name="_Fill" localSheetId="2" hidden="1">#REF!</definedName>
    <definedName name="_Key1" localSheetId="2" hidden="1">#REF!</definedName>
    <definedName name="_mdf1" localSheetId="2">#REF!</definedName>
    <definedName name="_OCT334">'[3]FF-3'!$A$1:$IV$8</definedName>
    <definedName name="_Order1" hidden="1">0</definedName>
    <definedName name="_Order2" hidden="1">255</definedName>
    <definedName name="_Regression_Int" hidden="1">1</definedName>
    <definedName name="_Sort" localSheetId="2" hidden="1">#REF!</definedName>
    <definedName name="A" localSheetId="2">#REF!</definedName>
    <definedName name="AA">[5]BPR!$F$11</definedName>
    <definedName name="aaa">[5]BPR!$F$11</definedName>
    <definedName name="AB" localSheetId="2">#REF!</definedName>
    <definedName name="ADM" localSheetId="2">#REF!</definedName>
    <definedName name="analysisde1" localSheetId="2">[6]gl!#REF!</definedName>
    <definedName name="analysisde2" localSheetId="2">[6]gl!#REF!</definedName>
    <definedName name="appendix1" localSheetId="2">[6]gl!#REF!</definedName>
    <definedName name="appendix2_1" localSheetId="2">[6]gl!#REF!</definedName>
    <definedName name="appendix2_2" localSheetId="2">[6]gl!#REF!</definedName>
    <definedName name="as" localSheetId="2">#REF!</definedName>
    <definedName name="AS2DocOpenMode">"AS2DocumentEdit"</definedName>
    <definedName name="B" localSheetId="2">#REF!</definedName>
    <definedName name="B6ser" localSheetId="2" hidden="1">[7]Office!#REF!</definedName>
    <definedName name="BEIdollar" localSheetId="2">#REF!</definedName>
    <definedName name="BEIstg" localSheetId="2">#REF!</definedName>
    <definedName name="BS" localSheetId="2">#REF!</definedName>
    <definedName name="BSR" localSheetId="2">#REF!</definedName>
    <definedName name="CA" localSheetId="2">#REF!</definedName>
    <definedName name="CE_CategryCompany">[8]連結内での役割分担!$H$15</definedName>
    <definedName name="CE_CategryMeth">[8]連結内での役割分担!$D$14</definedName>
    <definedName name="CE_CErrMsg" localSheetId="2">#REF!</definedName>
    <definedName name="CE_CuCd">[8]連結内での役割分担!$B$25</definedName>
    <definedName name="CE_DateFrom">[8]連結内での役割分担!$D$20</definedName>
    <definedName name="CE_DateTo">[8]連結内での役割分担!$E$20</definedName>
    <definedName name="CE_MonFrom">[8]連結内での役割分担!$D$22</definedName>
    <definedName name="CE_MonTo">[8]連結内での役割分担!$E$22</definedName>
    <definedName name="CE_SErrMsg" localSheetId="2">#REF!</definedName>
    <definedName name="CE_UChkMsg" localSheetId="2">#REF!</definedName>
    <definedName name="CE_YearFrom">[8]連結内での役割分担!$D$21</definedName>
    <definedName name="CE_YearTo">[8]連結内での役割分担!$E$21</definedName>
    <definedName name="cellIsStratified" localSheetId="2">#REF!</definedName>
    <definedName name="cellProjectedMisstatementWarning" localSheetId="2">#REF!</definedName>
    <definedName name="cellSampleSize" localSheetId="2">#REF!</definedName>
    <definedName name="cellSampleSizeWarning" localSheetId="2">#REF!</definedName>
    <definedName name="cellSSF" localSheetId="2">#REF!</definedName>
    <definedName name="CL" localSheetId="2">#REF!</definedName>
    <definedName name="cost">'[9]addl cost'!$A$3:$M$37</definedName>
    <definedName name="dadf" localSheetId="2">#REF!</definedName>
    <definedName name="Data">[10]BPR!$F$11</definedName>
    <definedName name="_xlnm.Database" localSheetId="0">#REF!</definedName>
    <definedName name="_xlnm.Database" localSheetId="2">#REF!</definedName>
    <definedName name="_xlnm.Database">#REF!</definedName>
    <definedName name="DEP" localSheetId="2">#REF!</definedName>
    <definedName name="DETAILS___ADMIN_COSTS">'[11]Sch. 9 - Administration'!$A$218:$F$264</definedName>
    <definedName name="DETAILS___DIRECT_MANPOWER">'[11]Sch. 9 - Administration'!$A$60:$F$90</definedName>
    <definedName name="DETAILS___OTHER_DIRECT_COSTS">'[11]Sch. 9 - Administration'!$A$42:$F$59</definedName>
    <definedName name="DETAILS___OTHER_PRODUCTION_COSTS">'[11]Sch. 9 - Administration'!$A$104:$F$156</definedName>
    <definedName name="DETAILS___OTHER_PRODUCTION_COSTS__cont_d">'[11]Sch. 9 - Administration'!$A$159:$F$188</definedName>
    <definedName name="DETAILS___PROVISION_FOR_DEPRECIATION">'[11]Sch. 9 - Administration'!$A$190:$F$217</definedName>
    <definedName name="DETAILS___UTILITIES">'[11]Sch. 9 - Administration'!$A$91:$F$97</definedName>
    <definedName name="DIRECT_SELLING_EXPENSES">'[11]Sch. 9 - Administration'!$A$4:$F$41</definedName>
    <definedName name="dItemsToTest" localSheetId="2">#REF!</definedName>
    <definedName name="dPlanningMateriality" localSheetId="2">#REF!</definedName>
    <definedName name="dProjectedBookValue" localSheetId="2">#REF!</definedName>
    <definedName name="dProjectedBookValueStratified" localSheetId="2">#REF!</definedName>
    <definedName name="dProjectedNumbersOfItems" localSheetId="2">#REF!</definedName>
    <definedName name="dProjectedNumbersOfItemsStratified" localSheetId="2">#REF!</definedName>
    <definedName name="dSampleSize" localSheetId="2">#REF!</definedName>
    <definedName name="dTotalPopulationBookValue" localSheetId="2">#REF!</definedName>
    <definedName name="dTotalProjectedBookValue" localSheetId="2">#REF!</definedName>
    <definedName name="dTotalProjectedNumbersOfItems" localSheetId="2">#REF!</definedName>
    <definedName name="dTotIndSignItems" localSheetId="2">#REF!</definedName>
    <definedName name="E" localSheetId="2">#REF!</definedName>
    <definedName name="END" localSheetId="2">#REF!</definedName>
    <definedName name="ent" localSheetId="2">#REF!</definedName>
    <definedName name="Excel_BuiltIn_Print_Area_1_1_1_1_1_1_1_1">"$#REF!.$A$1:$L$367"</definedName>
    <definedName name="Excel_BuiltIn_Print_Area_1_1_1_1_1_1_1_1_1">"$#REF!.$A$1:$L$352"</definedName>
    <definedName name="Excel_BuiltIn_Print_Area_1_1_1_1_1_1_1_1_1_1">"$#REF!.$A$1:$L$288"</definedName>
    <definedName name="Excel_BuiltIn_Print_Area_3_1_1_1">"$#REF!.$A$1:$S$24"</definedName>
    <definedName name="Excel_BuiltIn_Print_Area_3_1_1_1_1">"$#REF!.$A$1:$S$24"</definedName>
    <definedName name="Excel_BuiltIn_Print_Area_3_1_1_1_1_1">"$#REF!.$A$1:$S$24"</definedName>
    <definedName name="Excel_BuiltIn_Print_Area_3_1_1_1_1_1_1">"$#REF!.$A$1:$S$24"</definedName>
    <definedName name="Excel_BuiltIn_Print_Area_6_1_1_1_1">"$#REF!.$A$1:$S$8"</definedName>
    <definedName name="Excel_BuiltIn_Print_Area_6_1_1_1_1_1">"$#REF!.$A$1:$S$8"</definedName>
    <definedName name="Excel_BuiltIn_Print_Area_6_1_1_1_1_1_1">"$#REF!.$A$1:$S$8"</definedName>
    <definedName name="Excel_BuiltIn_Print_Area_7">"$#REF!.$B$1:$G$19"</definedName>
    <definedName name="f" localSheetId="2">[1]HP!#REF!</definedName>
    <definedName name="FA" localSheetId="2">#REF!</definedName>
    <definedName name="Falcon_en">#N/A</definedName>
    <definedName name="Falcon_gai">#N/A</definedName>
    <definedName name="ff" localSheetId="2">#REF!</definedName>
    <definedName name="FFO" localSheetId="2">#REF!</definedName>
    <definedName name="FIN" localSheetId="2">#REF!</definedName>
    <definedName name="FLOW" localSheetId="2">#REF!</definedName>
    <definedName name="form" localSheetId="2">#REF!</definedName>
    <definedName name="FORM1_조회" localSheetId="2">[12]!FORM1_조회</definedName>
    <definedName name="FURN_DET">#N/A</definedName>
    <definedName name="FURN_FAX">#N/A</definedName>
    <definedName name="FURN_SUM">#N/A</definedName>
    <definedName name="GENERAL" localSheetId="2">#REF!</definedName>
    <definedName name="GOLDEN_HOPE_FIBREBOARD_SDN_BHD">'[11]Sch. 9 - Administration'!$B$2:$B$59</definedName>
    <definedName name="HKdollar" localSheetId="2">#REF!</definedName>
    <definedName name="HKstg" localSheetId="2">#REF!</definedName>
    <definedName name="IC" localSheetId="2">#REF!</definedName>
    <definedName name="kk" localSheetId="2">#REF!</definedName>
    <definedName name="LAST" localSheetId="2">#REF!</definedName>
    <definedName name="M.D.F1공장" localSheetId="2">#REF!</definedName>
    <definedName name="Method" localSheetId="2">#REF!</definedName>
    <definedName name="MKT" localSheetId="2">#REF!</definedName>
    <definedName name="monthcode" localSheetId="2">#REF!</definedName>
    <definedName name="Name">[13]FSA!$A$1</definedName>
    <definedName name="PAGE2">#N/A</definedName>
    <definedName name="PAGE3">#N/A</definedName>
    <definedName name="PAGE4">#N/A</definedName>
    <definedName name="PAGE6">#N/A</definedName>
    <definedName name="PARDET">#N/A</definedName>
    <definedName name="PARFAX">#N/A</definedName>
    <definedName name="PARQ1">#N/A</definedName>
    <definedName name="PARQ2" localSheetId="2">#REF!</definedName>
    <definedName name="PARQ3">#N/A</definedName>
    <definedName name="PARSUM" localSheetId="2">#REF!</definedName>
    <definedName name="pl" localSheetId="2">#REF!</definedName>
    <definedName name="_xlnm.Print_Area" localSheetId="0">#REF!</definedName>
    <definedName name="_xlnm.Print_Area" localSheetId="2">'PF PL'!$A$1:$S$198</definedName>
    <definedName name="_xlnm.Print_Area">#REF!</definedName>
    <definedName name="Print_Area_MI" localSheetId="2">#REF!</definedName>
    <definedName name="_xlnm.Print_Titles" localSheetId="2">'PF PL'!$A:$B</definedName>
    <definedName name="_xlnm.Print_Titles">[14]손익계산서!$A$1:$E$65536,[14]손익계산서!$A$5:$IV$7</definedName>
    <definedName name="Print_Titles_MI" localSheetId="2">#REF!</definedName>
    <definedName name="PROVN" localSheetId="2">#REF!</definedName>
    <definedName name="QFP" localSheetId="2">#REF!</definedName>
    <definedName name="qq" localSheetId="2">#REF!</definedName>
    <definedName name="RECOM" localSheetId="2">#REF!</definedName>
    <definedName name="RECOMNAME" localSheetId="2">#REF!</definedName>
    <definedName name="RECUR" localSheetId="2">#REF!</definedName>
    <definedName name="REPERNAME" localSheetId="2">#REF!</definedName>
    <definedName name="REVER" localSheetId="2">#REF!</definedName>
    <definedName name="Sales" localSheetId="2">'[11]Sch. 9 - Administration'!#REF!</definedName>
    <definedName name="SAWMILL">'[11]Sch. 9 - Administration'!$A$10:$S$37</definedName>
    <definedName name="SECTION_2___PROFIT___LOSS" localSheetId="2">'[11]Sch. 9 - Administration'!#REF!</definedName>
    <definedName name="SINGdollar" localSheetId="2">#REF!</definedName>
    <definedName name="SINGstg" localSheetId="2">#REF!</definedName>
    <definedName name="Spec" localSheetId="2">#REF!</definedName>
    <definedName name="SUM" localSheetId="2">#REF!</definedName>
    <definedName name="TA_ChkPU">[8]Param!$A$3:$F$151</definedName>
    <definedName name="TA_CompanyFlg">[8]連結内での役割分担!$G$10:$I$14</definedName>
    <definedName name="TA_CU">[15]MstCU!$A$6:$AA$310</definedName>
    <definedName name="TA_MethParam">[8]連結内での役割分担!$C$10:$E$13</definedName>
    <definedName name="TA_NaiyouKbn">[8]連結内での役割分担!$A$30:$A$33</definedName>
    <definedName name="TA_SegCd">[8]連結内での役割分担!$A$25:$G$25</definedName>
    <definedName name="TABLE" localSheetId="2">#REF!</definedName>
    <definedName name="test">[16]SUAD!$C$1:$P$37</definedName>
    <definedName name="TEST0" localSheetId="2">#REF!</definedName>
    <definedName name="test2">[16]SUAD!$C$39:$P$70</definedName>
    <definedName name="TEST3" localSheetId="2">#REF!</definedName>
    <definedName name="TESTHKEY" localSheetId="2">#REF!</definedName>
    <definedName name="TESTKEYS" localSheetId="2">#REF!</definedName>
    <definedName name="TESTVKEY" localSheetId="2">#REF!</definedName>
    <definedName name="THAIbahts" localSheetId="2">#REF!</definedName>
    <definedName name="THAIstg" localSheetId="2">#REF!</definedName>
    <definedName name="trialbal1" localSheetId="2">[6]gl!#REF!</definedName>
    <definedName name="u" localSheetId="2" hidden="1">[17]Office!#REF!</definedName>
    <definedName name="W" localSheetId="2">#REF!</definedName>
    <definedName name="WOOD_SUPPLY" localSheetId="2">'[11]Sch. 9 - Administration'!#REF!</definedName>
    <definedName name="WOODROOM">'[11]Sch. 9 - Administration'!$A$38:$S$39</definedName>
    <definedName name="WOODSUPPLY" localSheetId="2">'[11]Sch. 9 - Administration'!#REF!</definedName>
    <definedName name="ww" localSheetId="2">#REF!</definedName>
    <definedName name="Ye">[13]FSA!$A$2</definedName>
    <definedName name="YTD_Actual" localSheetId="2">#REF!</definedName>
    <definedName name="YTD_Budget" localSheetId="2">#REF!</definedName>
    <definedName name="YTD_DEPRN">[9]accumdeprn!$A$3:$M$36</definedName>
    <definedName name="Zhengdollar" localSheetId="2">#REF!</definedName>
    <definedName name="Zhengstg" localSheetId="2">#REF!</definedName>
    <definedName name="공9" localSheetId="2">#REF!</definedName>
    <definedName name="규격" localSheetId="2">#REF!</definedName>
    <definedName name="기" localSheetId="2">#REF!</definedName>
    <definedName name="기준" localSheetId="2">#REF!</definedName>
    <definedName name="기준_현재" localSheetId="2">#REF!</definedName>
    <definedName name="기준1" localSheetId="2">#REF!</definedName>
    <definedName name="대차대조표" localSheetId="2">[12]!FORM1_조회</definedName>
    <definedName name="매수" localSheetId="2">#REF!</definedName>
    <definedName name="매입채무">[18]세부!$AJ$10</definedName>
    <definedName name="매출">[18]세부!$D$10</definedName>
    <definedName name="매출채권">[18]세부!$AI$10</definedName>
    <definedName name="부채">[18]세부!$AF$10</definedName>
    <definedName name="생산량" localSheetId="2">#REF!</definedName>
    <definedName name="생산실적" localSheetId="2">#REF!</definedName>
    <definedName name="손익실적" localSheetId="2">[19]!FORM1_조회</definedName>
    <definedName name="실재고불러오기">[20]!실재고불러오기</definedName>
    <definedName name="ㅇㅈ" localSheetId="2">#REF!</definedName>
    <definedName name="영1" localSheetId="2">#REF!</definedName>
    <definedName name="영업1" localSheetId="2">#REF!</definedName>
    <definedName name="영업2팀" localSheetId="2">#REF!</definedName>
    <definedName name="원재려" localSheetId="2">[21]!FORM1_조회</definedName>
    <definedName name="원재료" localSheetId="2">#REF!</definedName>
    <definedName name="일반제조경비" localSheetId="2">#REF!</definedName>
    <definedName name="자금" localSheetId="2">[12]!FORM1_조회</definedName>
    <definedName name="자료" localSheetId="2">#REF!</definedName>
    <definedName name="자료3" localSheetId="2">#REF!</definedName>
    <definedName name="자본">[18]세부!$AG$10</definedName>
    <definedName name="장" localSheetId="2">#REF!</definedName>
    <definedName name="재고분류">[20]!재고분류</definedName>
    <definedName name="재고자산">[18]세부!$AL$10</definedName>
    <definedName name="지급이자">[18]세부!$Q$10</definedName>
    <definedName name="차입금">[18]세부!$AK$10</definedName>
    <definedName name="총자산">[18]세부!$Y$10</definedName>
    <definedName name="테스트" localSheetId="2">#REF!</definedName>
    <definedName name="표지1" localSheetId="2">[22]원시데이타!#REF!</definedName>
    <definedName name="표지33" localSheetId="2">#REF!</definedName>
    <definedName name="품목별" localSheetId="2">#REF!</definedName>
    <definedName name="품목별원가" localSheetId="2">#REF!</definedName>
    <definedName name="호주환율">[18]사업목표달성도!$E$25</definedName>
    <definedName name="환" localSheetId="2">#REF!</definedName>
    <definedName name="환산" localSheetId="2">#REF!</definedName>
    <definedName name="환산점수" localSheetId="2">#REF!</definedName>
    <definedName name="회계" localSheetId="2">#REF!</definedName>
    <definedName name="会社設定">[23]会社設定!$A$1:$F$65536</definedName>
    <definedName name="債務1" localSheetId="2">#REF!</definedName>
    <definedName name="債務2" localSheetId="2">#REF!</definedName>
    <definedName name="債権1" localSheetId="2">#REF!</definedName>
    <definedName name="債権2" localSheetId="2">#REF!</definedName>
    <definedName name="勘定設定">[23]勘定設定!$A$1:$C$65536</definedName>
    <definedName name="勘定設定一覧" localSheetId="2">#REF!</definedName>
    <definedName name="範囲">#N/A</definedName>
    <definedName name="通貨">[23]会社設定!$G$1:$H$65536</definedName>
  </definedNames>
  <calcPr calcId="145621"/>
</workbook>
</file>

<file path=xl/calcChain.xml><?xml version="1.0" encoding="utf-8"?>
<calcChain xmlns="http://schemas.openxmlformats.org/spreadsheetml/2006/main">
  <c r="J13" i="4" l="1"/>
  <c r="K13" i="4"/>
  <c r="J12" i="4"/>
  <c r="K12" i="4"/>
  <c r="I13" i="4"/>
  <c r="I12" i="4"/>
  <c r="E13" i="4"/>
  <c r="F13" i="4"/>
  <c r="G13" i="4"/>
  <c r="D13" i="4"/>
  <c r="E12" i="4"/>
  <c r="F12" i="4"/>
  <c r="G12" i="4"/>
  <c r="D12" i="4"/>
  <c r="H41" i="4" l="1"/>
  <c r="L49" i="4" l="1"/>
  <c r="B88" i="5"/>
  <c r="I88" i="5" s="1"/>
  <c r="D87" i="5"/>
  <c r="L85" i="5"/>
  <c r="I85" i="5"/>
  <c r="D85" i="5"/>
  <c r="B84" i="5"/>
  <c r="B83" i="5"/>
  <c r="B82" i="5"/>
  <c r="M71" i="5"/>
  <c r="J70" i="5"/>
  <c r="B70" i="5"/>
  <c r="L70" i="5" s="1"/>
  <c r="J69" i="5"/>
  <c r="B69" i="5"/>
  <c r="L69" i="5" s="1"/>
  <c r="J68" i="5"/>
  <c r="J71" i="5" s="1"/>
  <c r="B68" i="5"/>
  <c r="L68" i="5" s="1"/>
  <c r="L71" i="5" s="1"/>
  <c r="L48" i="5"/>
  <c r="L47" i="5"/>
  <c r="I46" i="5"/>
  <c r="G46" i="5"/>
  <c r="F46" i="5"/>
  <c r="E46" i="5"/>
  <c r="H46" i="5" s="1"/>
  <c r="D46" i="5"/>
  <c r="L44" i="5"/>
  <c r="L38" i="5"/>
  <c r="I37" i="5"/>
  <c r="G37" i="5"/>
  <c r="F37" i="5"/>
  <c r="E37" i="5"/>
  <c r="H37" i="5" s="1"/>
  <c r="D37" i="5"/>
  <c r="I36" i="5"/>
  <c r="G36" i="5"/>
  <c r="F36" i="5"/>
  <c r="H36" i="5" s="1"/>
  <c r="E36" i="5"/>
  <c r="D36" i="5"/>
  <c r="B34" i="5"/>
  <c r="K31" i="5"/>
  <c r="K37" i="5" s="1"/>
  <c r="J31" i="5"/>
  <c r="J37" i="5" s="1"/>
  <c r="H31" i="5"/>
  <c r="K30" i="5"/>
  <c r="J30" i="5"/>
  <c r="J36" i="5" s="1"/>
  <c r="H30" i="5"/>
  <c r="I27" i="5"/>
  <c r="D27" i="5"/>
  <c r="D88" i="5" s="1"/>
  <c r="I24" i="5"/>
  <c r="I87" i="5" s="1"/>
  <c r="L23" i="5"/>
  <c r="F11" i="5"/>
  <c r="F13" i="5" s="1"/>
  <c r="D11" i="5"/>
  <c r="D21" i="5" s="1"/>
  <c r="G10" i="5"/>
  <c r="G11" i="5" s="1"/>
  <c r="F10" i="5"/>
  <c r="E10" i="5"/>
  <c r="E11" i="5" s="1"/>
  <c r="D10" i="5"/>
  <c r="I9" i="5"/>
  <c r="J9" i="5" s="1"/>
  <c r="E9" i="5"/>
  <c r="H9" i="5" s="1"/>
  <c r="I8" i="5"/>
  <c r="I10" i="5" s="1"/>
  <c r="H8" i="5"/>
  <c r="H6" i="5"/>
  <c r="O41" i="4"/>
  <c r="O33" i="4"/>
  <c r="K33" i="4"/>
  <c r="I33" i="4"/>
  <c r="I39" i="4"/>
  <c r="K37" i="4"/>
  <c r="I37" i="4"/>
  <c r="K36" i="4"/>
  <c r="J36" i="4"/>
  <c r="I36" i="4"/>
  <c r="L40" i="4"/>
  <c r="G53" i="4"/>
  <c r="G54" i="4" s="1"/>
  <c r="H53" i="4"/>
  <c r="J31" i="4"/>
  <c r="K31" i="4" s="1"/>
  <c r="J30" i="4"/>
  <c r="K30" i="4" s="1"/>
  <c r="I8" i="4"/>
  <c r="J8" i="4"/>
  <c r="K8" i="4" s="1"/>
  <c r="I11" i="5" l="1"/>
  <c r="E12" i="5"/>
  <c r="E13" i="5"/>
  <c r="E21" i="5"/>
  <c r="H11" i="5"/>
  <c r="H21" i="5" s="1"/>
  <c r="G13" i="5"/>
  <c r="G21" i="5"/>
  <c r="G12" i="5"/>
  <c r="L9" i="5"/>
  <c r="D13" i="5"/>
  <c r="J8" i="5"/>
  <c r="H10" i="5"/>
  <c r="D12" i="5"/>
  <c r="F12" i="5"/>
  <c r="D15" i="5"/>
  <c r="F21" i="5"/>
  <c r="K46" i="5"/>
  <c r="K36" i="5"/>
  <c r="L36" i="5"/>
  <c r="L37" i="5"/>
  <c r="L30" i="5"/>
  <c r="L31" i="5"/>
  <c r="J46" i="5"/>
  <c r="L46" i="5" s="1"/>
  <c r="L38" i="4"/>
  <c r="I24" i="4"/>
  <c r="CF56" i="1"/>
  <c r="CE56" i="1"/>
  <c r="CD56" i="1"/>
  <c r="CC56" i="1"/>
  <c r="CB56" i="1"/>
  <c r="CA56" i="1"/>
  <c r="BZ56" i="1"/>
  <c r="BY56" i="1"/>
  <c r="BX56" i="1"/>
  <c r="BW56" i="1"/>
  <c r="BV56" i="1"/>
  <c r="BU56" i="1"/>
  <c r="B88" i="4"/>
  <c r="I88" i="4" s="1"/>
  <c r="D87" i="4"/>
  <c r="I85" i="4"/>
  <c r="D85" i="4"/>
  <c r="B84" i="4"/>
  <c r="B83" i="4"/>
  <c r="B82" i="4"/>
  <c r="M71" i="4"/>
  <c r="J70" i="4"/>
  <c r="B70" i="4"/>
  <c r="J69" i="4"/>
  <c r="B69" i="4"/>
  <c r="J68" i="4"/>
  <c r="J71" i="4" s="1"/>
  <c r="B68" i="4"/>
  <c r="L48" i="4"/>
  <c r="L47" i="4"/>
  <c r="K46" i="4"/>
  <c r="J46" i="4"/>
  <c r="I46" i="4"/>
  <c r="G46" i="4"/>
  <c r="F46" i="4"/>
  <c r="E46" i="4"/>
  <c r="D46" i="4"/>
  <c r="L44" i="4"/>
  <c r="J37" i="4"/>
  <c r="G37" i="4"/>
  <c r="F37" i="4"/>
  <c r="E37" i="4"/>
  <c r="D37" i="4"/>
  <c r="G36" i="4"/>
  <c r="F36" i="4"/>
  <c r="E36" i="4"/>
  <c r="H36" i="4" s="1"/>
  <c r="D36" i="4"/>
  <c r="B34" i="4"/>
  <c r="L31" i="4"/>
  <c r="H31" i="4"/>
  <c r="L30" i="4"/>
  <c r="H30" i="4"/>
  <c r="I27" i="4"/>
  <c r="D27" i="4"/>
  <c r="D88" i="4" s="1"/>
  <c r="I87" i="4"/>
  <c r="L23" i="4"/>
  <c r="G10" i="4"/>
  <c r="G11" i="4" s="1"/>
  <c r="G21" i="4" s="1"/>
  <c r="F10" i="4"/>
  <c r="E10" i="4"/>
  <c r="E11" i="4" s="1"/>
  <c r="D10" i="4"/>
  <c r="D11" i="4" s="1"/>
  <c r="I9" i="4"/>
  <c r="J9" i="4" s="1"/>
  <c r="E9" i="4"/>
  <c r="H8" i="4"/>
  <c r="H6" i="4"/>
  <c r="E15" i="5" l="1"/>
  <c r="D17" i="5"/>
  <c r="D22" i="5" s="1"/>
  <c r="H13" i="5"/>
  <c r="J10" i="5"/>
  <c r="K8" i="5"/>
  <c r="K10" i="5" s="1"/>
  <c r="K11" i="5" s="1"/>
  <c r="H12" i="5"/>
  <c r="I13" i="5"/>
  <c r="I21" i="5"/>
  <c r="I12" i="5"/>
  <c r="L36" i="4"/>
  <c r="L68" i="4"/>
  <c r="L69" i="4"/>
  <c r="L70" i="4"/>
  <c r="L37" i="4"/>
  <c r="L46" i="4"/>
  <c r="E21" i="4"/>
  <c r="H9" i="4"/>
  <c r="H10" i="4"/>
  <c r="H37" i="4"/>
  <c r="H46" i="4"/>
  <c r="L9" i="4"/>
  <c r="D15" i="4"/>
  <c r="D21" i="4"/>
  <c r="F11" i="4"/>
  <c r="H11" i="4" s="1"/>
  <c r="H21" i="4" s="1"/>
  <c r="L85" i="4"/>
  <c r="K21" i="5" l="1"/>
  <c r="K12" i="5"/>
  <c r="K13" i="5"/>
  <c r="K49" i="5" s="1"/>
  <c r="E17" i="5"/>
  <c r="I15" i="5"/>
  <c r="F15" i="5"/>
  <c r="I49" i="5"/>
  <c r="J11" i="5"/>
  <c r="L10" i="5"/>
  <c r="D45" i="5"/>
  <c r="D50" i="5" s="1"/>
  <c r="D40" i="5"/>
  <c r="D86" i="5"/>
  <c r="D89" i="5" s="1"/>
  <c r="E85" i="5" s="1"/>
  <c r="D39" i="5"/>
  <c r="D25" i="5"/>
  <c r="D28" i="5" s="1"/>
  <c r="D34" i="5"/>
  <c r="L8" i="5"/>
  <c r="L71" i="4"/>
  <c r="I10" i="4"/>
  <c r="I11" i="4" s="1"/>
  <c r="D17" i="4"/>
  <c r="D22" i="4" s="1"/>
  <c r="E15" i="4"/>
  <c r="I15" i="4" s="1"/>
  <c r="J15" i="4" s="1"/>
  <c r="F21" i="4"/>
  <c r="E91" i="5" l="1"/>
  <c r="H85" i="5"/>
  <c r="J15" i="5"/>
  <c r="J17" i="5" s="1"/>
  <c r="I17" i="5"/>
  <c r="D33" i="5"/>
  <c r="D41" i="5" s="1"/>
  <c r="D53" i="5" s="1"/>
  <c r="D54" i="5" s="1"/>
  <c r="E23" i="5"/>
  <c r="J13" i="5"/>
  <c r="J21" i="5"/>
  <c r="L21" i="5" s="1"/>
  <c r="J12" i="5"/>
  <c r="L12" i="5" s="1"/>
  <c r="L11" i="5"/>
  <c r="M11" i="5" s="1"/>
  <c r="N11" i="5" s="1"/>
  <c r="F17" i="5"/>
  <c r="G15" i="5"/>
  <c r="E18" i="5"/>
  <c r="E22" i="5"/>
  <c r="I21" i="4"/>
  <c r="J10" i="4"/>
  <c r="E17" i="4"/>
  <c r="F15" i="4"/>
  <c r="D86" i="4"/>
  <c r="D89" i="4" s="1"/>
  <c r="E85" i="4" s="1"/>
  <c r="D45" i="4"/>
  <c r="D50" i="4" s="1"/>
  <c r="D39" i="4"/>
  <c r="D34" i="4"/>
  <c r="D25" i="4"/>
  <c r="D28" i="4" s="1"/>
  <c r="D40" i="4"/>
  <c r="BT221" i="1"/>
  <c r="BS221" i="1"/>
  <c r="BR221" i="1"/>
  <c r="BQ221" i="1"/>
  <c r="BP221" i="1"/>
  <c r="BO221" i="1"/>
  <c r="BN221" i="1"/>
  <c r="BM221" i="1"/>
  <c r="BL221" i="1"/>
  <c r="BK221" i="1"/>
  <c r="BJ221" i="1"/>
  <c r="BT220" i="1"/>
  <c r="BS220" i="1"/>
  <c r="BR220" i="1"/>
  <c r="BQ220" i="1"/>
  <c r="BP220" i="1"/>
  <c r="BO220" i="1"/>
  <c r="BN220" i="1"/>
  <c r="BM220" i="1"/>
  <c r="BL220" i="1"/>
  <c r="BK220" i="1"/>
  <c r="BJ220" i="1"/>
  <c r="BT219" i="1"/>
  <c r="BS219" i="1"/>
  <c r="BR219" i="1"/>
  <c r="BQ219" i="1"/>
  <c r="BP219" i="1"/>
  <c r="BO219" i="1"/>
  <c r="BN219" i="1"/>
  <c r="BM219" i="1"/>
  <c r="BL219" i="1"/>
  <c r="BK219" i="1"/>
  <c r="BJ219" i="1"/>
  <c r="CV201" i="1"/>
  <c r="CU201" i="1"/>
  <c r="CT201" i="1"/>
  <c r="CS201" i="1"/>
  <c r="CR201" i="1"/>
  <c r="CQ201" i="1"/>
  <c r="CP201" i="1"/>
  <c r="CO201" i="1"/>
  <c r="CL201" i="1"/>
  <c r="CG201" i="1"/>
  <c r="CF201" i="1"/>
  <c r="CE201" i="1"/>
  <c r="CD201" i="1"/>
  <c r="CC201" i="1"/>
  <c r="CB201" i="1"/>
  <c r="CA201" i="1"/>
  <c r="BZ201" i="1"/>
  <c r="BY201" i="1"/>
  <c r="BV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AZ201" i="1"/>
  <c r="AY201" i="1"/>
  <c r="AX201" i="1"/>
  <c r="AW201" i="1"/>
  <c r="AV201" i="1"/>
  <c r="AU201" i="1"/>
  <c r="AT201" i="1"/>
  <c r="AS201" i="1"/>
  <c r="AR201" i="1"/>
  <c r="AQ201" i="1"/>
  <c r="AI201" i="1"/>
  <c r="AH201" i="1"/>
  <c r="AG201" i="1"/>
  <c r="AF201" i="1"/>
  <c r="AE201" i="1"/>
  <c r="AD201" i="1"/>
  <c r="AC201" i="1"/>
  <c r="AB201" i="1"/>
  <c r="AA201" i="1"/>
  <c r="Z201" i="1"/>
  <c r="O201" i="1"/>
  <c r="N201" i="1"/>
  <c r="M201" i="1"/>
  <c r="L201" i="1"/>
  <c r="K201" i="1"/>
  <c r="J201" i="1"/>
  <c r="I201" i="1"/>
  <c r="H201" i="1"/>
  <c r="G201" i="1"/>
  <c r="F201" i="1"/>
  <c r="BQ200" i="1"/>
  <c r="BQ202" i="1" s="1"/>
  <c r="BP200" i="1"/>
  <c r="BP202" i="1" s="1"/>
  <c r="BO200" i="1"/>
  <c r="BO202" i="1" s="1"/>
  <c r="BN200" i="1"/>
  <c r="BN202" i="1" s="1"/>
  <c r="BM200" i="1"/>
  <c r="BM202" i="1" s="1"/>
  <c r="BL200" i="1"/>
  <c r="BL202" i="1" s="1"/>
  <c r="BK200" i="1"/>
  <c r="BK202" i="1" s="1"/>
  <c r="BJ200" i="1"/>
  <c r="BJ202" i="1" s="1"/>
  <c r="BI200" i="1"/>
  <c r="BI202" i="1" s="1"/>
  <c r="BH200" i="1"/>
  <c r="BH202" i="1" s="1"/>
  <c r="BG200" i="1"/>
  <c r="BG202" i="1" s="1"/>
  <c r="BF200" i="1"/>
  <c r="BF202" i="1" s="1"/>
  <c r="O200" i="1"/>
  <c r="O202" i="1" s="1"/>
  <c r="N200" i="1"/>
  <c r="N202" i="1" s="1"/>
  <c r="M200" i="1"/>
  <c r="M202" i="1" s="1"/>
  <c r="L200" i="1"/>
  <c r="L202" i="1" s="1"/>
  <c r="K200" i="1"/>
  <c r="K202" i="1" s="1"/>
  <c r="J200" i="1"/>
  <c r="J202" i="1" s="1"/>
  <c r="I200" i="1"/>
  <c r="I202" i="1" s="1"/>
  <c r="H200" i="1"/>
  <c r="H202" i="1" s="1"/>
  <c r="G200" i="1"/>
  <c r="G202" i="1" s="1"/>
  <c r="F200" i="1"/>
  <c r="F202" i="1" s="1"/>
  <c r="DK195" i="1"/>
  <c r="BS195" i="1"/>
  <c r="BA195" i="1"/>
  <c r="AJ195" i="1"/>
  <c r="P195" i="1"/>
  <c r="DK194" i="1"/>
  <c r="BS194" i="1"/>
  <c r="BA194" i="1"/>
  <c r="AJ194" i="1"/>
  <c r="P194" i="1"/>
  <c r="DJ192" i="1"/>
  <c r="DI192" i="1"/>
  <c r="DH192" i="1"/>
  <c r="DK186" i="1"/>
  <c r="BS186" i="1"/>
  <c r="AK186" i="1"/>
  <c r="AJ186" i="1"/>
  <c r="S186" i="1"/>
  <c r="R186" i="1"/>
  <c r="Q186" i="1"/>
  <c r="P186" i="1"/>
  <c r="DK185" i="1"/>
  <c r="BS185" i="1"/>
  <c r="AK185" i="1"/>
  <c r="AJ185" i="1"/>
  <c r="S185" i="1"/>
  <c r="R185" i="1"/>
  <c r="Q185" i="1"/>
  <c r="P185" i="1"/>
  <c r="DK184" i="1"/>
  <c r="BS184" i="1"/>
  <c r="AZ184" i="1"/>
  <c r="AY184" i="1"/>
  <c r="AX184" i="1"/>
  <c r="AW184" i="1"/>
  <c r="AK184" i="1"/>
  <c r="AJ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R184" i="1" s="1"/>
  <c r="D184" i="1"/>
  <c r="S182" i="1"/>
  <c r="R182" i="1"/>
  <c r="F22" i="5" l="1"/>
  <c r="F18" i="5"/>
  <c r="H18" i="5" s="1"/>
  <c r="J49" i="5"/>
  <c r="L13" i="5"/>
  <c r="L49" i="5" s="1"/>
  <c r="J22" i="5"/>
  <c r="J18" i="5"/>
  <c r="E86" i="5"/>
  <c r="E39" i="5"/>
  <c r="E45" i="5"/>
  <c r="E50" i="5" s="1"/>
  <c r="E40" i="5"/>
  <c r="G17" i="5"/>
  <c r="K15" i="5"/>
  <c r="K17" i="5" s="1"/>
  <c r="E88" i="5"/>
  <c r="E24" i="5"/>
  <c r="E27" i="5"/>
  <c r="H23" i="5"/>
  <c r="L17" i="5"/>
  <c r="I22" i="5"/>
  <c r="I18" i="5"/>
  <c r="J11" i="4"/>
  <c r="J17" i="4" s="1"/>
  <c r="L8" i="4"/>
  <c r="K10" i="4"/>
  <c r="K11" i="4" s="1"/>
  <c r="F17" i="4"/>
  <c r="G15" i="4"/>
  <c r="E18" i="4"/>
  <c r="E22" i="4"/>
  <c r="E39" i="4" s="1"/>
  <c r="D33" i="4"/>
  <c r="D41" i="4" s="1"/>
  <c r="D53" i="4" s="1"/>
  <c r="D54" i="4" s="1"/>
  <c r="E23" i="4"/>
  <c r="E91" i="4"/>
  <c r="H85" i="4"/>
  <c r="I17" i="4"/>
  <c r="BP204" i="1"/>
  <c r="S184" i="1"/>
  <c r="S173" i="1"/>
  <c r="R178" i="1"/>
  <c r="R173" i="1"/>
  <c r="R177" i="1"/>
  <c r="I86" i="5" l="1"/>
  <c r="I39" i="5"/>
  <c r="I45" i="5"/>
  <c r="I40" i="5"/>
  <c r="I25" i="5"/>
  <c r="I28" i="5" s="1"/>
  <c r="E87" i="5"/>
  <c r="K22" i="5"/>
  <c r="K18" i="5"/>
  <c r="F45" i="5"/>
  <c r="F50" i="5" s="1"/>
  <c r="F40" i="5"/>
  <c r="F86" i="5"/>
  <c r="F39" i="5"/>
  <c r="L18" i="5"/>
  <c r="M17" i="5"/>
  <c r="N17" i="5" s="1"/>
  <c r="G22" i="5"/>
  <c r="H17" i="5"/>
  <c r="O17" i="5" s="1"/>
  <c r="E25" i="5"/>
  <c r="E28" i="5" s="1"/>
  <c r="E92" i="5"/>
  <c r="E93" i="5" s="1"/>
  <c r="E89" i="5"/>
  <c r="F85" i="5" s="1"/>
  <c r="J45" i="5"/>
  <c r="J50" i="5" s="1"/>
  <c r="J40" i="5"/>
  <c r="J86" i="5"/>
  <c r="J39" i="5"/>
  <c r="J21" i="4"/>
  <c r="L11" i="4"/>
  <c r="M11" i="4" s="1"/>
  <c r="N11" i="4" s="1"/>
  <c r="G17" i="4"/>
  <c r="K15" i="4"/>
  <c r="K17" i="4" s="1"/>
  <c r="K21" i="4"/>
  <c r="L10" i="4"/>
  <c r="E40" i="4"/>
  <c r="E86" i="4"/>
  <c r="E45" i="4"/>
  <c r="E50" i="4" s="1"/>
  <c r="I22" i="4"/>
  <c r="I25" i="4" s="1"/>
  <c r="I28" i="4" s="1"/>
  <c r="I34" i="4" s="1"/>
  <c r="I18" i="4"/>
  <c r="E88" i="4"/>
  <c r="E27" i="4"/>
  <c r="E24" i="4"/>
  <c r="E25" i="4" s="1"/>
  <c r="H23" i="4"/>
  <c r="F22" i="4"/>
  <c r="F18" i="4"/>
  <c r="H18" i="4" s="1"/>
  <c r="O165" i="1"/>
  <c r="N165" i="1"/>
  <c r="M165" i="1"/>
  <c r="L165" i="1"/>
  <c r="K165" i="1"/>
  <c r="J165" i="1"/>
  <c r="I165" i="1"/>
  <c r="H165" i="1"/>
  <c r="G165" i="1"/>
  <c r="F165" i="1"/>
  <c r="DJ160" i="1"/>
  <c r="DJ165" i="1" s="1"/>
  <c r="DI160" i="1"/>
  <c r="DI165" i="1" s="1"/>
  <c r="DH160" i="1"/>
  <c r="DH165" i="1" s="1"/>
  <c r="DG160" i="1"/>
  <c r="DG165" i="1" s="1"/>
  <c r="DF160" i="1"/>
  <c r="DF165" i="1" s="1"/>
  <c r="DE160" i="1"/>
  <c r="DE165" i="1" s="1"/>
  <c r="DD160" i="1"/>
  <c r="DD165" i="1" s="1"/>
  <c r="DC160" i="1"/>
  <c r="DC165" i="1" s="1"/>
  <c r="DB160" i="1"/>
  <c r="DB165" i="1" s="1"/>
  <c r="DA160" i="1"/>
  <c r="DA165" i="1" s="1"/>
  <c r="CZ160" i="1"/>
  <c r="CZ165" i="1" s="1"/>
  <c r="CY160" i="1"/>
  <c r="CY165" i="1" s="1"/>
  <c r="CV160" i="1"/>
  <c r="CV165" i="1" s="1"/>
  <c r="CU160" i="1"/>
  <c r="CU165" i="1" s="1"/>
  <c r="CT160" i="1"/>
  <c r="CT165" i="1" s="1"/>
  <c r="CS160" i="1"/>
  <c r="CS165" i="1" s="1"/>
  <c r="CR160" i="1"/>
  <c r="CR165" i="1" s="1"/>
  <c r="CQ160" i="1"/>
  <c r="CQ165" i="1" s="1"/>
  <c r="CP160" i="1"/>
  <c r="CP165" i="1" s="1"/>
  <c r="CO160" i="1"/>
  <c r="CO165" i="1" s="1"/>
  <c r="CN160" i="1"/>
  <c r="CN165" i="1" s="1"/>
  <c r="CM160" i="1"/>
  <c r="CM165" i="1" s="1"/>
  <c r="CL160" i="1"/>
  <c r="CL165" i="1" s="1"/>
  <c r="CK160" i="1"/>
  <c r="CK165" i="1" s="1"/>
  <c r="CJ160" i="1"/>
  <c r="CJ165" i="1" s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AZ160" i="1"/>
  <c r="AZ165" i="1" s="1"/>
  <c r="AY160" i="1"/>
  <c r="AY165" i="1" s="1"/>
  <c r="AX160" i="1"/>
  <c r="AX165" i="1" s="1"/>
  <c r="AW160" i="1"/>
  <c r="AW165" i="1" s="1"/>
  <c r="AV160" i="1"/>
  <c r="AV165" i="1" s="1"/>
  <c r="AU160" i="1"/>
  <c r="AU165" i="1" s="1"/>
  <c r="AT160" i="1"/>
  <c r="AT165" i="1" s="1"/>
  <c r="AS160" i="1"/>
  <c r="AS165" i="1" s="1"/>
  <c r="AR160" i="1"/>
  <c r="AR165" i="1" s="1"/>
  <c r="AQ160" i="1"/>
  <c r="AQ165" i="1" s="1"/>
  <c r="AL160" i="1"/>
  <c r="AI160" i="1"/>
  <c r="AI165" i="1" s="1"/>
  <c r="AH160" i="1"/>
  <c r="AH165" i="1" s="1"/>
  <c r="AG160" i="1"/>
  <c r="AG165" i="1" s="1"/>
  <c r="AF160" i="1"/>
  <c r="AF165" i="1" s="1"/>
  <c r="AE160" i="1"/>
  <c r="AE165" i="1" s="1"/>
  <c r="AD160" i="1"/>
  <c r="AD165" i="1" s="1"/>
  <c r="AC160" i="1"/>
  <c r="AC165" i="1" s="1"/>
  <c r="AB160" i="1"/>
  <c r="AB165" i="1" s="1"/>
  <c r="AA160" i="1"/>
  <c r="AA165" i="1" s="1"/>
  <c r="Z160" i="1"/>
  <c r="Z165" i="1" s="1"/>
  <c r="U160" i="1"/>
  <c r="O160" i="1"/>
  <c r="N160" i="1"/>
  <c r="M160" i="1"/>
  <c r="L160" i="1"/>
  <c r="K160" i="1"/>
  <c r="J160" i="1"/>
  <c r="I160" i="1"/>
  <c r="H160" i="1"/>
  <c r="G160" i="1"/>
  <c r="F160" i="1"/>
  <c r="DK159" i="1"/>
  <c r="CW159" i="1"/>
  <c r="CH159" i="1"/>
  <c r="BR159" i="1"/>
  <c r="BR160" i="1" s="1"/>
  <c r="BQ159" i="1"/>
  <c r="BQ160" i="1" s="1"/>
  <c r="BP159" i="1"/>
  <c r="BP160" i="1" s="1"/>
  <c r="BO159" i="1"/>
  <c r="BO160" i="1" s="1"/>
  <c r="BN159" i="1"/>
  <c r="BN160" i="1" s="1"/>
  <c r="BM159" i="1"/>
  <c r="BM160" i="1" s="1"/>
  <c r="BL159" i="1"/>
  <c r="BL160" i="1" s="1"/>
  <c r="BK159" i="1"/>
  <c r="BK160" i="1" s="1"/>
  <c r="BJ159" i="1"/>
  <c r="BJ160" i="1" s="1"/>
  <c r="BI159" i="1"/>
  <c r="BI160" i="1" s="1"/>
  <c r="BH159" i="1"/>
  <c r="BH160" i="1" s="1"/>
  <c r="BG159" i="1"/>
  <c r="BG160" i="1" s="1"/>
  <c r="BF159" i="1"/>
  <c r="BF160" i="1" s="1"/>
  <c r="BA159" i="1"/>
  <c r="AL159" i="1"/>
  <c r="AM159" i="1" s="1"/>
  <c r="AJ159" i="1"/>
  <c r="U159" i="1"/>
  <c r="E159" i="1"/>
  <c r="P159" i="1" s="1"/>
  <c r="D159" i="1"/>
  <c r="DK158" i="1"/>
  <c r="DK160" i="1" s="1"/>
  <c r="CW158" i="1"/>
  <c r="CW201" i="1" s="1"/>
  <c r="CH158" i="1"/>
  <c r="CH160" i="1" s="1"/>
  <c r="BS158" i="1"/>
  <c r="BC158" i="1"/>
  <c r="BC160" i="1" s="1"/>
  <c r="AP158" i="1"/>
  <c r="BD158" i="1" s="1"/>
  <c r="AO158" i="1"/>
  <c r="AL158" i="1"/>
  <c r="Y158" i="1"/>
  <c r="AJ158" i="1" s="1"/>
  <c r="CJ201" i="1" s="1"/>
  <c r="X158" i="1"/>
  <c r="U158" i="1"/>
  <c r="Q158" i="1"/>
  <c r="E158" i="1"/>
  <c r="E160" i="1" s="1"/>
  <c r="D158" i="1"/>
  <c r="BQ155" i="1"/>
  <c r="BP155" i="1"/>
  <c r="BO155" i="1"/>
  <c r="BN155" i="1"/>
  <c r="BM155" i="1"/>
  <c r="BL155" i="1"/>
  <c r="BK155" i="1"/>
  <c r="BJ155" i="1"/>
  <c r="BI155" i="1"/>
  <c r="BH155" i="1"/>
  <c r="BG155" i="1"/>
  <c r="U152" i="1"/>
  <c r="BC151" i="1"/>
  <c r="AL151" i="1"/>
  <c r="DK150" i="1"/>
  <c r="DK162" i="1" s="1"/>
  <c r="BS150" i="1"/>
  <c r="Q150" i="1" s="1"/>
  <c r="DK145" i="1"/>
  <c r="BS145" i="1"/>
  <c r="BC145" i="1"/>
  <c r="AL145" i="1"/>
  <c r="U145" i="1"/>
  <c r="Q145" i="1"/>
  <c r="DK143" i="1"/>
  <c r="BS143" i="1"/>
  <c r="Q143" i="1" s="1"/>
  <c r="DK141" i="1"/>
  <c r="BS141" i="1"/>
  <c r="Q141" i="1" s="1"/>
  <c r="DK139" i="1"/>
  <c r="BS139" i="1"/>
  <c r="AZ139" i="1"/>
  <c r="AY139" i="1"/>
  <c r="AX139" i="1"/>
  <c r="AW139" i="1"/>
  <c r="AV139" i="1"/>
  <c r="AU139" i="1"/>
  <c r="AT139" i="1"/>
  <c r="AS139" i="1"/>
  <c r="AR139" i="1"/>
  <c r="AQ139" i="1"/>
  <c r="AI139" i="1"/>
  <c r="AH139" i="1"/>
  <c r="AG139" i="1"/>
  <c r="AF139" i="1"/>
  <c r="AE139" i="1"/>
  <c r="AD139" i="1"/>
  <c r="AC139" i="1"/>
  <c r="AB139" i="1"/>
  <c r="AA139" i="1"/>
  <c r="Z139" i="1"/>
  <c r="Q139" i="1"/>
  <c r="O139" i="1"/>
  <c r="N139" i="1"/>
  <c r="M139" i="1"/>
  <c r="L139" i="1"/>
  <c r="K139" i="1"/>
  <c r="J139" i="1"/>
  <c r="I139" i="1"/>
  <c r="H139" i="1"/>
  <c r="G139" i="1"/>
  <c r="F139" i="1"/>
  <c r="DK138" i="1"/>
  <c r="BS138" i="1"/>
  <c r="BC138" i="1"/>
  <c r="AL138" i="1"/>
  <c r="U138" i="1"/>
  <c r="Q138" i="1"/>
  <c r="E138" i="1"/>
  <c r="S138" i="1" s="1"/>
  <c r="D138" i="1"/>
  <c r="BC137" i="1"/>
  <c r="BD137" i="1" s="1"/>
  <c r="AL137" i="1"/>
  <c r="U137" i="1"/>
  <c r="E137" i="1"/>
  <c r="Y137" i="1" s="1"/>
  <c r="AM137" i="1" s="1"/>
  <c r="DK136" i="1"/>
  <c r="BS136" i="1"/>
  <c r="Q136" i="1" s="1"/>
  <c r="BC136" i="1"/>
  <c r="AL136" i="1"/>
  <c r="U136" i="1"/>
  <c r="E136" i="1"/>
  <c r="S136" i="1" s="1"/>
  <c r="D136" i="1"/>
  <c r="DK135" i="1"/>
  <c r="BS135" i="1"/>
  <c r="BC135" i="1"/>
  <c r="AL135" i="1"/>
  <c r="U135" i="1"/>
  <c r="Q135" i="1"/>
  <c r="E135" i="1"/>
  <c r="S135" i="1" s="1"/>
  <c r="D135" i="1"/>
  <c r="DK133" i="1"/>
  <c r="BS133" i="1"/>
  <c r="Q133" i="1" s="1"/>
  <c r="AZ133" i="1"/>
  <c r="AY133" i="1"/>
  <c r="AX133" i="1"/>
  <c r="AW133" i="1"/>
  <c r="AV133" i="1"/>
  <c r="AU133" i="1"/>
  <c r="AT133" i="1"/>
  <c r="AS133" i="1"/>
  <c r="AR133" i="1"/>
  <c r="AQ133" i="1"/>
  <c r="AI133" i="1"/>
  <c r="AH133" i="1"/>
  <c r="AG133" i="1"/>
  <c r="AF133" i="1"/>
  <c r="AE133" i="1"/>
  <c r="AD133" i="1"/>
  <c r="AC133" i="1"/>
  <c r="AB133" i="1"/>
  <c r="AA133" i="1"/>
  <c r="Z133" i="1"/>
  <c r="O133" i="1"/>
  <c r="N133" i="1"/>
  <c r="M133" i="1"/>
  <c r="L133" i="1"/>
  <c r="K133" i="1"/>
  <c r="J133" i="1"/>
  <c r="I133" i="1"/>
  <c r="H133" i="1"/>
  <c r="G133" i="1"/>
  <c r="F133" i="1"/>
  <c r="BB132" i="1"/>
  <c r="P132" i="1"/>
  <c r="DK131" i="1"/>
  <c r="BS131" i="1"/>
  <c r="BC131" i="1"/>
  <c r="AL131" i="1"/>
  <c r="U131" i="1"/>
  <c r="Q131" i="1"/>
  <c r="E131" i="1"/>
  <c r="S131" i="1" s="1"/>
  <c r="D131" i="1"/>
  <c r="DK130" i="1"/>
  <c r="BS130" i="1"/>
  <c r="BC130" i="1"/>
  <c r="AL130" i="1"/>
  <c r="U130" i="1"/>
  <c r="Q130" i="1"/>
  <c r="E130" i="1"/>
  <c r="S130" i="1" s="1"/>
  <c r="D130" i="1"/>
  <c r="DK129" i="1"/>
  <c r="BS129" i="1"/>
  <c r="BC129" i="1"/>
  <c r="AL129" i="1"/>
  <c r="U129" i="1"/>
  <c r="Q129" i="1"/>
  <c r="E129" i="1"/>
  <c r="S129" i="1" s="1"/>
  <c r="D129" i="1"/>
  <c r="DK128" i="1"/>
  <c r="BS128" i="1"/>
  <c r="BC128" i="1"/>
  <c r="AL128" i="1"/>
  <c r="U128" i="1"/>
  <c r="Q128" i="1"/>
  <c r="E128" i="1"/>
  <c r="S128" i="1" s="1"/>
  <c r="D128" i="1"/>
  <c r="DK127" i="1"/>
  <c r="BS127" i="1"/>
  <c r="BC127" i="1"/>
  <c r="AL127" i="1"/>
  <c r="U127" i="1"/>
  <c r="Q127" i="1"/>
  <c r="E127" i="1"/>
  <c r="S127" i="1" s="1"/>
  <c r="D127" i="1"/>
  <c r="DK125" i="1"/>
  <c r="BS125" i="1"/>
  <c r="Q125" i="1" s="1"/>
  <c r="AZ125" i="1"/>
  <c r="AY125" i="1"/>
  <c r="AX125" i="1"/>
  <c r="AW125" i="1"/>
  <c r="AV125" i="1"/>
  <c r="AU125" i="1"/>
  <c r="AT125" i="1"/>
  <c r="AS125" i="1"/>
  <c r="AR125" i="1"/>
  <c r="AQ125" i="1"/>
  <c r="AI125" i="1"/>
  <c r="AH125" i="1"/>
  <c r="AG125" i="1"/>
  <c r="AF125" i="1"/>
  <c r="AE125" i="1"/>
  <c r="AD125" i="1"/>
  <c r="AC125" i="1"/>
  <c r="AB125" i="1"/>
  <c r="AA125" i="1"/>
  <c r="Z125" i="1"/>
  <c r="O125" i="1"/>
  <c r="N125" i="1"/>
  <c r="M125" i="1"/>
  <c r="L125" i="1"/>
  <c r="K125" i="1"/>
  <c r="J125" i="1"/>
  <c r="I125" i="1"/>
  <c r="H125" i="1"/>
  <c r="G125" i="1"/>
  <c r="F125" i="1"/>
  <c r="DK124" i="1"/>
  <c r="BS124" i="1"/>
  <c r="BC124" i="1"/>
  <c r="AL124" i="1"/>
  <c r="U124" i="1"/>
  <c r="Q124" i="1"/>
  <c r="E124" i="1"/>
  <c r="S124" i="1" s="1"/>
  <c r="D124" i="1"/>
  <c r="DK123" i="1"/>
  <c r="BS123" i="1"/>
  <c r="BC123" i="1"/>
  <c r="AL123" i="1"/>
  <c r="U123" i="1"/>
  <c r="Q123" i="1"/>
  <c r="E123" i="1"/>
  <c r="S123" i="1" s="1"/>
  <c r="D123" i="1"/>
  <c r="DK122" i="1"/>
  <c r="BS122" i="1"/>
  <c r="BC122" i="1"/>
  <c r="AL122" i="1"/>
  <c r="U122" i="1"/>
  <c r="Q122" i="1"/>
  <c r="E122" i="1"/>
  <c r="S122" i="1" s="1"/>
  <c r="D122" i="1"/>
  <c r="DK121" i="1"/>
  <c r="BS121" i="1"/>
  <c r="Q121" i="1" s="1"/>
  <c r="BC121" i="1"/>
  <c r="AL121" i="1"/>
  <c r="U121" i="1"/>
  <c r="E121" i="1"/>
  <c r="S121" i="1" s="1"/>
  <c r="D121" i="1"/>
  <c r="DK120" i="1"/>
  <c r="BS120" i="1"/>
  <c r="BC120" i="1"/>
  <c r="AL120" i="1"/>
  <c r="U120" i="1"/>
  <c r="Q120" i="1"/>
  <c r="E120" i="1"/>
  <c r="D120" i="1"/>
  <c r="DK119" i="1"/>
  <c r="BS119" i="1"/>
  <c r="BC119" i="1"/>
  <c r="AL119" i="1"/>
  <c r="U119" i="1"/>
  <c r="Q119" i="1"/>
  <c r="E119" i="1"/>
  <c r="S119" i="1" s="1"/>
  <c r="D119" i="1"/>
  <c r="DK118" i="1"/>
  <c r="BS118" i="1"/>
  <c r="Q118" i="1" s="1"/>
  <c r="BC118" i="1"/>
  <c r="AL118" i="1"/>
  <c r="U118" i="1"/>
  <c r="E118" i="1"/>
  <c r="D118" i="1"/>
  <c r="DK117" i="1"/>
  <c r="BS117" i="1"/>
  <c r="BC117" i="1"/>
  <c r="AL117" i="1"/>
  <c r="U117" i="1"/>
  <c r="Q117" i="1"/>
  <c r="E117" i="1"/>
  <c r="S117" i="1" s="1"/>
  <c r="D117" i="1"/>
  <c r="DK116" i="1"/>
  <c r="BS116" i="1"/>
  <c r="BC116" i="1"/>
  <c r="AL116" i="1"/>
  <c r="U116" i="1"/>
  <c r="Q116" i="1"/>
  <c r="E116" i="1"/>
  <c r="D116" i="1"/>
  <c r="DK115" i="1"/>
  <c r="BS115" i="1"/>
  <c r="Q115" i="1" s="1"/>
  <c r="BC115" i="1"/>
  <c r="AL115" i="1"/>
  <c r="U115" i="1"/>
  <c r="E115" i="1"/>
  <c r="D115" i="1"/>
  <c r="DK113" i="1"/>
  <c r="BS113" i="1"/>
  <c r="Q113" i="1" s="1"/>
  <c r="AZ113" i="1"/>
  <c r="AZ141" i="1" s="1"/>
  <c r="AY113" i="1"/>
  <c r="AY141" i="1" s="1"/>
  <c r="AX113" i="1"/>
  <c r="AX141" i="1" s="1"/>
  <c r="AW113" i="1"/>
  <c r="AW141" i="1" s="1"/>
  <c r="AV113" i="1"/>
  <c r="AV141" i="1" s="1"/>
  <c r="AU113" i="1"/>
  <c r="AU141" i="1" s="1"/>
  <c r="AT113" i="1"/>
  <c r="AT141" i="1" s="1"/>
  <c r="AS113" i="1"/>
  <c r="AS141" i="1" s="1"/>
  <c r="AR113" i="1"/>
  <c r="AR141" i="1" s="1"/>
  <c r="AQ113" i="1"/>
  <c r="AQ141" i="1" s="1"/>
  <c r="AI113" i="1"/>
  <c r="AI141" i="1" s="1"/>
  <c r="AH113" i="1"/>
  <c r="AH141" i="1" s="1"/>
  <c r="AG113" i="1"/>
  <c r="AG141" i="1" s="1"/>
  <c r="AF113" i="1"/>
  <c r="AF141" i="1" s="1"/>
  <c r="AE113" i="1"/>
  <c r="AE141" i="1" s="1"/>
  <c r="AD113" i="1"/>
  <c r="AD141" i="1" s="1"/>
  <c r="AC113" i="1"/>
  <c r="AC141" i="1" s="1"/>
  <c r="AB113" i="1"/>
  <c r="AB141" i="1" s="1"/>
  <c r="AA113" i="1"/>
  <c r="AA141" i="1" s="1"/>
  <c r="Z113" i="1"/>
  <c r="Z141" i="1" s="1"/>
  <c r="O113" i="1"/>
  <c r="O141" i="1" s="1"/>
  <c r="N113" i="1"/>
  <c r="N141" i="1" s="1"/>
  <c r="M113" i="1"/>
  <c r="M141" i="1" s="1"/>
  <c r="L113" i="1"/>
  <c r="L141" i="1" s="1"/>
  <c r="K113" i="1"/>
  <c r="K141" i="1" s="1"/>
  <c r="J113" i="1"/>
  <c r="J141" i="1" s="1"/>
  <c r="I113" i="1"/>
  <c r="I141" i="1" s="1"/>
  <c r="H113" i="1"/>
  <c r="H141" i="1" s="1"/>
  <c r="G113" i="1"/>
  <c r="G141" i="1" s="1"/>
  <c r="F113" i="1"/>
  <c r="F141" i="1" s="1"/>
  <c r="DK112" i="1"/>
  <c r="BS112" i="1"/>
  <c r="BC112" i="1"/>
  <c r="AL112" i="1"/>
  <c r="U112" i="1"/>
  <c r="Q112" i="1"/>
  <c r="E112" i="1"/>
  <c r="S112" i="1" s="1"/>
  <c r="D112" i="1"/>
  <c r="DK111" i="1"/>
  <c r="BS111" i="1"/>
  <c r="Q111" i="1" s="1"/>
  <c r="BC111" i="1"/>
  <c r="AL111" i="1"/>
  <c r="U111" i="1"/>
  <c r="E111" i="1"/>
  <c r="D111" i="1"/>
  <c r="DK110" i="1"/>
  <c r="BS110" i="1"/>
  <c r="BC110" i="1"/>
  <c r="AL110" i="1"/>
  <c r="U110" i="1"/>
  <c r="Q110" i="1"/>
  <c r="E110" i="1"/>
  <c r="D110" i="1"/>
  <c r="DK109" i="1"/>
  <c r="BS109" i="1"/>
  <c r="Q109" i="1" s="1"/>
  <c r="BC109" i="1"/>
  <c r="AL109" i="1"/>
  <c r="U109" i="1"/>
  <c r="E109" i="1"/>
  <c r="S109" i="1" s="1"/>
  <c r="D109" i="1"/>
  <c r="AK107" i="1"/>
  <c r="AJ107" i="1"/>
  <c r="P107" i="1"/>
  <c r="DK105" i="1"/>
  <c r="BS105" i="1"/>
  <c r="Q105" i="1" s="1"/>
  <c r="U105" i="1"/>
  <c r="E105" i="1"/>
  <c r="D105" i="1"/>
  <c r="DK102" i="1"/>
  <c r="BS102" i="1"/>
  <c r="Q102" i="1" s="1"/>
  <c r="DK100" i="1"/>
  <c r="BS100" i="1"/>
  <c r="Q100" i="1"/>
  <c r="DK98" i="1"/>
  <c r="BS98" i="1"/>
  <c r="Q98" i="1" s="1"/>
  <c r="AZ98" i="1"/>
  <c r="AY98" i="1"/>
  <c r="AX98" i="1"/>
  <c r="AW98" i="1"/>
  <c r="AV98" i="1"/>
  <c r="AU98" i="1"/>
  <c r="AT98" i="1"/>
  <c r="AS98" i="1"/>
  <c r="AR98" i="1"/>
  <c r="AQ98" i="1"/>
  <c r="AI98" i="1"/>
  <c r="AH98" i="1"/>
  <c r="AG98" i="1"/>
  <c r="AF98" i="1"/>
  <c r="AE98" i="1"/>
  <c r="AD98" i="1"/>
  <c r="AC98" i="1"/>
  <c r="AB98" i="1"/>
  <c r="AA98" i="1"/>
  <c r="Z98" i="1"/>
  <c r="O98" i="1"/>
  <c r="N98" i="1"/>
  <c r="M98" i="1"/>
  <c r="L98" i="1"/>
  <c r="K98" i="1"/>
  <c r="J98" i="1"/>
  <c r="I98" i="1"/>
  <c r="H98" i="1"/>
  <c r="G98" i="1"/>
  <c r="F98" i="1"/>
  <c r="DK97" i="1"/>
  <c r="BS97" i="1"/>
  <c r="Q97" i="1" s="1"/>
  <c r="BC97" i="1"/>
  <c r="AL97" i="1"/>
  <c r="U97" i="1"/>
  <c r="E97" i="1"/>
  <c r="S97" i="1" s="1"/>
  <c r="D97" i="1"/>
  <c r="DK96" i="1"/>
  <c r="BS96" i="1"/>
  <c r="BC96" i="1"/>
  <c r="AL96" i="1"/>
  <c r="U96" i="1"/>
  <c r="Q96" i="1"/>
  <c r="E96" i="1"/>
  <c r="D96" i="1"/>
  <c r="DK95" i="1"/>
  <c r="BS95" i="1"/>
  <c r="BC95" i="1"/>
  <c r="AL95" i="1"/>
  <c r="U95" i="1"/>
  <c r="Q95" i="1"/>
  <c r="E95" i="1"/>
  <c r="S95" i="1" s="1"/>
  <c r="D95" i="1"/>
  <c r="DK93" i="1"/>
  <c r="BS93" i="1"/>
  <c r="Q93" i="1" s="1"/>
  <c r="AZ93" i="1"/>
  <c r="AY93" i="1"/>
  <c r="AX93" i="1"/>
  <c r="AW93" i="1"/>
  <c r="AV93" i="1"/>
  <c r="AU93" i="1"/>
  <c r="AT93" i="1"/>
  <c r="AS93" i="1"/>
  <c r="AR93" i="1"/>
  <c r="AQ93" i="1"/>
  <c r="AI93" i="1"/>
  <c r="AH93" i="1"/>
  <c r="AG93" i="1"/>
  <c r="AF93" i="1"/>
  <c r="AE93" i="1"/>
  <c r="AD93" i="1"/>
  <c r="AC93" i="1"/>
  <c r="AB93" i="1"/>
  <c r="AA93" i="1"/>
  <c r="Z93" i="1"/>
  <c r="O93" i="1"/>
  <c r="N93" i="1"/>
  <c r="M93" i="1"/>
  <c r="L93" i="1"/>
  <c r="K93" i="1"/>
  <c r="J93" i="1"/>
  <c r="I93" i="1"/>
  <c r="H93" i="1"/>
  <c r="G93" i="1"/>
  <c r="F93" i="1"/>
  <c r="DK92" i="1"/>
  <c r="BS92" i="1"/>
  <c r="BC92" i="1"/>
  <c r="AL92" i="1"/>
  <c r="U92" i="1"/>
  <c r="Q92" i="1"/>
  <c r="E92" i="1"/>
  <c r="S92" i="1" s="1"/>
  <c r="D92" i="1"/>
  <c r="DK91" i="1"/>
  <c r="BS91" i="1"/>
  <c r="BC91" i="1"/>
  <c r="AL91" i="1"/>
  <c r="U91" i="1"/>
  <c r="Q91" i="1"/>
  <c r="E91" i="1"/>
  <c r="D91" i="1"/>
  <c r="DK90" i="1"/>
  <c r="BS90" i="1"/>
  <c r="BC90" i="1"/>
  <c r="AL90" i="1"/>
  <c r="U90" i="1"/>
  <c r="Q90" i="1"/>
  <c r="E90" i="1"/>
  <c r="S90" i="1" s="1"/>
  <c r="D90" i="1"/>
  <c r="BB89" i="1"/>
  <c r="AK89" i="1"/>
  <c r="DK88" i="1"/>
  <c r="BS88" i="1"/>
  <c r="Q88" i="1" s="1"/>
  <c r="AZ88" i="1"/>
  <c r="AY88" i="1"/>
  <c r="AX88" i="1"/>
  <c r="AW88" i="1"/>
  <c r="AV88" i="1"/>
  <c r="AU88" i="1"/>
  <c r="AT88" i="1"/>
  <c r="AS88" i="1"/>
  <c r="AR88" i="1"/>
  <c r="AQ88" i="1"/>
  <c r="AI88" i="1"/>
  <c r="AH88" i="1"/>
  <c r="AG88" i="1"/>
  <c r="AF88" i="1"/>
  <c r="AE88" i="1"/>
  <c r="AD88" i="1"/>
  <c r="AC88" i="1"/>
  <c r="AB88" i="1"/>
  <c r="AA88" i="1"/>
  <c r="Z88" i="1"/>
  <c r="O88" i="1"/>
  <c r="N88" i="1"/>
  <c r="M88" i="1"/>
  <c r="L88" i="1"/>
  <c r="K88" i="1"/>
  <c r="J88" i="1"/>
  <c r="I88" i="1"/>
  <c r="H88" i="1"/>
  <c r="G88" i="1"/>
  <c r="F88" i="1"/>
  <c r="BD87" i="1"/>
  <c r="BB87" i="1"/>
  <c r="AK87" i="1"/>
  <c r="T87" i="1"/>
  <c r="S87" i="1"/>
  <c r="DK86" i="1"/>
  <c r="BS86" i="1"/>
  <c r="BC86" i="1"/>
  <c r="AL86" i="1"/>
  <c r="U86" i="1"/>
  <c r="Q86" i="1"/>
  <c r="E86" i="1"/>
  <c r="S86" i="1" s="1"/>
  <c r="D86" i="1"/>
  <c r="DK85" i="1"/>
  <c r="BS85" i="1"/>
  <c r="BC85" i="1"/>
  <c r="AL85" i="1"/>
  <c r="U85" i="1"/>
  <c r="Q85" i="1"/>
  <c r="E85" i="1"/>
  <c r="S85" i="1" s="1"/>
  <c r="D85" i="1"/>
  <c r="DK84" i="1"/>
  <c r="BS84" i="1"/>
  <c r="BC84" i="1"/>
  <c r="AL84" i="1"/>
  <c r="U84" i="1"/>
  <c r="Q84" i="1"/>
  <c r="E84" i="1"/>
  <c r="S84" i="1" s="1"/>
  <c r="D84" i="1"/>
  <c r="DK83" i="1"/>
  <c r="BS83" i="1"/>
  <c r="Q83" i="1" s="1"/>
  <c r="BC83" i="1"/>
  <c r="AL83" i="1"/>
  <c r="U83" i="1"/>
  <c r="E83" i="1"/>
  <c r="S83" i="1" s="1"/>
  <c r="D83" i="1"/>
  <c r="DK82" i="1"/>
  <c r="BS82" i="1"/>
  <c r="BC82" i="1"/>
  <c r="AL82" i="1"/>
  <c r="U82" i="1"/>
  <c r="Q82" i="1"/>
  <c r="E82" i="1"/>
  <c r="D82" i="1"/>
  <c r="BB81" i="1"/>
  <c r="AK81" i="1"/>
  <c r="DK80" i="1"/>
  <c r="BS80" i="1"/>
  <c r="Q80" i="1" s="1"/>
  <c r="AZ80" i="1"/>
  <c r="AY80" i="1"/>
  <c r="AX80" i="1"/>
  <c r="AW80" i="1"/>
  <c r="AV80" i="1"/>
  <c r="AU80" i="1"/>
  <c r="AT80" i="1"/>
  <c r="AS80" i="1"/>
  <c r="AR80" i="1"/>
  <c r="AQ80" i="1"/>
  <c r="AI80" i="1"/>
  <c r="AH80" i="1"/>
  <c r="AG80" i="1"/>
  <c r="AF80" i="1"/>
  <c r="AE80" i="1"/>
  <c r="AD80" i="1"/>
  <c r="AC80" i="1"/>
  <c r="AB80" i="1"/>
  <c r="AA80" i="1"/>
  <c r="Z80" i="1"/>
  <c r="O80" i="1"/>
  <c r="N80" i="1"/>
  <c r="M80" i="1"/>
  <c r="L80" i="1"/>
  <c r="K80" i="1"/>
  <c r="J80" i="1"/>
  <c r="I80" i="1"/>
  <c r="H80" i="1"/>
  <c r="G80" i="1"/>
  <c r="F80" i="1"/>
  <c r="DK79" i="1"/>
  <c r="BS79" i="1"/>
  <c r="BC79" i="1"/>
  <c r="AL79" i="1"/>
  <c r="U79" i="1"/>
  <c r="Q79" i="1"/>
  <c r="E79" i="1"/>
  <c r="S79" i="1" s="1"/>
  <c r="D79" i="1"/>
  <c r="DK78" i="1"/>
  <c r="BS78" i="1"/>
  <c r="Q78" i="1" s="1"/>
  <c r="BC78" i="1"/>
  <c r="AL78" i="1"/>
  <c r="U78" i="1"/>
  <c r="E78" i="1"/>
  <c r="S78" i="1" s="1"/>
  <c r="D78" i="1"/>
  <c r="DK77" i="1"/>
  <c r="BS77" i="1"/>
  <c r="BC77" i="1"/>
  <c r="AL77" i="1"/>
  <c r="U77" i="1"/>
  <c r="Q77" i="1"/>
  <c r="E77" i="1"/>
  <c r="S77" i="1" s="1"/>
  <c r="D77" i="1"/>
  <c r="DK76" i="1"/>
  <c r="BS76" i="1"/>
  <c r="BC76" i="1"/>
  <c r="AL76" i="1"/>
  <c r="U76" i="1"/>
  <c r="Q76" i="1"/>
  <c r="E76" i="1"/>
  <c r="S76" i="1" s="1"/>
  <c r="D76" i="1"/>
  <c r="DK75" i="1"/>
  <c r="BS75" i="1"/>
  <c r="BC75" i="1"/>
  <c r="AL75" i="1"/>
  <c r="U75" i="1"/>
  <c r="Q75" i="1"/>
  <c r="E75" i="1"/>
  <c r="S75" i="1" s="1"/>
  <c r="D75" i="1"/>
  <c r="DK74" i="1"/>
  <c r="BS74" i="1"/>
  <c r="Q74" i="1" s="1"/>
  <c r="BC74" i="1"/>
  <c r="AL74" i="1"/>
  <c r="U74" i="1"/>
  <c r="E74" i="1"/>
  <c r="S74" i="1" s="1"/>
  <c r="D74" i="1"/>
  <c r="DK73" i="1"/>
  <c r="BS73" i="1"/>
  <c r="BC73" i="1"/>
  <c r="AL73" i="1"/>
  <c r="U73" i="1"/>
  <c r="Q73" i="1"/>
  <c r="E73" i="1"/>
  <c r="S73" i="1" s="1"/>
  <c r="D73" i="1"/>
  <c r="DK72" i="1"/>
  <c r="BS72" i="1"/>
  <c r="BC72" i="1"/>
  <c r="AL72" i="1"/>
  <c r="U72" i="1"/>
  <c r="Q72" i="1"/>
  <c r="E72" i="1"/>
  <c r="S72" i="1" s="1"/>
  <c r="D72" i="1"/>
  <c r="DK71" i="1"/>
  <c r="BS71" i="1"/>
  <c r="BC71" i="1"/>
  <c r="AL71" i="1"/>
  <c r="U71" i="1"/>
  <c r="Q71" i="1"/>
  <c r="E71" i="1"/>
  <c r="S71" i="1" s="1"/>
  <c r="D71" i="1"/>
  <c r="DK70" i="1"/>
  <c r="BS70" i="1"/>
  <c r="Q70" i="1" s="1"/>
  <c r="BC70" i="1"/>
  <c r="AL70" i="1"/>
  <c r="U70" i="1"/>
  <c r="E70" i="1"/>
  <c r="D70" i="1"/>
  <c r="BB69" i="1"/>
  <c r="AK69" i="1"/>
  <c r="DK68" i="1"/>
  <c r="BS68" i="1"/>
  <c r="Q68" i="1" s="1"/>
  <c r="AZ68" i="1"/>
  <c r="AY68" i="1"/>
  <c r="AY100" i="1" s="1"/>
  <c r="AY143" i="1" s="1"/>
  <c r="AX68" i="1"/>
  <c r="AW68" i="1"/>
  <c r="AW100" i="1" s="1"/>
  <c r="AW143" i="1" s="1"/>
  <c r="AV68" i="1"/>
  <c r="AU68" i="1"/>
  <c r="AU100" i="1" s="1"/>
  <c r="AU143" i="1" s="1"/>
  <c r="AT68" i="1"/>
  <c r="AS68" i="1"/>
  <c r="AS100" i="1" s="1"/>
  <c r="AS143" i="1" s="1"/>
  <c r="AR68" i="1"/>
  <c r="AQ68" i="1"/>
  <c r="AQ100" i="1" s="1"/>
  <c r="AQ143" i="1" s="1"/>
  <c r="AI68" i="1"/>
  <c r="AH68" i="1"/>
  <c r="AH100" i="1" s="1"/>
  <c r="AH143" i="1" s="1"/>
  <c r="AG68" i="1"/>
  <c r="AF68" i="1"/>
  <c r="AF100" i="1" s="1"/>
  <c r="AF143" i="1" s="1"/>
  <c r="AE68" i="1"/>
  <c r="AD68" i="1"/>
  <c r="AD100" i="1" s="1"/>
  <c r="AD143" i="1" s="1"/>
  <c r="AC68" i="1"/>
  <c r="AB68" i="1"/>
  <c r="AB100" i="1" s="1"/>
  <c r="AB143" i="1" s="1"/>
  <c r="AA68" i="1"/>
  <c r="Z68" i="1"/>
  <c r="Z100" i="1" s="1"/>
  <c r="Z143" i="1" s="1"/>
  <c r="O68" i="1"/>
  <c r="O100" i="1" s="1"/>
  <c r="O143" i="1" s="1"/>
  <c r="N68" i="1"/>
  <c r="M68" i="1"/>
  <c r="M100" i="1" s="1"/>
  <c r="M143" i="1" s="1"/>
  <c r="L68" i="1"/>
  <c r="K68" i="1"/>
  <c r="K100" i="1" s="1"/>
  <c r="K143" i="1" s="1"/>
  <c r="J68" i="1"/>
  <c r="I68" i="1"/>
  <c r="I100" i="1" s="1"/>
  <c r="I143" i="1" s="1"/>
  <c r="H68" i="1"/>
  <c r="G68" i="1"/>
  <c r="G100" i="1" s="1"/>
  <c r="G143" i="1" s="1"/>
  <c r="F68" i="1"/>
  <c r="DK67" i="1"/>
  <c r="BS67" i="1"/>
  <c r="Q67" i="1" s="1"/>
  <c r="BC67" i="1"/>
  <c r="AL67" i="1"/>
  <c r="U67" i="1"/>
  <c r="E67" i="1"/>
  <c r="S67" i="1" s="1"/>
  <c r="D67" i="1"/>
  <c r="DK66" i="1"/>
  <c r="BS66" i="1"/>
  <c r="BC66" i="1"/>
  <c r="AL66" i="1"/>
  <c r="U66" i="1"/>
  <c r="Q66" i="1"/>
  <c r="E66" i="1"/>
  <c r="S66" i="1" s="1"/>
  <c r="D66" i="1"/>
  <c r="DK65" i="1"/>
  <c r="BS65" i="1"/>
  <c r="BC65" i="1"/>
  <c r="AL65" i="1"/>
  <c r="U65" i="1"/>
  <c r="Q65" i="1"/>
  <c r="E65" i="1"/>
  <c r="S65" i="1" s="1"/>
  <c r="D65" i="1"/>
  <c r="DK64" i="1"/>
  <c r="BS64" i="1"/>
  <c r="BC64" i="1"/>
  <c r="AL64" i="1"/>
  <c r="U64" i="1"/>
  <c r="Q64" i="1"/>
  <c r="E64" i="1"/>
  <c r="E68" i="1" s="1"/>
  <c r="D64" i="1"/>
  <c r="DK62" i="1"/>
  <c r="BS62" i="1"/>
  <c r="Q62" i="1" s="1"/>
  <c r="Q200" i="1" s="1"/>
  <c r="BC62" i="1"/>
  <c r="BD62" i="1" s="1"/>
  <c r="BB62" i="1"/>
  <c r="BA62" i="1"/>
  <c r="AL62" i="1"/>
  <c r="AM62" i="1" s="1"/>
  <c r="AK62" i="1"/>
  <c r="AJ62" i="1"/>
  <c r="U62" i="1"/>
  <c r="E62" i="1"/>
  <c r="D62" i="1"/>
  <c r="DK60" i="1"/>
  <c r="BS60" i="1"/>
  <c r="BC60" i="1"/>
  <c r="AL60" i="1"/>
  <c r="U60" i="1"/>
  <c r="Q60" i="1"/>
  <c r="E60" i="1"/>
  <c r="S60" i="1" s="1"/>
  <c r="D60" i="1"/>
  <c r="DK55" i="1"/>
  <c r="DK191" i="1" s="1"/>
  <c r="BS55" i="1"/>
  <c r="BS191" i="1" s="1"/>
  <c r="Q191" i="1" s="1"/>
  <c r="AZ55" i="1"/>
  <c r="AY55" i="1"/>
  <c r="AX55" i="1"/>
  <c r="AW55" i="1"/>
  <c r="AV55" i="1"/>
  <c r="AU55" i="1"/>
  <c r="AT55" i="1"/>
  <c r="AS55" i="1"/>
  <c r="AR55" i="1"/>
  <c r="AQ55" i="1"/>
  <c r="O55" i="1"/>
  <c r="N55" i="1"/>
  <c r="M55" i="1"/>
  <c r="L55" i="1"/>
  <c r="K55" i="1"/>
  <c r="J55" i="1"/>
  <c r="I55" i="1"/>
  <c r="H55" i="1"/>
  <c r="G55" i="1"/>
  <c r="F55" i="1"/>
  <c r="AD52" i="1"/>
  <c r="DK44" i="1"/>
  <c r="BS44" i="1"/>
  <c r="AL44" i="1"/>
  <c r="Y44" i="1"/>
  <c r="AP44" i="1" s="1"/>
  <c r="BB44" i="1" s="1"/>
  <c r="X44" i="1"/>
  <c r="AO44" i="1" s="1"/>
  <c r="U44" i="1"/>
  <c r="V44" i="1" s="1"/>
  <c r="S44" i="1"/>
  <c r="R44" i="1"/>
  <c r="Q44" i="1"/>
  <c r="P44" i="1"/>
  <c r="T44" i="1" s="1"/>
  <c r="DK43" i="1"/>
  <c r="BS43" i="1"/>
  <c r="BS201" i="1" s="1"/>
  <c r="BC43" i="1"/>
  <c r="BD43" i="1" s="1"/>
  <c r="BB43" i="1"/>
  <c r="BA43" i="1"/>
  <c r="AL43" i="1"/>
  <c r="AI43" i="1"/>
  <c r="AH43" i="1"/>
  <c r="AG43" i="1"/>
  <c r="AF43" i="1"/>
  <c r="AE43" i="1"/>
  <c r="AD43" i="1"/>
  <c r="AC43" i="1"/>
  <c r="AB43" i="1"/>
  <c r="AA43" i="1"/>
  <c r="Z43" i="1"/>
  <c r="U43" i="1"/>
  <c r="Q43" i="1"/>
  <c r="Q201" i="1" s="1"/>
  <c r="E43" i="1"/>
  <c r="E201" i="1" s="1"/>
  <c r="D43" i="1"/>
  <c r="D201" i="1" s="1"/>
  <c r="DK40" i="1"/>
  <c r="BS40" i="1"/>
  <c r="BC40" i="1"/>
  <c r="BD40" i="1" s="1"/>
  <c r="BB40" i="1"/>
  <c r="BA40" i="1"/>
  <c r="AL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U40" i="1"/>
  <c r="V40" i="1" s="1"/>
  <c r="S40" i="1"/>
  <c r="R40" i="1"/>
  <c r="Q40" i="1"/>
  <c r="P40" i="1"/>
  <c r="T40" i="1" s="1"/>
  <c r="DK32" i="1"/>
  <c r="BS32" i="1"/>
  <c r="BB32" i="1"/>
  <c r="BA32" i="1"/>
  <c r="AL32" i="1"/>
  <c r="AI32" i="1"/>
  <c r="AH32" i="1"/>
  <c r="AG32" i="1"/>
  <c r="AF32" i="1"/>
  <c r="AE32" i="1"/>
  <c r="AD32" i="1"/>
  <c r="AC32" i="1"/>
  <c r="AB32" i="1"/>
  <c r="AA32" i="1"/>
  <c r="Z32" i="1"/>
  <c r="U32" i="1"/>
  <c r="Q32" i="1"/>
  <c r="E32" i="1"/>
  <c r="Y32" i="1" s="1"/>
  <c r="D32" i="1"/>
  <c r="BC31" i="1"/>
  <c r="Q31" i="1"/>
  <c r="E31" i="1"/>
  <c r="S31" i="1" s="1"/>
  <c r="D31" i="1"/>
  <c r="DK30" i="1"/>
  <c r="BS30" i="1"/>
  <c r="BB30" i="1"/>
  <c r="BA30" i="1"/>
  <c r="AL30" i="1"/>
  <c r="AI30" i="1"/>
  <c r="AH30" i="1"/>
  <c r="AG30" i="1"/>
  <c r="AF30" i="1"/>
  <c r="AE30" i="1"/>
  <c r="AD30" i="1"/>
  <c r="AC30" i="1"/>
  <c r="AB30" i="1"/>
  <c r="AA30" i="1"/>
  <c r="Z30" i="1"/>
  <c r="U30" i="1"/>
  <c r="Q30" i="1"/>
  <c r="E30" i="1"/>
  <c r="S30" i="1" s="1"/>
  <c r="D30" i="1"/>
  <c r="AK25" i="1"/>
  <c r="R25" i="1"/>
  <c r="DK17" i="1"/>
  <c r="DK190" i="1" s="1"/>
  <c r="BS17" i="1"/>
  <c r="BS190" i="1" s="1"/>
  <c r="Q190" i="1" s="1"/>
  <c r="AZ17" i="1"/>
  <c r="AZ190" i="1" s="1"/>
  <c r="AY17" i="1"/>
  <c r="AY190" i="1" s="1"/>
  <c r="AX17" i="1"/>
  <c r="AX190" i="1" s="1"/>
  <c r="AW17" i="1"/>
  <c r="AW190" i="1" s="1"/>
  <c r="AV17" i="1"/>
  <c r="AV190" i="1" s="1"/>
  <c r="AU17" i="1"/>
  <c r="AU190" i="1" s="1"/>
  <c r="AT17" i="1"/>
  <c r="AT190" i="1" s="1"/>
  <c r="AS17" i="1"/>
  <c r="AS190" i="1" s="1"/>
  <c r="AR17" i="1"/>
  <c r="AR190" i="1" s="1"/>
  <c r="AQ17" i="1"/>
  <c r="AQ190" i="1" s="1"/>
  <c r="Q17" i="1"/>
  <c r="O17" i="1"/>
  <c r="O190" i="1" s="1"/>
  <c r="N17" i="1"/>
  <c r="N190" i="1" s="1"/>
  <c r="M17" i="1"/>
  <c r="M190" i="1" s="1"/>
  <c r="L17" i="1"/>
  <c r="L190" i="1" s="1"/>
  <c r="K17" i="1"/>
  <c r="K190" i="1" s="1"/>
  <c r="J17" i="1"/>
  <c r="J190" i="1" s="1"/>
  <c r="I17" i="1"/>
  <c r="I190" i="1" s="1"/>
  <c r="H17" i="1"/>
  <c r="H190" i="1" s="1"/>
  <c r="G17" i="1"/>
  <c r="G190" i="1" s="1"/>
  <c r="F17" i="1"/>
  <c r="F190" i="1" s="1"/>
  <c r="DK13" i="1"/>
  <c r="BS13" i="1"/>
  <c r="AJ13" i="1"/>
  <c r="E13" i="1"/>
  <c r="AP13" i="1" s="1"/>
  <c r="D13" i="1"/>
  <c r="AO13" i="1" s="1"/>
  <c r="DJ12" i="1"/>
  <c r="DI12" i="1"/>
  <c r="DH12" i="1"/>
  <c r="DG12" i="1"/>
  <c r="DF12" i="1"/>
  <c r="DE12" i="1"/>
  <c r="BS12" i="1"/>
  <c r="Q12" i="1" s="1"/>
  <c r="AP12" i="1"/>
  <c r="AO12" i="1"/>
  <c r="AL12" i="1"/>
  <c r="AL17" i="1" s="1"/>
  <c r="AI12" i="1"/>
  <c r="AI17" i="1" s="1"/>
  <c r="AI190" i="1" s="1"/>
  <c r="AH12" i="1"/>
  <c r="AH17" i="1" s="1"/>
  <c r="AH190" i="1" s="1"/>
  <c r="AG12" i="1"/>
  <c r="AG17" i="1" s="1"/>
  <c r="AG190" i="1" s="1"/>
  <c r="AF12" i="1"/>
  <c r="AF17" i="1" s="1"/>
  <c r="AF190" i="1" s="1"/>
  <c r="AE12" i="1"/>
  <c r="AE17" i="1" s="1"/>
  <c r="AE190" i="1" s="1"/>
  <c r="AD12" i="1"/>
  <c r="AD17" i="1" s="1"/>
  <c r="AD190" i="1" s="1"/>
  <c r="AC12" i="1"/>
  <c r="AC17" i="1" s="1"/>
  <c r="AC190" i="1" s="1"/>
  <c r="AB12" i="1"/>
  <c r="AB17" i="1" s="1"/>
  <c r="AB190" i="1" s="1"/>
  <c r="AA12" i="1"/>
  <c r="AA17" i="1" s="1"/>
  <c r="AA190" i="1" s="1"/>
  <c r="Z12" i="1"/>
  <c r="Z17" i="1" s="1"/>
  <c r="Z190" i="1" s="1"/>
  <c r="U12" i="1"/>
  <c r="U17" i="1" s="1"/>
  <c r="E12" i="1"/>
  <c r="D12" i="1"/>
  <c r="P31" i="1" l="1"/>
  <c r="T31" i="1" s="1"/>
  <c r="AM40" i="1"/>
  <c r="V62" i="1"/>
  <c r="R90" i="1"/>
  <c r="V90" i="1"/>
  <c r="E93" i="1"/>
  <c r="U93" i="1"/>
  <c r="V105" i="1"/>
  <c r="P129" i="1"/>
  <c r="T129" i="1" s="1"/>
  <c r="R130" i="1"/>
  <c r="V130" i="1"/>
  <c r="E17" i="1"/>
  <c r="V115" i="1"/>
  <c r="E33" i="5"/>
  <c r="F23" i="5"/>
  <c r="E34" i="5"/>
  <c r="G86" i="5"/>
  <c r="H86" i="5" s="1"/>
  <c r="G39" i="5"/>
  <c r="G45" i="5"/>
  <c r="G50" i="5" s="1"/>
  <c r="G40" i="5"/>
  <c r="H22" i="5"/>
  <c r="I33" i="5"/>
  <c r="J23" i="5"/>
  <c r="I34" i="5"/>
  <c r="K86" i="5"/>
  <c r="L86" i="5" s="1"/>
  <c r="K39" i="5"/>
  <c r="K45" i="5"/>
  <c r="K50" i="5" s="1"/>
  <c r="K40" i="5"/>
  <c r="L22" i="5"/>
  <c r="I50" i="5"/>
  <c r="I89" i="5"/>
  <c r="J85" i="5" s="1"/>
  <c r="L12" i="4"/>
  <c r="G22" i="4"/>
  <c r="H17" i="4"/>
  <c r="L13" i="4"/>
  <c r="L21" i="4"/>
  <c r="L17" i="4"/>
  <c r="O17" i="4" s="1"/>
  <c r="DK12" i="1"/>
  <c r="U68" i="1"/>
  <c r="BC68" i="1"/>
  <c r="V70" i="1"/>
  <c r="P73" i="1"/>
  <c r="T73" i="1" s="1"/>
  <c r="R74" i="1"/>
  <c r="V74" i="1"/>
  <c r="P86" i="1"/>
  <c r="T86" i="1" s="1"/>
  <c r="P96" i="1"/>
  <c r="T96" i="1" s="1"/>
  <c r="R97" i="1"/>
  <c r="V97" i="1"/>
  <c r="D113" i="1"/>
  <c r="V109" i="1"/>
  <c r="BC113" i="1"/>
  <c r="E113" i="1"/>
  <c r="V111" i="1"/>
  <c r="BC125" i="1"/>
  <c r="P120" i="1"/>
  <c r="T120" i="1" s="1"/>
  <c r="V121" i="1"/>
  <c r="U133" i="1"/>
  <c r="BC133" i="1"/>
  <c r="P135" i="1"/>
  <c r="T135" i="1" s="1"/>
  <c r="AL139" i="1"/>
  <c r="V136" i="1"/>
  <c r="P137" i="1"/>
  <c r="V137" i="1"/>
  <c r="BV155" i="1"/>
  <c r="BV154" i="1"/>
  <c r="BX155" i="1"/>
  <c r="BX154" i="1"/>
  <c r="BZ155" i="1"/>
  <c r="BZ154" i="1"/>
  <c r="CB155" i="1"/>
  <c r="CB154" i="1"/>
  <c r="CD155" i="1"/>
  <c r="CD154" i="1"/>
  <c r="CF155" i="1"/>
  <c r="CF154" i="1"/>
  <c r="BU154" i="1"/>
  <c r="BU155" i="1"/>
  <c r="BW155" i="1"/>
  <c r="BW154" i="1"/>
  <c r="BY155" i="1"/>
  <c r="BY154" i="1"/>
  <c r="CA155" i="1"/>
  <c r="CA154" i="1"/>
  <c r="CC155" i="1"/>
  <c r="CC154" i="1"/>
  <c r="CE155" i="1"/>
  <c r="CE154" i="1"/>
  <c r="CG155" i="1"/>
  <c r="CG154" i="1"/>
  <c r="BV165" i="1"/>
  <c r="BX165" i="1"/>
  <c r="BZ165" i="1"/>
  <c r="CB165" i="1"/>
  <c r="CD165" i="1"/>
  <c r="CF165" i="1"/>
  <c r="AO17" i="1"/>
  <c r="BB13" i="1"/>
  <c r="P30" i="1"/>
  <c r="T30" i="1" s="1"/>
  <c r="Z55" i="1"/>
  <c r="AB55" i="1"/>
  <c r="AD55" i="1"/>
  <c r="AF55" i="1"/>
  <c r="AH55" i="1"/>
  <c r="BC55" i="1"/>
  <c r="AJ40" i="1"/>
  <c r="Q55" i="1"/>
  <c r="P66" i="1"/>
  <c r="T66" i="1" s="1"/>
  <c r="R67" i="1"/>
  <c r="V67" i="1"/>
  <c r="D80" i="1"/>
  <c r="BC80" i="1"/>
  <c r="P77" i="1"/>
  <c r="T77" i="1" s="1"/>
  <c r="R78" i="1"/>
  <c r="V78" i="1"/>
  <c r="D88" i="1"/>
  <c r="AL88" i="1"/>
  <c r="R83" i="1"/>
  <c r="V83" i="1"/>
  <c r="P124" i="1"/>
  <c r="T124" i="1" s="1"/>
  <c r="D160" i="1"/>
  <c r="P158" i="1"/>
  <c r="P160" i="1" s="1"/>
  <c r="BU165" i="1"/>
  <c r="BW165" i="1"/>
  <c r="BY165" i="1"/>
  <c r="CA165" i="1"/>
  <c r="CC165" i="1"/>
  <c r="CE165" i="1"/>
  <c r="CG165" i="1"/>
  <c r="AA55" i="1"/>
  <c r="AC55" i="1"/>
  <c r="AE55" i="1"/>
  <c r="AG55" i="1"/>
  <c r="AI55" i="1"/>
  <c r="F86" i="4"/>
  <c r="F45" i="4"/>
  <c r="F50" i="4" s="1"/>
  <c r="F39" i="4"/>
  <c r="F40" i="4"/>
  <c r="E87" i="4"/>
  <c r="E92" i="4"/>
  <c r="E93" i="4" s="1"/>
  <c r="E89" i="4"/>
  <c r="F85" i="4" s="1"/>
  <c r="K22" i="4"/>
  <c r="K18" i="4"/>
  <c r="I40" i="4"/>
  <c r="I86" i="4"/>
  <c r="I45" i="4"/>
  <c r="J22" i="4"/>
  <c r="L22" i="4" s="1"/>
  <c r="J18" i="4"/>
  <c r="L18" i="4" s="1"/>
  <c r="E28" i="4"/>
  <c r="E34" i="4" s="1"/>
  <c r="H22" i="4"/>
  <c r="Y12" i="1"/>
  <c r="Y17" i="1" s="1"/>
  <c r="X30" i="1"/>
  <c r="X43" i="1"/>
  <c r="R12" i="1"/>
  <c r="V12" i="1"/>
  <c r="P13" i="1"/>
  <c r="T13" i="1" s="1"/>
  <c r="U55" i="1"/>
  <c r="AL55" i="1"/>
  <c r="AP31" i="1"/>
  <c r="P32" i="1"/>
  <c r="T32" i="1" s="1"/>
  <c r="X32" i="1"/>
  <c r="D68" i="1"/>
  <c r="P68" i="1" s="1"/>
  <c r="AL68" i="1"/>
  <c r="R65" i="1"/>
  <c r="V65" i="1"/>
  <c r="E80" i="1"/>
  <c r="U80" i="1"/>
  <c r="AL80" i="1"/>
  <c r="P71" i="1"/>
  <c r="T71" i="1" s="1"/>
  <c r="R72" i="1"/>
  <c r="V72" i="1"/>
  <c r="P75" i="1"/>
  <c r="T75" i="1" s="1"/>
  <c r="R76" i="1"/>
  <c r="V76" i="1"/>
  <c r="P79" i="1"/>
  <c r="T79" i="1" s="1"/>
  <c r="E88" i="1"/>
  <c r="P88" i="1" s="1"/>
  <c r="T88" i="1" s="1"/>
  <c r="U88" i="1"/>
  <c r="BC88" i="1"/>
  <c r="P84" i="1"/>
  <c r="T84" i="1" s="1"/>
  <c r="R85" i="1"/>
  <c r="V85" i="1"/>
  <c r="P91" i="1"/>
  <c r="T91" i="1" s="1"/>
  <c r="AL93" i="1"/>
  <c r="R92" i="1"/>
  <c r="V92" i="1"/>
  <c r="R95" i="1"/>
  <c r="V95" i="1"/>
  <c r="E98" i="1"/>
  <c r="V98" i="1" s="1"/>
  <c r="U98" i="1"/>
  <c r="BC98" i="1"/>
  <c r="U113" i="1"/>
  <c r="P110" i="1"/>
  <c r="T110" i="1" s="1"/>
  <c r="AL113" i="1"/>
  <c r="R111" i="1"/>
  <c r="V112" i="1"/>
  <c r="U125" i="1"/>
  <c r="AL125" i="1"/>
  <c r="P116" i="1"/>
  <c r="T116" i="1" s="1"/>
  <c r="V117" i="1"/>
  <c r="V119" i="1"/>
  <c r="P122" i="1"/>
  <c r="T122" i="1" s="1"/>
  <c r="R123" i="1"/>
  <c r="V123" i="1"/>
  <c r="P127" i="1"/>
  <c r="T127" i="1" s="1"/>
  <c r="AL133" i="1"/>
  <c r="D133" i="1"/>
  <c r="V128" i="1"/>
  <c r="P131" i="1"/>
  <c r="T131" i="1" s="1"/>
  <c r="U139" i="1"/>
  <c r="BC139" i="1"/>
  <c r="BC141" i="1" s="1"/>
  <c r="P138" i="1"/>
  <c r="T138" i="1" s="1"/>
  <c r="BA158" i="1"/>
  <c r="BC93" i="1"/>
  <c r="AL98" i="1"/>
  <c r="D139" i="1"/>
  <c r="E190" i="1"/>
  <c r="V17" i="1"/>
  <c r="S17" i="1"/>
  <c r="Y190" i="1"/>
  <c r="AM17" i="1"/>
  <c r="AO190" i="1"/>
  <c r="AM32" i="1"/>
  <c r="AK32" i="1"/>
  <c r="AA191" i="1"/>
  <c r="AA166" i="1"/>
  <c r="AC191" i="1"/>
  <c r="AC166" i="1"/>
  <c r="AE191" i="1"/>
  <c r="AE166" i="1"/>
  <c r="AI191" i="1"/>
  <c r="AI166" i="1"/>
  <c r="Z191" i="1"/>
  <c r="Z166" i="1"/>
  <c r="Z102" i="1"/>
  <c r="AB191" i="1"/>
  <c r="AB166" i="1"/>
  <c r="AB102" i="1"/>
  <c r="AD191" i="1"/>
  <c r="AD166" i="1"/>
  <c r="AD102" i="1"/>
  <c r="AF191" i="1"/>
  <c r="AF166" i="1"/>
  <c r="AF102" i="1"/>
  <c r="AH191" i="1"/>
  <c r="AH166" i="1"/>
  <c r="AH102" i="1"/>
  <c r="V80" i="1"/>
  <c r="S80" i="1"/>
  <c r="V88" i="1"/>
  <c r="S98" i="1"/>
  <c r="BA13" i="1"/>
  <c r="AP17" i="1"/>
  <c r="BA17" i="1" s="1"/>
  <c r="BA190" i="1" s="1"/>
  <c r="AP55" i="1"/>
  <c r="AJ32" i="1"/>
  <c r="BA44" i="1"/>
  <c r="U100" i="1"/>
  <c r="U102" i="1" s="1"/>
  <c r="BC100" i="1"/>
  <c r="AG191" i="1"/>
  <c r="AG166" i="1"/>
  <c r="E174" i="1"/>
  <c r="S68" i="1"/>
  <c r="V68" i="1"/>
  <c r="R68" i="1"/>
  <c r="S93" i="1"/>
  <c r="V93" i="1"/>
  <c r="V113" i="1"/>
  <c r="R113" i="1"/>
  <c r="S113" i="1"/>
  <c r="H191" i="1"/>
  <c r="H166" i="1"/>
  <c r="J191" i="1"/>
  <c r="J166" i="1"/>
  <c r="N191" i="1"/>
  <c r="N166" i="1"/>
  <c r="AR191" i="1"/>
  <c r="AR166" i="1"/>
  <c r="AT191" i="1"/>
  <c r="AT166" i="1"/>
  <c r="AX191" i="1"/>
  <c r="AX166" i="1"/>
  <c r="G191" i="1"/>
  <c r="G166" i="1"/>
  <c r="I191" i="1"/>
  <c r="I166" i="1"/>
  <c r="K191" i="1"/>
  <c r="K166" i="1"/>
  <c r="M191" i="1"/>
  <c r="M166" i="1"/>
  <c r="O191" i="1"/>
  <c r="O166" i="1"/>
  <c r="AQ191" i="1"/>
  <c r="AQ166" i="1"/>
  <c r="AS191" i="1"/>
  <c r="AS166" i="1"/>
  <c r="AU191" i="1"/>
  <c r="AU166" i="1"/>
  <c r="AW191" i="1"/>
  <c r="AW166" i="1"/>
  <c r="AY191" i="1"/>
  <c r="AY166" i="1"/>
  <c r="E200" i="1"/>
  <c r="E202" i="1" s="1"/>
  <c r="E165" i="1"/>
  <c r="BS200" i="1"/>
  <c r="BS202" i="1" s="1"/>
  <c r="BS167" i="1"/>
  <c r="Q167" i="1" s="1"/>
  <c r="BS166" i="1"/>
  <c r="Q166" i="1" s="1"/>
  <c r="F175" i="1"/>
  <c r="F174" i="1"/>
  <c r="H175" i="1"/>
  <c r="H174" i="1"/>
  <c r="J175" i="1"/>
  <c r="J174" i="1"/>
  <c r="L175" i="1"/>
  <c r="L174" i="1"/>
  <c r="N175" i="1"/>
  <c r="N174" i="1"/>
  <c r="AA175" i="1"/>
  <c r="AA174" i="1"/>
  <c r="AC175" i="1"/>
  <c r="AC174" i="1"/>
  <c r="AE175" i="1"/>
  <c r="AE174" i="1"/>
  <c r="AG175" i="1"/>
  <c r="AG174" i="1"/>
  <c r="AI175" i="1"/>
  <c r="AI174" i="1"/>
  <c r="AR174" i="1"/>
  <c r="AR175" i="1"/>
  <c r="AT174" i="1"/>
  <c r="AT175" i="1"/>
  <c r="AV174" i="1"/>
  <c r="AV175" i="1"/>
  <c r="AX174" i="1"/>
  <c r="AX175" i="1"/>
  <c r="AZ174" i="1"/>
  <c r="AZ175" i="1"/>
  <c r="DK175" i="1"/>
  <c r="DK176" i="1"/>
  <c r="DK174" i="1"/>
  <c r="DK192" i="1"/>
  <c r="DK170" i="1"/>
  <c r="F179" i="1"/>
  <c r="H179" i="1"/>
  <c r="J179" i="1"/>
  <c r="L179" i="1"/>
  <c r="N179" i="1"/>
  <c r="Z181" i="1"/>
  <c r="Z180" i="1"/>
  <c r="Z179" i="1"/>
  <c r="AB181" i="1"/>
  <c r="AB179" i="1"/>
  <c r="AB180" i="1"/>
  <c r="AD181" i="1"/>
  <c r="AD180" i="1"/>
  <c r="AD179" i="1"/>
  <c r="AF181" i="1"/>
  <c r="AF179" i="1"/>
  <c r="AF180" i="1"/>
  <c r="AH181" i="1"/>
  <c r="AH180" i="1"/>
  <c r="AH179" i="1"/>
  <c r="AR179" i="1"/>
  <c r="AT179" i="1"/>
  <c r="AV179" i="1"/>
  <c r="AX179" i="1"/>
  <c r="AZ179" i="1"/>
  <c r="V116" i="1"/>
  <c r="R116" i="1"/>
  <c r="V120" i="1"/>
  <c r="R120" i="1"/>
  <c r="AM12" i="1"/>
  <c r="BB12" i="1"/>
  <c r="R13" i="1"/>
  <c r="D17" i="1"/>
  <c r="R31" i="1"/>
  <c r="S32" i="1"/>
  <c r="AK44" i="1"/>
  <c r="AM44" i="1"/>
  <c r="D55" i="1"/>
  <c r="D175" i="1" s="1"/>
  <c r="S12" i="1"/>
  <c r="X12" i="1"/>
  <c r="AK12" i="1" s="1"/>
  <c r="BA12" i="1"/>
  <c r="S13" i="1"/>
  <c r="R30" i="1"/>
  <c r="V30" i="1"/>
  <c r="Y30" i="1"/>
  <c r="AJ30" i="1" s="1"/>
  <c r="AO31" i="1"/>
  <c r="R32" i="1"/>
  <c r="V32" i="1"/>
  <c r="P43" i="1"/>
  <c r="R43" i="1"/>
  <c r="V43" i="1"/>
  <c r="Y43" i="1"/>
  <c r="AJ43" i="1" s="1"/>
  <c r="AJ44" i="1"/>
  <c r="E55" i="1"/>
  <c r="E175" i="1" s="1"/>
  <c r="P60" i="1"/>
  <c r="T60" i="1" s="1"/>
  <c r="R60" i="1"/>
  <c r="V60" i="1"/>
  <c r="Q202" i="1"/>
  <c r="S62" i="1"/>
  <c r="P64" i="1"/>
  <c r="T64" i="1" s="1"/>
  <c r="R64" i="1"/>
  <c r="V64" i="1"/>
  <c r="R66" i="1"/>
  <c r="V66" i="1"/>
  <c r="S70" i="1"/>
  <c r="R71" i="1"/>
  <c r="V71" i="1"/>
  <c r="R73" i="1"/>
  <c r="V73" i="1"/>
  <c r="R75" i="1"/>
  <c r="V75" i="1"/>
  <c r="R77" i="1"/>
  <c r="V77" i="1"/>
  <c r="R79" i="1"/>
  <c r="V79" i="1"/>
  <c r="P82" i="1"/>
  <c r="T82" i="1" s="1"/>
  <c r="R82" i="1"/>
  <c r="V82" i="1"/>
  <c r="R84" i="1"/>
  <c r="V84" i="1"/>
  <c r="R86" i="1"/>
  <c r="V86" i="1"/>
  <c r="R91" i="1"/>
  <c r="V91" i="1"/>
  <c r="D93" i="1"/>
  <c r="P93" i="1" s="1"/>
  <c r="T93" i="1" s="1"/>
  <c r="R96" i="1"/>
  <c r="V96" i="1"/>
  <c r="D98" i="1"/>
  <c r="P98" i="1" s="1"/>
  <c r="T98" i="1" s="1"/>
  <c r="E100" i="1"/>
  <c r="S105" i="1"/>
  <c r="U141" i="1"/>
  <c r="R110" i="1"/>
  <c r="V110" i="1"/>
  <c r="S111" i="1"/>
  <c r="E125" i="1"/>
  <c r="S116" i="1"/>
  <c r="P117" i="1"/>
  <c r="T117" i="1" s="1"/>
  <c r="R117" i="1"/>
  <c r="P118" i="1"/>
  <c r="T118" i="1" s="1"/>
  <c r="S120" i="1"/>
  <c r="P121" i="1"/>
  <c r="T121" i="1" s="1"/>
  <c r="R121" i="1"/>
  <c r="F191" i="1"/>
  <c r="F166" i="1"/>
  <c r="L191" i="1"/>
  <c r="L166" i="1"/>
  <c r="AV191" i="1"/>
  <c r="AV166" i="1"/>
  <c r="AZ191" i="1"/>
  <c r="AZ166" i="1"/>
  <c r="D200" i="1"/>
  <c r="D202" i="1" s="1"/>
  <c r="D166" i="1"/>
  <c r="D165" i="1"/>
  <c r="DK167" i="1"/>
  <c r="DK166" i="1"/>
  <c r="DK165" i="1"/>
  <c r="G174" i="1"/>
  <c r="G175" i="1"/>
  <c r="I174" i="1"/>
  <c r="I175" i="1"/>
  <c r="K174" i="1"/>
  <c r="K175" i="1"/>
  <c r="M174" i="1"/>
  <c r="M175" i="1"/>
  <c r="O174" i="1"/>
  <c r="O175" i="1"/>
  <c r="Z176" i="1"/>
  <c r="Z174" i="1"/>
  <c r="Z175" i="1"/>
  <c r="AB176" i="1"/>
  <c r="AB174" i="1"/>
  <c r="AB175" i="1"/>
  <c r="AD176" i="1"/>
  <c r="AD174" i="1"/>
  <c r="AD175" i="1"/>
  <c r="AF176" i="1"/>
  <c r="AF174" i="1"/>
  <c r="AF175" i="1"/>
  <c r="AH176" i="1"/>
  <c r="AH174" i="1"/>
  <c r="AH175" i="1"/>
  <c r="AQ175" i="1"/>
  <c r="AQ174" i="1"/>
  <c r="AS175" i="1"/>
  <c r="AS174" i="1"/>
  <c r="AU175" i="1"/>
  <c r="AU174" i="1"/>
  <c r="AW175" i="1"/>
  <c r="AW174" i="1"/>
  <c r="AY175" i="1"/>
  <c r="AY174" i="1"/>
  <c r="BS176" i="1"/>
  <c r="BS174" i="1"/>
  <c r="BS175" i="1"/>
  <c r="BS192" i="1"/>
  <c r="Q192" i="1" s="1"/>
  <c r="BS170" i="1"/>
  <c r="Q170" i="1" s="1"/>
  <c r="G181" i="1"/>
  <c r="G179" i="1"/>
  <c r="I181" i="1"/>
  <c r="I179" i="1"/>
  <c r="K181" i="1"/>
  <c r="K179" i="1"/>
  <c r="M181" i="1"/>
  <c r="M179" i="1"/>
  <c r="O181" i="1"/>
  <c r="O179" i="1"/>
  <c r="AA179" i="1"/>
  <c r="AC179" i="1"/>
  <c r="AE179" i="1"/>
  <c r="AG179" i="1"/>
  <c r="AI179" i="1"/>
  <c r="AQ181" i="1"/>
  <c r="AQ179" i="1"/>
  <c r="AS181" i="1"/>
  <c r="AS179" i="1"/>
  <c r="AU181" i="1"/>
  <c r="AU179" i="1"/>
  <c r="AW181" i="1"/>
  <c r="AW179" i="1"/>
  <c r="AY181" i="1"/>
  <c r="AY179" i="1"/>
  <c r="D125" i="1"/>
  <c r="V118" i="1"/>
  <c r="R118" i="1"/>
  <c r="P12" i="1"/>
  <c r="T12" i="1" s="1"/>
  <c r="BD31" i="1"/>
  <c r="AK40" i="1"/>
  <c r="S43" i="1"/>
  <c r="P62" i="1"/>
  <c r="R62" i="1"/>
  <c r="S64" i="1"/>
  <c r="P65" i="1"/>
  <c r="T65" i="1" s="1"/>
  <c r="P67" i="1"/>
  <c r="T67" i="1" s="1"/>
  <c r="P70" i="1"/>
  <c r="T70" i="1" s="1"/>
  <c r="R70" i="1"/>
  <c r="P72" i="1"/>
  <c r="T72" i="1" s="1"/>
  <c r="P74" i="1"/>
  <c r="T74" i="1" s="1"/>
  <c r="P76" i="1"/>
  <c r="T76" i="1" s="1"/>
  <c r="P78" i="1"/>
  <c r="T78" i="1" s="1"/>
  <c r="S82" i="1"/>
  <c r="P83" i="1"/>
  <c r="T83" i="1" s="1"/>
  <c r="P85" i="1"/>
  <c r="T85" i="1" s="1"/>
  <c r="P90" i="1"/>
  <c r="T90" i="1" s="1"/>
  <c r="S91" i="1"/>
  <c r="P92" i="1"/>
  <c r="T92" i="1" s="1"/>
  <c r="P95" i="1"/>
  <c r="T95" i="1" s="1"/>
  <c r="S96" i="1"/>
  <c r="P97" i="1"/>
  <c r="T97" i="1" s="1"/>
  <c r="F100" i="1"/>
  <c r="F143" i="1" s="1"/>
  <c r="F181" i="1" s="1"/>
  <c r="H100" i="1"/>
  <c r="H143" i="1" s="1"/>
  <c r="H181" i="1" s="1"/>
  <c r="J100" i="1"/>
  <c r="J143" i="1" s="1"/>
  <c r="J181" i="1" s="1"/>
  <c r="L100" i="1"/>
  <c r="L143" i="1" s="1"/>
  <c r="L181" i="1" s="1"/>
  <c r="N100" i="1"/>
  <c r="N143" i="1" s="1"/>
  <c r="N181" i="1" s="1"/>
  <c r="AA100" i="1"/>
  <c r="AA143" i="1" s="1"/>
  <c r="AA181" i="1" s="1"/>
  <c r="AC100" i="1"/>
  <c r="AC143" i="1" s="1"/>
  <c r="AC181" i="1" s="1"/>
  <c r="AE100" i="1"/>
  <c r="AE143" i="1" s="1"/>
  <c r="AE181" i="1" s="1"/>
  <c r="AG100" i="1"/>
  <c r="AG143" i="1" s="1"/>
  <c r="AG181" i="1" s="1"/>
  <c r="AI100" i="1"/>
  <c r="AI143" i="1" s="1"/>
  <c r="AI181" i="1" s="1"/>
  <c r="AR100" i="1"/>
  <c r="AR143" i="1" s="1"/>
  <c r="AR181" i="1" s="1"/>
  <c r="AT100" i="1"/>
  <c r="AT143" i="1" s="1"/>
  <c r="AT181" i="1" s="1"/>
  <c r="AV100" i="1"/>
  <c r="AV143" i="1" s="1"/>
  <c r="AV181" i="1" s="1"/>
  <c r="AX100" i="1"/>
  <c r="AX143" i="1" s="1"/>
  <c r="AX181" i="1" s="1"/>
  <c r="AZ100" i="1"/>
  <c r="AZ143" i="1" s="1"/>
  <c r="AZ181" i="1" s="1"/>
  <c r="G102" i="1"/>
  <c r="I102" i="1"/>
  <c r="I176" i="1" s="1"/>
  <c r="K102" i="1"/>
  <c r="M102" i="1"/>
  <c r="M176" i="1" s="1"/>
  <c r="O102" i="1"/>
  <c r="AQ102" i="1"/>
  <c r="AQ176" i="1" s="1"/>
  <c r="AS102" i="1"/>
  <c r="AU102" i="1"/>
  <c r="AU176" i="1" s="1"/>
  <c r="AW102" i="1"/>
  <c r="AY102" i="1"/>
  <c r="AY176" i="1" s="1"/>
  <c r="D141" i="1"/>
  <c r="P105" i="1"/>
  <c r="T105" i="1" s="1"/>
  <c r="R105" i="1"/>
  <c r="P113" i="1"/>
  <c r="T113" i="1" s="1"/>
  <c r="P109" i="1"/>
  <c r="T109" i="1" s="1"/>
  <c r="R109" i="1"/>
  <c r="S110" i="1"/>
  <c r="P111" i="1"/>
  <c r="T111" i="1" s="1"/>
  <c r="P112" i="1"/>
  <c r="T112" i="1" s="1"/>
  <c r="R112" i="1"/>
  <c r="P115" i="1"/>
  <c r="T115" i="1" s="1"/>
  <c r="R115" i="1"/>
  <c r="S118" i="1"/>
  <c r="P119" i="1"/>
  <c r="T119" i="1" s="1"/>
  <c r="R119" i="1"/>
  <c r="DK180" i="1"/>
  <c r="DK181" i="1"/>
  <c r="DK179" i="1"/>
  <c r="V160" i="1"/>
  <c r="S160" i="1"/>
  <c r="R160" i="1"/>
  <c r="CH165" i="1"/>
  <c r="CH162" i="1"/>
  <c r="BG165" i="1"/>
  <c r="BG162" i="1"/>
  <c r="BI165" i="1"/>
  <c r="BI162" i="1"/>
  <c r="BK165" i="1"/>
  <c r="BK162" i="1"/>
  <c r="BM165" i="1"/>
  <c r="BM162" i="1"/>
  <c r="BO165" i="1"/>
  <c r="BO162" i="1"/>
  <c r="BQ165" i="1"/>
  <c r="BQ162" i="1"/>
  <c r="S115" i="1"/>
  <c r="R122" i="1"/>
  <c r="V122" i="1"/>
  <c r="R124" i="1"/>
  <c r="V124" i="1"/>
  <c r="R127" i="1"/>
  <c r="V127" i="1"/>
  <c r="R129" i="1"/>
  <c r="V129" i="1"/>
  <c r="R131" i="1"/>
  <c r="V131" i="1"/>
  <c r="E133" i="1"/>
  <c r="R135" i="1"/>
  <c r="V135" i="1"/>
  <c r="R138" i="1"/>
  <c r="V138" i="1"/>
  <c r="E139" i="1"/>
  <c r="P139" i="1" s="1"/>
  <c r="T139" i="1" s="1"/>
  <c r="BS181" i="1"/>
  <c r="BS180" i="1"/>
  <c r="BS179" i="1"/>
  <c r="BF165" i="1"/>
  <c r="BF162" i="1"/>
  <c r="BH165" i="1"/>
  <c r="BH162" i="1"/>
  <c r="BJ165" i="1"/>
  <c r="BJ162" i="1"/>
  <c r="BL165" i="1"/>
  <c r="BL162" i="1"/>
  <c r="BN165" i="1"/>
  <c r="BN162" i="1"/>
  <c r="BP165" i="1"/>
  <c r="BP162" i="1"/>
  <c r="BR165" i="1"/>
  <c r="BR162" i="1"/>
  <c r="P123" i="1"/>
  <c r="T123" i="1" s="1"/>
  <c r="P128" i="1"/>
  <c r="T128" i="1" s="1"/>
  <c r="R128" i="1"/>
  <c r="P130" i="1"/>
  <c r="T130" i="1" s="1"/>
  <c r="P136" i="1"/>
  <c r="T136" i="1" s="1"/>
  <c r="R136" i="1"/>
  <c r="CM201" i="1"/>
  <c r="BW201" i="1"/>
  <c r="AO201" i="1"/>
  <c r="X201" i="1"/>
  <c r="X128" i="1" s="1"/>
  <c r="BA201" i="1"/>
  <c r="V159" i="1"/>
  <c r="BS159" i="1"/>
  <c r="Q159" i="1" s="1"/>
  <c r="Q160" i="1" s="1"/>
  <c r="X160" i="1"/>
  <c r="X165" i="1" s="1"/>
  <c r="AJ160" i="1"/>
  <c r="AJ165" i="1" s="1"/>
  <c r="AO160" i="1"/>
  <c r="AO165" i="1" s="1"/>
  <c r="BA160" i="1"/>
  <c r="BA165" i="1" s="1"/>
  <c r="BU162" i="1"/>
  <c r="BW162" i="1"/>
  <c r="BY162" i="1"/>
  <c r="CA162" i="1"/>
  <c r="CC162" i="1"/>
  <c r="CE162" i="1"/>
  <c r="CG162" i="1"/>
  <c r="CJ162" i="1"/>
  <c r="CL162" i="1"/>
  <c r="CN162" i="1"/>
  <c r="CP162" i="1"/>
  <c r="CR162" i="1"/>
  <c r="CT162" i="1"/>
  <c r="CV162" i="1"/>
  <c r="CY162" i="1"/>
  <c r="DA162" i="1"/>
  <c r="DC162" i="1"/>
  <c r="DE162" i="1"/>
  <c r="DG162" i="1"/>
  <c r="DI162" i="1"/>
  <c r="CN201" i="1"/>
  <c r="BX201" i="1"/>
  <c r="AP201" i="1"/>
  <c r="AP138" i="1" s="1"/>
  <c r="V158" i="1"/>
  <c r="Y201" i="1"/>
  <c r="Y122" i="1" s="1"/>
  <c r="AK158" i="1"/>
  <c r="AM158" i="1"/>
  <c r="Y160" i="1"/>
  <c r="AP160" i="1"/>
  <c r="AP165" i="1" s="1"/>
  <c r="CW160" i="1"/>
  <c r="BV162" i="1"/>
  <c r="BX162" i="1"/>
  <c r="BZ162" i="1"/>
  <c r="CB162" i="1"/>
  <c r="CD162" i="1"/>
  <c r="CF162" i="1"/>
  <c r="CK162" i="1"/>
  <c r="CM162" i="1"/>
  <c r="CO162" i="1"/>
  <c r="CQ162" i="1"/>
  <c r="CS162" i="1"/>
  <c r="CU162" i="1"/>
  <c r="CZ162" i="1"/>
  <c r="DB162" i="1"/>
  <c r="DD162" i="1"/>
  <c r="DF162" i="1"/>
  <c r="DH162" i="1"/>
  <c r="DJ162" i="1"/>
  <c r="BC143" i="1" l="1"/>
  <c r="Y129" i="1"/>
  <c r="P80" i="1"/>
  <c r="T80" i="1" s="1"/>
  <c r="L40" i="5"/>
  <c r="L39" i="5"/>
  <c r="M22" i="5"/>
  <c r="N22" i="5" s="1"/>
  <c r="I41" i="5"/>
  <c r="I53" i="5" s="1"/>
  <c r="F88" i="5"/>
  <c r="F27" i="5"/>
  <c r="F24" i="5"/>
  <c r="L45" i="5"/>
  <c r="L50" i="5" s="1"/>
  <c r="L58" i="5" s="1"/>
  <c r="J88" i="5"/>
  <c r="J27" i="5"/>
  <c r="J24" i="5"/>
  <c r="H45" i="5"/>
  <c r="H50" i="5" s="1"/>
  <c r="H40" i="5"/>
  <c r="H39" i="5"/>
  <c r="E41" i="5"/>
  <c r="E53" i="5" s="1"/>
  <c r="E54" i="5" s="1"/>
  <c r="M17" i="4"/>
  <c r="N17" i="4" s="1"/>
  <c r="G40" i="4"/>
  <c r="G45" i="4"/>
  <c r="G50" i="4" s="1"/>
  <c r="G86" i="4"/>
  <c r="H86" i="4" s="1"/>
  <c r="G39" i="4"/>
  <c r="X123" i="1"/>
  <c r="P125" i="1"/>
  <c r="T125" i="1" s="1"/>
  <c r="R88" i="1"/>
  <c r="S88" i="1"/>
  <c r="R80" i="1"/>
  <c r="AP135" i="1"/>
  <c r="Y131" i="1"/>
  <c r="Y127" i="1"/>
  <c r="AL100" i="1"/>
  <c r="AL102" i="1" s="1"/>
  <c r="L39" i="4"/>
  <c r="M22" i="4"/>
  <c r="N22" i="4" s="1"/>
  <c r="J23" i="4"/>
  <c r="I50" i="4"/>
  <c r="H45" i="4"/>
  <c r="H50" i="4" s="1"/>
  <c r="H39" i="4"/>
  <c r="H40" i="4"/>
  <c r="J86" i="4"/>
  <c r="J45" i="4"/>
  <c r="J50" i="4" s="1"/>
  <c r="J39" i="4"/>
  <c r="J40" i="4"/>
  <c r="F23" i="4"/>
  <c r="E33" i="4"/>
  <c r="I89" i="4"/>
  <c r="J85" i="4" s="1"/>
  <c r="K40" i="4"/>
  <c r="K86" i="4"/>
  <c r="L86" i="4" s="1"/>
  <c r="K45" i="4"/>
  <c r="K50" i="4" s="1"/>
  <c r="K53" i="4" s="1"/>
  <c r="K39" i="4"/>
  <c r="X130" i="1"/>
  <c r="Y124" i="1"/>
  <c r="U150" i="1"/>
  <c r="U153" i="1" s="1"/>
  <c r="AL141" i="1"/>
  <c r="X55" i="1"/>
  <c r="S175" i="1"/>
  <c r="R175" i="1"/>
  <c r="CW165" i="1"/>
  <c r="CW162" i="1"/>
  <c r="AM160" i="1"/>
  <c r="AK160" i="1"/>
  <c r="Y165" i="1"/>
  <c r="AK165" i="1" s="1"/>
  <c r="AO138" i="1"/>
  <c r="BA138" i="1" s="1"/>
  <c r="AO135" i="1"/>
  <c r="AO131" i="1"/>
  <c r="AO129" i="1"/>
  <c r="AO127" i="1"/>
  <c r="AO124" i="1"/>
  <c r="AO122" i="1"/>
  <c r="AO120" i="1"/>
  <c r="AO116" i="1"/>
  <c r="AO110" i="1"/>
  <c r="AO96" i="1"/>
  <c r="AO91" i="1"/>
  <c r="AO86" i="1"/>
  <c r="AO84" i="1"/>
  <c r="AO82" i="1"/>
  <c r="AO79" i="1"/>
  <c r="AO77" i="1"/>
  <c r="AO75" i="1"/>
  <c r="AO73" i="1"/>
  <c r="AO71" i="1"/>
  <c r="AO66" i="1"/>
  <c r="AO64" i="1"/>
  <c r="AO60" i="1"/>
  <c r="AO118" i="1"/>
  <c r="BD138" i="1"/>
  <c r="AM127" i="1"/>
  <c r="Y136" i="1"/>
  <c r="Y130" i="1"/>
  <c r="Y128" i="1"/>
  <c r="Y123" i="1"/>
  <c r="Y119" i="1"/>
  <c r="Y115" i="1"/>
  <c r="Y112" i="1"/>
  <c r="Y111" i="1"/>
  <c r="Y109" i="1"/>
  <c r="Y105" i="1"/>
  <c r="Y97" i="1"/>
  <c r="Y95" i="1"/>
  <c r="Y92" i="1"/>
  <c r="Y90" i="1"/>
  <c r="Y85" i="1"/>
  <c r="Y83" i="1"/>
  <c r="Y78" i="1"/>
  <c r="Y76" i="1"/>
  <c r="Y74" i="1"/>
  <c r="Y72" i="1"/>
  <c r="Y70" i="1"/>
  <c r="Y67" i="1"/>
  <c r="Y65" i="1"/>
  <c r="Y121" i="1"/>
  <c r="Y117" i="1"/>
  <c r="AP136" i="1"/>
  <c r="AP130" i="1"/>
  <c r="AP128" i="1"/>
  <c r="AP123" i="1"/>
  <c r="AP119" i="1"/>
  <c r="AP115" i="1"/>
  <c r="AP112" i="1"/>
  <c r="AP109" i="1"/>
  <c r="AP105" i="1"/>
  <c r="AP97" i="1"/>
  <c r="AP95" i="1"/>
  <c r="AP92" i="1"/>
  <c r="AP90" i="1"/>
  <c r="AP85" i="1"/>
  <c r="AP83" i="1"/>
  <c r="AP78" i="1"/>
  <c r="AP76" i="1"/>
  <c r="AP74" i="1"/>
  <c r="AP72" i="1"/>
  <c r="AP70" i="1"/>
  <c r="AP67" i="1"/>
  <c r="AP65" i="1"/>
  <c r="AP121" i="1"/>
  <c r="AP117" i="1"/>
  <c r="X138" i="1"/>
  <c r="X135" i="1"/>
  <c r="X131" i="1"/>
  <c r="AJ131" i="1" s="1"/>
  <c r="X129" i="1"/>
  <c r="AJ129" i="1" s="1"/>
  <c r="X127" i="1"/>
  <c r="X124" i="1"/>
  <c r="AJ124" i="1" s="1"/>
  <c r="X122" i="1"/>
  <c r="AJ122" i="1" s="1"/>
  <c r="X137" i="1"/>
  <c r="X118" i="1"/>
  <c r="X110" i="1"/>
  <c r="X96" i="1"/>
  <c r="X91" i="1"/>
  <c r="X86" i="1"/>
  <c r="X84" i="1"/>
  <c r="X82" i="1"/>
  <c r="X79" i="1"/>
  <c r="X77" i="1"/>
  <c r="X75" i="1"/>
  <c r="X73" i="1"/>
  <c r="X71" i="1"/>
  <c r="X66" i="1"/>
  <c r="X64" i="1"/>
  <c r="X60" i="1"/>
  <c r="X120" i="1"/>
  <c r="X116" i="1"/>
  <c r="V139" i="1"/>
  <c r="R139" i="1"/>
  <c r="S139" i="1"/>
  <c r="D179" i="1"/>
  <c r="AW192" i="1"/>
  <c r="AW167" i="1"/>
  <c r="AW145" i="1"/>
  <c r="AW170" i="1"/>
  <c r="AW150" i="1"/>
  <c r="AS192" i="1"/>
  <c r="AS167" i="1"/>
  <c r="AS145" i="1"/>
  <c r="AS170" i="1"/>
  <c r="AS150" i="1"/>
  <c r="O192" i="1"/>
  <c r="O170" i="1"/>
  <c r="O167" i="1"/>
  <c r="O145" i="1"/>
  <c r="O150" i="1"/>
  <c r="K192" i="1"/>
  <c r="K170" i="1"/>
  <c r="K167" i="1"/>
  <c r="K145" i="1"/>
  <c r="K150" i="1"/>
  <c r="G192" i="1"/>
  <c r="G170" i="1"/>
  <c r="G167" i="1"/>
  <c r="G145" i="1"/>
  <c r="G150" i="1"/>
  <c r="V100" i="1"/>
  <c r="S100" i="1"/>
  <c r="P201" i="1"/>
  <c r="T43" i="1"/>
  <c r="AM30" i="1"/>
  <c r="AK30" i="1"/>
  <c r="Y55" i="1"/>
  <c r="BU219" i="1"/>
  <c r="D190" i="1"/>
  <c r="P17" i="1"/>
  <c r="R165" i="1"/>
  <c r="S165" i="1"/>
  <c r="AP191" i="1"/>
  <c r="AP166" i="1"/>
  <c r="BD55" i="1"/>
  <c r="AF192" i="1"/>
  <c r="AF145" i="1"/>
  <c r="AF170" i="1"/>
  <c r="AF167" i="1"/>
  <c r="AF150" i="1"/>
  <c r="AB192" i="1"/>
  <c r="AB145" i="1"/>
  <c r="AB170" i="1"/>
  <c r="AB167" i="1"/>
  <c r="AB150" i="1"/>
  <c r="S190" i="1"/>
  <c r="R190" i="1"/>
  <c r="AO136" i="1"/>
  <c r="BS160" i="1"/>
  <c r="Y138" i="1"/>
  <c r="X136" i="1"/>
  <c r="AJ136" i="1" s="1"/>
  <c r="Y135" i="1"/>
  <c r="AP131" i="1"/>
  <c r="AO130" i="1"/>
  <c r="BA130" i="1" s="1"/>
  <c r="AP129" i="1"/>
  <c r="AO128" i="1"/>
  <c r="AP127" i="1"/>
  <c r="AP124" i="1"/>
  <c r="AO123" i="1"/>
  <c r="BA123" i="1" s="1"/>
  <c r="AP122" i="1"/>
  <c r="X119" i="1"/>
  <c r="AJ119" i="1" s="1"/>
  <c r="Y118" i="1"/>
  <c r="X115" i="1"/>
  <c r="AW180" i="1"/>
  <c r="AS180" i="1"/>
  <c r="K180" i="1"/>
  <c r="I180" i="1"/>
  <c r="G180" i="1"/>
  <c r="X112" i="1"/>
  <c r="AJ112" i="1" s="1"/>
  <c r="AO111" i="1"/>
  <c r="AP110" i="1"/>
  <c r="AO109" i="1"/>
  <c r="X105" i="1"/>
  <c r="AX102" i="1"/>
  <c r="AR102" i="1"/>
  <c r="J102" i="1"/>
  <c r="AO97" i="1"/>
  <c r="BA97" i="1" s="1"/>
  <c r="AP96" i="1"/>
  <c r="AO95" i="1"/>
  <c r="X92" i="1"/>
  <c r="AJ92" i="1" s="1"/>
  <c r="Y91" i="1"/>
  <c r="X90" i="1"/>
  <c r="Y86" i="1"/>
  <c r="X85" i="1"/>
  <c r="AJ85" i="1" s="1"/>
  <c r="Y84" i="1"/>
  <c r="X83" i="1"/>
  <c r="AJ83" i="1" s="1"/>
  <c r="Y82" i="1"/>
  <c r="AP79" i="1"/>
  <c r="AO78" i="1"/>
  <c r="BA78" i="1" s="1"/>
  <c r="AP77" i="1"/>
  <c r="AO76" i="1"/>
  <c r="BA76" i="1" s="1"/>
  <c r="AP75" i="1"/>
  <c r="AO74" i="1"/>
  <c r="AP73" i="1"/>
  <c r="AO72" i="1"/>
  <c r="BA72" i="1" s="1"/>
  <c r="AP71" i="1"/>
  <c r="AO70" i="1"/>
  <c r="X67" i="1"/>
  <c r="AJ67" i="1" s="1"/>
  <c r="Y66" i="1"/>
  <c r="X65" i="1"/>
  <c r="AJ65" i="1" s="1"/>
  <c r="Y64" i="1"/>
  <c r="AP60" i="1"/>
  <c r="AO121" i="1"/>
  <c r="BA121" i="1" s="1"/>
  <c r="AP120" i="1"/>
  <c r="AO117" i="1"/>
  <c r="BA117" i="1" s="1"/>
  <c r="AP116" i="1"/>
  <c r="AO105" i="1"/>
  <c r="R93" i="1"/>
  <c r="AZ102" i="1"/>
  <c r="L102" i="1"/>
  <c r="BC102" i="1"/>
  <c r="BC150" i="1" s="1"/>
  <c r="R98" i="1"/>
  <c r="D174" i="1"/>
  <c r="AI102" i="1"/>
  <c r="AC102" i="1"/>
  <c r="CK201" i="1"/>
  <c r="BU201" i="1"/>
  <c r="AP139" i="1"/>
  <c r="BD135" i="1"/>
  <c r="BB135" i="1"/>
  <c r="V133" i="1"/>
  <c r="R133" i="1"/>
  <c r="S133" i="1"/>
  <c r="AM131" i="1"/>
  <c r="AK131" i="1"/>
  <c r="AM129" i="1"/>
  <c r="AK129" i="1"/>
  <c r="AM124" i="1"/>
  <c r="AK124" i="1"/>
  <c r="AM122" i="1"/>
  <c r="AK122" i="1"/>
  <c r="AY192" i="1"/>
  <c r="AY167" i="1"/>
  <c r="AY145" i="1"/>
  <c r="AY170" i="1"/>
  <c r="AY150" i="1"/>
  <c r="AU192" i="1"/>
  <c r="AU167" i="1"/>
  <c r="AU145" i="1"/>
  <c r="AU170" i="1"/>
  <c r="AU150" i="1"/>
  <c r="AQ192" i="1"/>
  <c r="AQ167" i="1"/>
  <c r="AQ145" i="1"/>
  <c r="AQ170" i="1"/>
  <c r="AQ150" i="1"/>
  <c r="M192" i="1"/>
  <c r="M170" i="1"/>
  <c r="M167" i="1"/>
  <c r="M145" i="1"/>
  <c r="M150" i="1"/>
  <c r="I192" i="1"/>
  <c r="I170" i="1"/>
  <c r="I167" i="1"/>
  <c r="I145" i="1"/>
  <c r="I150" i="1"/>
  <c r="P200" i="1"/>
  <c r="P202" i="1" s="1"/>
  <c r="P165" i="1"/>
  <c r="T62" i="1"/>
  <c r="V125" i="1"/>
  <c r="R125" i="1"/>
  <c r="S125" i="1"/>
  <c r="E191" i="1"/>
  <c r="E102" i="1"/>
  <c r="S55" i="1"/>
  <c r="V55" i="1"/>
  <c r="R55" i="1"/>
  <c r="AM43" i="1"/>
  <c r="AK43" i="1"/>
  <c r="AO55" i="1"/>
  <c r="BA31" i="1"/>
  <c r="X17" i="1"/>
  <c r="AJ12" i="1"/>
  <c r="D191" i="1"/>
  <c r="BU220" i="1"/>
  <c r="P55" i="1"/>
  <c r="P166" i="1" s="1"/>
  <c r="R174" i="1"/>
  <c r="S174" i="1"/>
  <c r="AP190" i="1"/>
  <c r="BB17" i="1"/>
  <c r="P174" i="1"/>
  <c r="T68" i="1"/>
  <c r="AH192" i="1"/>
  <c r="AH145" i="1"/>
  <c r="AH170" i="1"/>
  <c r="AH167" i="1"/>
  <c r="AH150" i="1"/>
  <c r="AD192" i="1"/>
  <c r="AD145" i="1"/>
  <c r="AD170" i="1"/>
  <c r="AD167" i="1"/>
  <c r="AD150" i="1"/>
  <c r="Z192" i="1"/>
  <c r="Z145" i="1"/>
  <c r="Z170" i="1"/>
  <c r="Z167" i="1"/>
  <c r="Z150" i="1"/>
  <c r="AJ130" i="1"/>
  <c r="AJ128" i="1"/>
  <c r="AJ123" i="1"/>
  <c r="AO119" i="1"/>
  <c r="BA119" i="1" s="1"/>
  <c r="AP118" i="1"/>
  <c r="AO115" i="1"/>
  <c r="AY180" i="1"/>
  <c r="AU180" i="1"/>
  <c r="AQ180" i="1"/>
  <c r="O180" i="1"/>
  <c r="M180" i="1"/>
  <c r="AO112" i="1"/>
  <c r="BA112" i="1" s="1"/>
  <c r="AW176" i="1"/>
  <c r="AS176" i="1"/>
  <c r="O176" i="1"/>
  <c r="K176" i="1"/>
  <c r="G176" i="1"/>
  <c r="P133" i="1"/>
  <c r="T133" i="1" s="1"/>
  <c r="X111" i="1"/>
  <c r="AJ111" i="1" s="1"/>
  <c r="AP111" i="1"/>
  <c r="Y110" i="1"/>
  <c r="X109" i="1"/>
  <c r="E141" i="1"/>
  <c r="AT102" i="1"/>
  <c r="N102" i="1"/>
  <c r="H102" i="1"/>
  <c r="X97" i="1"/>
  <c r="AJ97" i="1" s="1"/>
  <c r="Y96" i="1"/>
  <c r="X95" i="1"/>
  <c r="AO92" i="1"/>
  <c r="BA92" i="1" s="1"/>
  <c r="AP91" i="1"/>
  <c r="AO90" i="1"/>
  <c r="AP86" i="1"/>
  <c r="AO85" i="1"/>
  <c r="BA85" i="1" s="1"/>
  <c r="AP84" i="1"/>
  <c r="AO83" i="1"/>
  <c r="BA83" i="1" s="1"/>
  <c r="AP82" i="1"/>
  <c r="Y79" i="1"/>
  <c r="X78" i="1"/>
  <c r="AJ78" i="1" s="1"/>
  <c r="Y77" i="1"/>
  <c r="X76" i="1"/>
  <c r="AJ76" i="1" s="1"/>
  <c r="Y75" i="1"/>
  <c r="X74" i="1"/>
  <c r="AJ74" i="1" s="1"/>
  <c r="Y73" i="1"/>
  <c r="X72" i="1"/>
  <c r="AJ72" i="1" s="1"/>
  <c r="Y71" i="1"/>
  <c r="X70" i="1"/>
  <c r="AO67" i="1"/>
  <c r="BA67" i="1" s="1"/>
  <c r="AP66" i="1"/>
  <c r="AO65" i="1"/>
  <c r="BA65" i="1" s="1"/>
  <c r="AP64" i="1"/>
  <c r="Y60" i="1"/>
  <c r="BB31" i="1"/>
  <c r="X121" i="1"/>
  <c r="AJ121" i="1" s="1"/>
  <c r="Y120" i="1"/>
  <c r="X117" i="1"/>
  <c r="AJ117" i="1" s="1"/>
  <c r="Y116" i="1"/>
  <c r="E166" i="1"/>
  <c r="D100" i="1"/>
  <c r="AG102" i="1"/>
  <c r="U143" i="1"/>
  <c r="AV102" i="1"/>
  <c r="F102" i="1"/>
  <c r="AE102" i="1"/>
  <c r="AA102" i="1"/>
  <c r="R17" i="1"/>
  <c r="BA74" i="1" l="1"/>
  <c r="I54" i="5"/>
  <c r="I55" i="5"/>
  <c r="J87" i="5"/>
  <c r="J25" i="5"/>
  <c r="J28" i="5" s="1"/>
  <c r="F87" i="5"/>
  <c r="F25" i="5"/>
  <c r="F28" i="5" s="1"/>
  <c r="I41" i="4"/>
  <c r="I53" i="4" s="1"/>
  <c r="AL143" i="1"/>
  <c r="BA128" i="1"/>
  <c r="BA136" i="1"/>
  <c r="BB138" i="1"/>
  <c r="F88" i="4"/>
  <c r="F27" i="4"/>
  <c r="F24" i="4"/>
  <c r="J88" i="4"/>
  <c r="J27" i="4"/>
  <c r="J24" i="4"/>
  <c r="L45" i="4"/>
  <c r="L50" i="4" s="1"/>
  <c r="E41" i="4"/>
  <c r="E53" i="4" s="1"/>
  <c r="E54" i="4" s="1"/>
  <c r="X166" i="1"/>
  <c r="X191" i="1"/>
  <c r="AL150" i="1"/>
  <c r="AA192" i="1"/>
  <c r="AA170" i="1"/>
  <c r="AA167" i="1"/>
  <c r="AA150" i="1"/>
  <c r="AA145" i="1"/>
  <c r="AA176" i="1"/>
  <c r="AA180" i="1"/>
  <c r="F192" i="1"/>
  <c r="F150" i="1"/>
  <c r="F170" i="1"/>
  <c r="F167" i="1"/>
  <c r="F145" i="1"/>
  <c r="F180" i="1"/>
  <c r="F176" i="1"/>
  <c r="D143" i="1"/>
  <c r="P100" i="1"/>
  <c r="T100" i="1" s="1"/>
  <c r="AM116" i="1"/>
  <c r="AK116" i="1"/>
  <c r="AM120" i="1"/>
  <c r="AK120" i="1"/>
  <c r="AP68" i="1"/>
  <c r="BD64" i="1"/>
  <c r="BB64" i="1"/>
  <c r="BD66" i="1"/>
  <c r="BB66" i="1"/>
  <c r="X80" i="1"/>
  <c r="AJ70" i="1"/>
  <c r="AP88" i="1"/>
  <c r="BD82" i="1"/>
  <c r="BB82" i="1"/>
  <c r="BD86" i="1"/>
  <c r="BB86" i="1"/>
  <c r="BD91" i="1"/>
  <c r="BB91" i="1"/>
  <c r="E179" i="1"/>
  <c r="E180" i="1"/>
  <c r="S141" i="1"/>
  <c r="V141" i="1"/>
  <c r="R141" i="1"/>
  <c r="AM110" i="1"/>
  <c r="AK110" i="1"/>
  <c r="BD118" i="1"/>
  <c r="BB118" i="1"/>
  <c r="AD162" i="1"/>
  <c r="AD151" i="1"/>
  <c r="J153" i="1"/>
  <c r="AE192" i="1"/>
  <c r="AE170" i="1"/>
  <c r="AE167" i="1"/>
  <c r="AE150" i="1"/>
  <c r="AE145" i="1"/>
  <c r="AE176" i="1"/>
  <c r="AE180" i="1"/>
  <c r="AV192" i="1"/>
  <c r="AV170" i="1"/>
  <c r="AV150" i="1"/>
  <c r="AV167" i="1"/>
  <c r="AV145" i="1"/>
  <c r="AV176" i="1"/>
  <c r="AV180" i="1"/>
  <c r="AG192" i="1"/>
  <c r="AG170" i="1"/>
  <c r="AG167" i="1"/>
  <c r="AG150" i="1"/>
  <c r="AG145" i="1"/>
  <c r="AG180" i="1"/>
  <c r="AG176" i="1"/>
  <c r="R166" i="1"/>
  <c r="S166" i="1"/>
  <c r="AM60" i="1"/>
  <c r="AK60" i="1"/>
  <c r="AM71" i="1"/>
  <c r="AK71" i="1"/>
  <c r="AM73" i="1"/>
  <c r="AK73" i="1"/>
  <c r="AM75" i="1"/>
  <c r="AK75" i="1"/>
  <c r="AM77" i="1"/>
  <c r="AK77" i="1"/>
  <c r="AM79" i="1"/>
  <c r="AK79" i="1"/>
  <c r="AO93" i="1"/>
  <c r="BA90" i="1"/>
  <c r="AM96" i="1"/>
  <c r="AK96" i="1"/>
  <c r="H192" i="1"/>
  <c r="H150" i="1"/>
  <c r="H170" i="1"/>
  <c r="H167" i="1"/>
  <c r="H145" i="1"/>
  <c r="H176" i="1"/>
  <c r="H180" i="1"/>
  <c r="AT192" i="1"/>
  <c r="AT170" i="1"/>
  <c r="AT150" i="1"/>
  <c r="AT167" i="1"/>
  <c r="AT145" i="1"/>
  <c r="AT180" i="1"/>
  <c r="AT176" i="1"/>
  <c r="X113" i="1"/>
  <c r="AJ109" i="1"/>
  <c r="BD111" i="1"/>
  <c r="BB111" i="1"/>
  <c r="AO125" i="1"/>
  <c r="BA115" i="1"/>
  <c r="Z162" i="1"/>
  <c r="Z151" i="1"/>
  <c r="F153" i="1"/>
  <c r="AH162" i="1"/>
  <c r="AH151" i="1"/>
  <c r="X190" i="1"/>
  <c r="AK190" i="1" s="1"/>
  <c r="AJ17" i="1"/>
  <c r="AJ190" i="1" s="1"/>
  <c r="AK17" i="1"/>
  <c r="AO191" i="1"/>
  <c r="AO166" i="1"/>
  <c r="BA55" i="1"/>
  <c r="E192" i="1"/>
  <c r="E170" i="1"/>
  <c r="E145" i="1"/>
  <c r="E150" i="1"/>
  <c r="S102" i="1"/>
  <c r="V102" i="1"/>
  <c r="E176" i="1"/>
  <c r="E167" i="1"/>
  <c r="I151" i="1"/>
  <c r="I162" i="1"/>
  <c r="AQ162" i="1"/>
  <c r="AQ151" i="1"/>
  <c r="AY162" i="1"/>
  <c r="AY151" i="1"/>
  <c r="BD139" i="1"/>
  <c r="AC192" i="1"/>
  <c r="AC170" i="1"/>
  <c r="AC167" i="1"/>
  <c r="AC150" i="1"/>
  <c r="AC145" i="1"/>
  <c r="AC180" i="1"/>
  <c r="AC176" i="1"/>
  <c r="AZ192" i="1"/>
  <c r="AZ170" i="1"/>
  <c r="AZ150" i="1"/>
  <c r="AZ167" i="1"/>
  <c r="AZ145" i="1"/>
  <c r="AZ176" i="1"/>
  <c r="AZ180" i="1"/>
  <c r="BA105" i="1"/>
  <c r="Y68" i="1"/>
  <c r="AM64" i="1"/>
  <c r="AK64" i="1"/>
  <c r="AM66" i="1"/>
  <c r="AK66" i="1"/>
  <c r="AO80" i="1"/>
  <c r="BA70" i="1"/>
  <c r="Y88" i="1"/>
  <c r="AM82" i="1"/>
  <c r="AK82" i="1"/>
  <c r="AM84" i="1"/>
  <c r="AK84" i="1"/>
  <c r="AM86" i="1"/>
  <c r="AK86" i="1"/>
  <c r="AM91" i="1"/>
  <c r="AK91" i="1"/>
  <c r="AO98" i="1"/>
  <c r="BA95" i="1"/>
  <c r="AR192" i="1"/>
  <c r="AR170" i="1"/>
  <c r="AR150" i="1"/>
  <c r="AR167" i="1"/>
  <c r="AR145" i="1"/>
  <c r="AR176" i="1"/>
  <c r="AR180" i="1"/>
  <c r="AJ105" i="1"/>
  <c r="BD110" i="1"/>
  <c r="BB110" i="1"/>
  <c r="X125" i="1"/>
  <c r="AJ115" i="1"/>
  <c r="AP133" i="1"/>
  <c r="BD127" i="1"/>
  <c r="BB127" i="1"/>
  <c r="BD129" i="1"/>
  <c r="BB129" i="1"/>
  <c r="BD131" i="1"/>
  <c r="BB131" i="1"/>
  <c r="BS165" i="1"/>
  <c r="Q165" i="1" s="1"/>
  <c r="BS162" i="1"/>
  <c r="Q162" i="1" s="1"/>
  <c r="AB162" i="1"/>
  <c r="AB151" i="1"/>
  <c r="H153" i="1"/>
  <c r="Y191" i="1"/>
  <c r="AK191" i="1" s="1"/>
  <c r="Y166" i="1"/>
  <c r="AK166" i="1" s="1"/>
  <c r="AM55" i="1"/>
  <c r="AK55" i="1"/>
  <c r="AJ55" i="1"/>
  <c r="K151" i="1"/>
  <c r="K162" i="1"/>
  <c r="S167" i="1"/>
  <c r="AS162" i="1"/>
  <c r="AS151" i="1"/>
  <c r="X68" i="1"/>
  <c r="AJ64" i="1"/>
  <c r="AJ135" i="1"/>
  <c r="X139" i="1"/>
  <c r="BD117" i="1"/>
  <c r="BB117" i="1"/>
  <c r="BD65" i="1"/>
  <c r="BB65" i="1"/>
  <c r="AP80" i="1"/>
  <c r="BD70" i="1"/>
  <c r="BB70" i="1"/>
  <c r="BD74" i="1"/>
  <c r="BB74" i="1"/>
  <c r="BD78" i="1"/>
  <c r="BB78" i="1"/>
  <c r="BD85" i="1"/>
  <c r="BB85" i="1"/>
  <c r="BD92" i="1"/>
  <c r="BB92" i="1"/>
  <c r="BD97" i="1"/>
  <c r="BB97" i="1"/>
  <c r="AP113" i="1"/>
  <c r="BD109" i="1"/>
  <c r="BB109" i="1"/>
  <c r="AP125" i="1"/>
  <c r="BD115" i="1"/>
  <c r="BB115" i="1"/>
  <c r="BD123" i="1"/>
  <c r="BB123" i="1"/>
  <c r="BD130" i="1"/>
  <c r="BB130" i="1"/>
  <c r="AM117" i="1"/>
  <c r="AK117" i="1"/>
  <c r="AM65" i="1"/>
  <c r="AK65" i="1"/>
  <c r="Y80" i="1"/>
  <c r="AM70" i="1"/>
  <c r="AK70" i="1"/>
  <c r="AM74" i="1"/>
  <c r="AK74" i="1"/>
  <c r="AM78" i="1"/>
  <c r="AK78" i="1"/>
  <c r="AM85" i="1"/>
  <c r="AK85" i="1"/>
  <c r="AM92" i="1"/>
  <c r="AK92" i="1"/>
  <c r="AM97" i="1"/>
  <c r="AK97" i="1"/>
  <c r="Y113" i="1"/>
  <c r="AM109" i="1"/>
  <c r="AK109" i="1"/>
  <c r="AM112" i="1"/>
  <c r="AK112" i="1"/>
  <c r="AM119" i="1"/>
  <c r="AK119" i="1"/>
  <c r="AM128" i="1"/>
  <c r="AK128" i="1"/>
  <c r="AM136" i="1"/>
  <c r="AK136" i="1"/>
  <c r="AO68" i="1"/>
  <c r="BA64" i="1"/>
  <c r="BA135" i="1"/>
  <c r="AO139" i="1"/>
  <c r="BA139" i="1" s="1"/>
  <c r="P175" i="1"/>
  <c r="D102" i="1"/>
  <c r="R100" i="1"/>
  <c r="E143" i="1"/>
  <c r="E181" i="1" s="1"/>
  <c r="P141" i="1"/>
  <c r="AJ120" i="1"/>
  <c r="AJ71" i="1"/>
  <c r="AJ75" i="1"/>
  <c r="AJ79" i="1"/>
  <c r="AJ84" i="1"/>
  <c r="AJ91" i="1"/>
  <c r="AJ110" i="1"/>
  <c r="BA118" i="1"/>
  <c r="BA71" i="1"/>
  <c r="BA75" i="1"/>
  <c r="BA79" i="1"/>
  <c r="BA84" i="1"/>
  <c r="BA91" i="1"/>
  <c r="BA110" i="1"/>
  <c r="BA120" i="1"/>
  <c r="BA124" i="1"/>
  <c r="BA129" i="1"/>
  <c r="BD84" i="1"/>
  <c r="BB84" i="1"/>
  <c r="X98" i="1"/>
  <c r="AJ95" i="1"/>
  <c r="N192" i="1"/>
  <c r="N150" i="1"/>
  <c r="N170" i="1"/>
  <c r="N167" i="1"/>
  <c r="N145" i="1"/>
  <c r="N180" i="1"/>
  <c r="N176" i="1"/>
  <c r="P191" i="1"/>
  <c r="T55" i="1"/>
  <c r="R191" i="1"/>
  <c r="S191" i="1"/>
  <c r="M151" i="1"/>
  <c r="M162" i="1"/>
  <c r="AU162" i="1"/>
  <c r="AU151" i="1"/>
  <c r="AI192" i="1"/>
  <c r="AI170" i="1"/>
  <c r="AI167" i="1"/>
  <c r="AI150" i="1"/>
  <c r="AI145" i="1"/>
  <c r="AI176" i="1"/>
  <c r="AI180" i="1"/>
  <c r="L192" i="1"/>
  <c r="L150" i="1"/>
  <c r="L170" i="1"/>
  <c r="L167" i="1"/>
  <c r="L145" i="1"/>
  <c r="L176" i="1"/>
  <c r="L180" i="1"/>
  <c r="BD116" i="1"/>
  <c r="BB116" i="1"/>
  <c r="BD120" i="1"/>
  <c r="BB120" i="1"/>
  <c r="BD60" i="1"/>
  <c r="BB60" i="1"/>
  <c r="BD71" i="1"/>
  <c r="BB71" i="1"/>
  <c r="BD73" i="1"/>
  <c r="BB73" i="1"/>
  <c r="BD75" i="1"/>
  <c r="BB75" i="1"/>
  <c r="BD77" i="1"/>
  <c r="BB77" i="1"/>
  <c r="BD79" i="1"/>
  <c r="BB79" i="1"/>
  <c r="X93" i="1"/>
  <c r="AJ90" i="1"/>
  <c r="BD96" i="1"/>
  <c r="BB96" i="1"/>
  <c r="J192" i="1"/>
  <c r="J150" i="1"/>
  <c r="J170" i="1"/>
  <c r="J167" i="1"/>
  <c r="R167" i="1" s="1"/>
  <c r="J145" i="1"/>
  <c r="J180" i="1"/>
  <c r="J176" i="1"/>
  <c r="AX192" i="1"/>
  <c r="AX170" i="1"/>
  <c r="AX150" i="1"/>
  <c r="AX167" i="1"/>
  <c r="AX145" i="1"/>
  <c r="AX180" i="1"/>
  <c r="AX176" i="1"/>
  <c r="AO113" i="1"/>
  <c r="BA113" i="1" s="1"/>
  <c r="BA109" i="1"/>
  <c r="AM118" i="1"/>
  <c r="AK118" i="1"/>
  <c r="BD122" i="1"/>
  <c r="BB122" i="1"/>
  <c r="BD124" i="1"/>
  <c r="BB124" i="1"/>
  <c r="Y139" i="1"/>
  <c r="AM135" i="1"/>
  <c r="AK135" i="1"/>
  <c r="AM138" i="1"/>
  <c r="AK138" i="1"/>
  <c r="AF162" i="1"/>
  <c r="AF151" i="1"/>
  <c r="P190" i="1"/>
  <c r="T17" i="1"/>
  <c r="G151" i="1"/>
  <c r="G162" i="1"/>
  <c r="O151" i="1"/>
  <c r="O162" i="1"/>
  <c r="AW162" i="1"/>
  <c r="AW151" i="1"/>
  <c r="AJ60" i="1"/>
  <c r="X88" i="1"/>
  <c r="AJ88" i="1" s="1"/>
  <c r="AJ82" i="1"/>
  <c r="AJ127" i="1"/>
  <c r="X133" i="1"/>
  <c r="BD121" i="1"/>
  <c r="BB121" i="1"/>
  <c r="BD67" i="1"/>
  <c r="BB67" i="1"/>
  <c r="BD72" i="1"/>
  <c r="BB72" i="1"/>
  <c r="BD76" i="1"/>
  <c r="BB76" i="1"/>
  <c r="BD83" i="1"/>
  <c r="BB83" i="1"/>
  <c r="BD90" i="1"/>
  <c r="BB90" i="1"/>
  <c r="AP93" i="1"/>
  <c r="BD95" i="1"/>
  <c r="BB95" i="1"/>
  <c r="AP98" i="1"/>
  <c r="AP141" i="1"/>
  <c r="BB105" i="1"/>
  <c r="BD112" i="1"/>
  <c r="BB112" i="1"/>
  <c r="BD119" i="1"/>
  <c r="BB119" i="1"/>
  <c r="BD128" i="1"/>
  <c r="BB128" i="1"/>
  <c r="BD136" i="1"/>
  <c r="BB136" i="1"/>
  <c r="AM121" i="1"/>
  <c r="AK121" i="1"/>
  <c r="AM67" i="1"/>
  <c r="AK67" i="1"/>
  <c r="AM72" i="1"/>
  <c r="AK72" i="1"/>
  <c r="AM76" i="1"/>
  <c r="AK76" i="1"/>
  <c r="AM83" i="1"/>
  <c r="AK83" i="1"/>
  <c r="AM90" i="1"/>
  <c r="AK90" i="1"/>
  <c r="Y93" i="1"/>
  <c r="AM95" i="1"/>
  <c r="AK95" i="1"/>
  <c r="Y98" i="1"/>
  <c r="AK105" i="1"/>
  <c r="AM111" i="1"/>
  <c r="AK111" i="1"/>
  <c r="Y125" i="1"/>
  <c r="AM115" i="1"/>
  <c r="AK115" i="1"/>
  <c r="AM123" i="1"/>
  <c r="AK123" i="1"/>
  <c r="AM130" i="1"/>
  <c r="AK130" i="1"/>
  <c r="BA60" i="1"/>
  <c r="AO88" i="1"/>
  <c r="BA88" i="1" s="1"/>
  <c r="BA82" i="1"/>
  <c r="BA127" i="1"/>
  <c r="AO133" i="1"/>
  <c r="BA133" i="1" s="1"/>
  <c r="BA111" i="1"/>
  <c r="BB55" i="1"/>
  <c r="AJ116" i="1"/>
  <c r="AJ66" i="1"/>
  <c r="AJ73" i="1"/>
  <c r="AJ77" i="1"/>
  <c r="AJ86" i="1"/>
  <c r="AJ96" i="1"/>
  <c r="AJ118" i="1"/>
  <c r="AJ138" i="1"/>
  <c r="AK127" i="1"/>
  <c r="Y133" i="1"/>
  <c r="BA66" i="1"/>
  <c r="BA73" i="1"/>
  <c r="BA77" i="1"/>
  <c r="BA86" i="1"/>
  <c r="BA96" i="1"/>
  <c r="BA116" i="1"/>
  <c r="BA122" i="1"/>
  <c r="BA131" i="1"/>
  <c r="L53" i="4" l="1"/>
  <c r="O53" i="4" s="1"/>
  <c r="L58" i="4"/>
  <c r="F89" i="5"/>
  <c r="G85" i="5" s="1"/>
  <c r="J33" i="5"/>
  <c r="K23" i="5"/>
  <c r="J34" i="5"/>
  <c r="J89" i="5"/>
  <c r="K85" i="5" s="1"/>
  <c r="F33" i="5"/>
  <c r="G23" i="5"/>
  <c r="F34" i="5"/>
  <c r="I55" i="4"/>
  <c r="I54" i="4"/>
  <c r="J87" i="4"/>
  <c r="J25" i="4"/>
  <c r="J28" i="4" s="1"/>
  <c r="J34" i="4" s="1"/>
  <c r="F87" i="4"/>
  <c r="F25" i="4"/>
  <c r="F28" i="4" s="1"/>
  <c r="F34" i="4" s="1"/>
  <c r="AO100" i="1"/>
  <c r="R181" i="1"/>
  <c r="S181" i="1"/>
  <c r="AM93" i="1"/>
  <c r="AK93" i="1"/>
  <c r="BD93" i="1"/>
  <c r="BB93" i="1"/>
  <c r="AM98" i="1"/>
  <c r="AK98" i="1"/>
  <c r="BD98" i="1"/>
  <c r="BB98" i="1"/>
  <c r="AM139" i="1"/>
  <c r="AK139" i="1"/>
  <c r="S192" i="1"/>
  <c r="R192" i="1"/>
  <c r="AI162" i="1"/>
  <c r="AI151" i="1"/>
  <c r="P179" i="1"/>
  <c r="T141" i="1"/>
  <c r="AO175" i="1"/>
  <c r="AO174" i="1"/>
  <c r="BA68" i="1"/>
  <c r="AM80" i="1"/>
  <c r="AK80" i="1"/>
  <c r="BD113" i="1"/>
  <c r="BB113" i="1"/>
  <c r="AJ191" i="1"/>
  <c r="AJ166" i="1"/>
  <c r="AR162" i="1"/>
  <c r="AR151" i="1"/>
  <c r="Y175" i="1"/>
  <c r="Y174" i="1"/>
  <c r="AM68" i="1"/>
  <c r="AK68" i="1"/>
  <c r="R176" i="1"/>
  <c r="S176" i="1"/>
  <c r="E151" i="1"/>
  <c r="V150" i="1"/>
  <c r="E162" i="1"/>
  <c r="S150" i="1"/>
  <c r="S170" i="1"/>
  <c r="BA191" i="1"/>
  <c r="BA166" i="1"/>
  <c r="AT162" i="1"/>
  <c r="AT151" i="1"/>
  <c r="H162" i="1"/>
  <c r="H151" i="1"/>
  <c r="AG162" i="1"/>
  <c r="AG151" i="1"/>
  <c r="AV162" i="1"/>
  <c r="AV151" i="1"/>
  <c r="K153" i="1"/>
  <c r="AE162" i="1"/>
  <c r="AE151" i="1"/>
  <c r="S180" i="1"/>
  <c r="R180" i="1"/>
  <c r="AP174" i="1"/>
  <c r="AP175" i="1"/>
  <c r="BD68" i="1"/>
  <c r="BB68" i="1"/>
  <c r="P143" i="1"/>
  <c r="T143" i="1" s="1"/>
  <c r="D181" i="1"/>
  <c r="F162" i="1"/>
  <c r="F151" i="1"/>
  <c r="AJ133" i="1"/>
  <c r="X100" i="1"/>
  <c r="AJ93" i="1"/>
  <c r="AJ98" i="1"/>
  <c r="AJ139" i="1"/>
  <c r="BA98" i="1"/>
  <c r="AO141" i="1"/>
  <c r="BB141" i="1" s="1"/>
  <c r="Y100" i="1"/>
  <c r="AM133" i="1"/>
  <c r="AK133" i="1"/>
  <c r="AO143" i="1"/>
  <c r="AM125" i="1"/>
  <c r="AK125" i="1"/>
  <c r="AP179" i="1"/>
  <c r="BD141" i="1"/>
  <c r="AX162" i="1"/>
  <c r="AX151" i="1"/>
  <c r="J162" i="1"/>
  <c r="J151" i="1"/>
  <c r="L162" i="1"/>
  <c r="L151" i="1"/>
  <c r="N162" i="1"/>
  <c r="N151" i="1"/>
  <c r="V143" i="1"/>
  <c r="R143" i="1"/>
  <c r="S143" i="1"/>
  <c r="BU221" i="1"/>
  <c r="D192" i="1"/>
  <c r="D150" i="1"/>
  <c r="D170" i="1"/>
  <c r="R170" i="1" s="1"/>
  <c r="D145" i="1"/>
  <c r="P145" i="1" s="1"/>
  <c r="T145" i="1" s="1"/>
  <c r="P102" i="1"/>
  <c r="P180" i="1" s="1"/>
  <c r="D176" i="1"/>
  <c r="D167" i="1"/>
  <c r="D180" i="1"/>
  <c r="AM113" i="1"/>
  <c r="AK113" i="1"/>
  <c r="BD125" i="1"/>
  <c r="BB125" i="1"/>
  <c r="BD80" i="1"/>
  <c r="BB80" i="1"/>
  <c r="X174" i="1"/>
  <c r="X175" i="1"/>
  <c r="AJ68" i="1"/>
  <c r="BD133" i="1"/>
  <c r="BB133" i="1"/>
  <c r="AM88" i="1"/>
  <c r="AK88" i="1"/>
  <c r="AZ162" i="1"/>
  <c r="AZ151" i="1"/>
  <c r="I153" i="1"/>
  <c r="AC162" i="1"/>
  <c r="AC151" i="1"/>
  <c r="S145" i="1"/>
  <c r="R145" i="1"/>
  <c r="V145" i="1"/>
  <c r="S179" i="1"/>
  <c r="R179" i="1"/>
  <c r="BD88" i="1"/>
  <c r="BB88" i="1"/>
  <c r="G153" i="1"/>
  <c r="AA162" i="1"/>
  <c r="AA151" i="1"/>
  <c r="Y141" i="1"/>
  <c r="AP100" i="1"/>
  <c r="AJ125" i="1"/>
  <c r="X141" i="1"/>
  <c r="BA80" i="1"/>
  <c r="BB139" i="1"/>
  <c r="R102" i="1"/>
  <c r="AO102" i="1"/>
  <c r="BA125" i="1"/>
  <c r="AJ113" i="1"/>
  <c r="BA93" i="1"/>
  <c r="AJ80" i="1"/>
  <c r="F41" i="5" l="1"/>
  <c r="F53" i="5" s="1"/>
  <c r="F54" i="5" s="1"/>
  <c r="K88" i="5"/>
  <c r="L88" i="5" s="1"/>
  <c r="K27" i="5"/>
  <c r="K24" i="5"/>
  <c r="G88" i="5"/>
  <c r="H88" i="5" s="1"/>
  <c r="G24" i="5"/>
  <c r="G27" i="5"/>
  <c r="J41" i="5"/>
  <c r="J53" i="5" s="1"/>
  <c r="F33" i="4"/>
  <c r="G23" i="4"/>
  <c r="F89" i="4"/>
  <c r="G85" i="4" s="1"/>
  <c r="J33" i="4"/>
  <c r="K23" i="4"/>
  <c r="J89" i="4"/>
  <c r="K85" i="4" s="1"/>
  <c r="AP143" i="1"/>
  <c r="BA143" i="1" s="1"/>
  <c r="BD100" i="1"/>
  <c r="BB100" i="1"/>
  <c r="AP102" i="1"/>
  <c r="BA102" i="1" s="1"/>
  <c r="BA176" i="1" s="1"/>
  <c r="Y179" i="1"/>
  <c r="AM141" i="1"/>
  <c r="AK141" i="1"/>
  <c r="AJ174" i="1"/>
  <c r="AJ175" i="1"/>
  <c r="D162" i="1"/>
  <c r="R162" i="1" s="1"/>
  <c r="P150" i="1"/>
  <c r="D151" i="1"/>
  <c r="AO180" i="1"/>
  <c r="AO181" i="1"/>
  <c r="AO179" i="1"/>
  <c r="BA141" i="1"/>
  <c r="S162" i="1"/>
  <c r="AO192" i="1"/>
  <c r="AO167" i="1"/>
  <c r="AO145" i="1"/>
  <c r="AO170" i="1"/>
  <c r="AO150" i="1"/>
  <c r="X179" i="1"/>
  <c r="AJ141" i="1"/>
  <c r="P192" i="1"/>
  <c r="P170" i="1"/>
  <c r="T102" i="1"/>
  <c r="P167" i="1"/>
  <c r="P176" i="1"/>
  <c r="Y143" i="1"/>
  <c r="AM100" i="1"/>
  <c r="AK100" i="1"/>
  <c r="Y102" i="1"/>
  <c r="X143" i="1"/>
  <c r="AJ143" i="1" s="1"/>
  <c r="AJ100" i="1"/>
  <c r="X102" i="1"/>
  <c r="X180" i="1" s="1"/>
  <c r="BA175" i="1"/>
  <c r="BA174" i="1"/>
  <c r="BA100" i="1"/>
  <c r="R150" i="1"/>
  <c r="AO176" i="1"/>
  <c r="P181" i="1"/>
  <c r="J55" i="5" l="1"/>
  <c r="J54" i="5"/>
  <c r="G87" i="5"/>
  <c r="G25" i="5"/>
  <c r="G28" i="5" s="1"/>
  <c r="H24" i="5"/>
  <c r="H25" i="5" s="1"/>
  <c r="K87" i="5"/>
  <c r="K25" i="5"/>
  <c r="K28" i="5" s="1"/>
  <c r="L24" i="5"/>
  <c r="L25" i="5" s="1"/>
  <c r="J41" i="4"/>
  <c r="J53" i="4" s="1"/>
  <c r="J54" i="4" s="1"/>
  <c r="K54" i="4" s="1"/>
  <c r="L54" i="4" s="1"/>
  <c r="O54" i="4" s="1"/>
  <c r="F41" i="4"/>
  <c r="F53" i="4" s="1"/>
  <c r="F54" i="4" s="1"/>
  <c r="K88" i="4"/>
  <c r="L88" i="4" s="1"/>
  <c r="K27" i="4"/>
  <c r="K24" i="4"/>
  <c r="G88" i="4"/>
  <c r="H88" i="4" s="1"/>
  <c r="G27" i="4"/>
  <c r="G24" i="4"/>
  <c r="Y192" i="1"/>
  <c r="Y170" i="1"/>
  <c r="Y167" i="1"/>
  <c r="Y150" i="1"/>
  <c r="Y145" i="1"/>
  <c r="AM102" i="1"/>
  <c r="AK102" i="1"/>
  <c r="Y176" i="1"/>
  <c r="AO162" i="1"/>
  <c r="AO151" i="1"/>
  <c r="BA180" i="1"/>
  <c r="BA181" i="1"/>
  <c r="BA179" i="1"/>
  <c r="BD143" i="1"/>
  <c r="BB143" i="1"/>
  <c r="AP181" i="1"/>
  <c r="X181" i="1"/>
  <c r="Y180" i="1"/>
  <c r="X192" i="1"/>
  <c r="X145" i="1"/>
  <c r="AJ145" i="1" s="1"/>
  <c r="X170" i="1"/>
  <c r="X167" i="1"/>
  <c r="X150" i="1"/>
  <c r="AJ102" i="1"/>
  <c r="X176" i="1"/>
  <c r="AM143" i="1"/>
  <c r="AK143" i="1"/>
  <c r="AJ181" i="1"/>
  <c r="AJ179" i="1"/>
  <c r="AJ180" i="1"/>
  <c r="BA192" i="1"/>
  <c r="BA170" i="1"/>
  <c r="BA167" i="1"/>
  <c r="P162" i="1"/>
  <c r="T150" i="1"/>
  <c r="P151" i="1"/>
  <c r="AP192" i="1"/>
  <c r="AP170" i="1"/>
  <c r="AP150" i="1"/>
  <c r="AP167" i="1"/>
  <c r="AP145" i="1"/>
  <c r="BD102" i="1"/>
  <c r="BB102" i="1"/>
  <c r="AP176" i="1"/>
  <c r="AP180" i="1"/>
  <c r="Y181" i="1"/>
  <c r="L87" i="5" l="1"/>
  <c r="L89" i="5" s="1"/>
  <c r="K89" i="5"/>
  <c r="G33" i="5"/>
  <c r="H28" i="5"/>
  <c r="H27" i="5" s="1"/>
  <c r="G34" i="5"/>
  <c r="H34" i="5" s="1"/>
  <c r="K33" i="5"/>
  <c r="L28" i="5"/>
  <c r="L27" i="5" s="1"/>
  <c r="K34" i="5"/>
  <c r="L34" i="5" s="1"/>
  <c r="H87" i="5"/>
  <c r="H89" i="5" s="1"/>
  <c r="G89" i="5"/>
  <c r="J55" i="4"/>
  <c r="G87" i="4"/>
  <c r="G25" i="4"/>
  <c r="G28" i="4" s="1"/>
  <c r="G34" i="4" s="1"/>
  <c r="H34" i="4" s="1"/>
  <c r="H24" i="4"/>
  <c r="H25" i="4" s="1"/>
  <c r="K87" i="4"/>
  <c r="K25" i="4"/>
  <c r="K28" i="4" s="1"/>
  <c r="L24" i="4"/>
  <c r="L25" i="4" s="1"/>
  <c r="BD145" i="1"/>
  <c r="BB145" i="1"/>
  <c r="BD150" i="1"/>
  <c r="BB150" i="1"/>
  <c r="AP162" i="1"/>
  <c r="AP151" i="1"/>
  <c r="X162" i="1"/>
  <c r="X151" i="1"/>
  <c r="D153" i="1"/>
  <c r="AJ150" i="1"/>
  <c r="AM145" i="1"/>
  <c r="AK145" i="1"/>
  <c r="BA145" i="1"/>
  <c r="BA150" i="1"/>
  <c r="AJ192" i="1"/>
  <c r="AJ170" i="1"/>
  <c r="AJ167" i="1"/>
  <c r="AJ176" i="1"/>
  <c r="E153" i="1"/>
  <c r="AM150" i="1"/>
  <c r="AK150" i="1"/>
  <c r="Y162" i="1"/>
  <c r="Y151" i="1"/>
  <c r="AK170" i="1"/>
  <c r="K41" i="5" l="1"/>
  <c r="K53" i="5" s="1"/>
  <c r="L33" i="5"/>
  <c r="G41" i="5"/>
  <c r="G53" i="5" s="1"/>
  <c r="G54" i="5" s="1"/>
  <c r="H54" i="5" s="1"/>
  <c r="H33" i="5"/>
  <c r="H41" i="5" s="1"/>
  <c r="H53" i="5" s="1"/>
  <c r="L28" i="4"/>
  <c r="K34" i="4"/>
  <c r="L34" i="4" s="1"/>
  <c r="AK162" i="1"/>
  <c r="H87" i="4"/>
  <c r="H89" i="4" s="1"/>
  <c r="G89" i="4"/>
  <c r="L87" i="4"/>
  <c r="L89" i="4" s="1"/>
  <c r="K89" i="4"/>
  <c r="H28" i="4"/>
  <c r="H27" i="4" s="1"/>
  <c r="G33" i="4"/>
  <c r="H33" i="4" s="1"/>
  <c r="BA162" i="1"/>
  <c r="BA151" i="1"/>
  <c r="AJ162" i="1"/>
  <c r="AJ151" i="1"/>
  <c r="L41" i="5" l="1"/>
  <c r="O33" i="5"/>
  <c r="K54" i="5"/>
  <c r="L54" i="5" s="1"/>
  <c r="O54" i="5" s="1"/>
  <c r="K55" i="5"/>
  <c r="K41" i="4"/>
  <c r="K55" i="4" s="1"/>
  <c r="L33" i="4"/>
  <c r="L41" i="4" s="1"/>
  <c r="L27" i="4"/>
  <c r="G41" i="4"/>
  <c r="H54" i="4" s="1"/>
  <c r="O41" i="5" l="1"/>
  <c r="L53" i="5"/>
  <c r="M53" i="4"/>
  <c r="N53" i="4" s="1"/>
  <c r="O53" i="5" l="1"/>
  <c r="M53" i="5"/>
  <c r="N53" i="5" s="1"/>
</calcChain>
</file>

<file path=xl/comments1.xml><?xml version="1.0" encoding="utf-8"?>
<comments xmlns="http://schemas.openxmlformats.org/spreadsheetml/2006/main">
  <authors>
    <author>A13212</author>
    <author>Mohd Aliff Afnan bin Ismail (HQ-FIN)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breakdown of super &amp; normal - refer to haiza working</t>
        </r>
      </text>
    </comment>
    <comment ref="BF3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 total income
</t>
        </r>
      </text>
    </comment>
    <comment ref="B44" authorId="1">
      <text>
        <r>
          <rPr>
            <b/>
            <sz val="9"/>
            <color indexed="81"/>
            <rFont val="Tahoma"/>
            <family val="2"/>
          </rPr>
          <t>Mohd Aliff Afnan bin Ismail (HQ-FIN):</t>
        </r>
        <r>
          <rPr>
            <sz val="9"/>
            <color indexed="81"/>
            <rFont val="Tahoma"/>
            <family val="2"/>
          </rPr>
          <t xml:space="preserve">
Insurance commission breakdown (aqila)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A08614:
From Fariza Insurance dept 9688 Insurance agency income statement. General insurance- corporate (under external)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means that income derived from proj sub out by CMG for collection for products
 </t>
        </r>
        <r>
          <rPr>
            <sz val="9"/>
            <color indexed="81"/>
            <rFont val="Tahoma"/>
            <family val="2"/>
          </rPr>
          <t xml:space="preserve">info extracted from ICA receivables revenue (source : WANI from ICA) 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"Other income" -&gt; GEP
the rest is CC 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higher is because CMG - PF staff included here</t>
        </r>
      </text>
    </comment>
    <comment ref="K66" authorId="1">
      <text>
        <r>
          <rPr>
            <b/>
            <sz val="9"/>
            <color indexed="81"/>
            <rFont val="Tahoma"/>
            <family val="2"/>
          </rPr>
          <t>Mohd Aliff Afnan bin Ismail (HQ-FIN):starting to put the correct analysis code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due to MES transaction for the past few months, being charged to respective product code in march. Total mes trx = RM108K</t>
        </r>
      </text>
    </comment>
    <comment ref="BI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 tone bill for telemarketing , charged to direct bsn unit started june</t>
        </r>
      </text>
    </comment>
    <comment ref="BK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BL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DB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 tone bill for telemarketing , charged to direct bsn unit started june</t>
        </r>
      </text>
    </comment>
    <comment ref="DD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DE7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F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POS msia banker chq start allocation to biz unit in may'14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AG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AX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BO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CD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CS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DH7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BH7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PF- Aeon Cash application form, 
PJ350847</t>
        </r>
      </text>
    </comment>
    <comment ref="DA7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PF- Aeon Cash application form, 
PJ350847</t>
        </r>
      </text>
    </comment>
    <comment ref="BM7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cost allocation started in Sep</t>
        </r>
      </text>
    </comment>
    <comment ref="DF7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cost allocation started in Sep</t>
        </r>
      </text>
    </comment>
    <comment ref="AF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AW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BN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CC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CR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DG8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BK83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BL83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DD83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DE83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shared equally among the products</t>
        </r>
      </text>
    </comment>
    <comment ref="K110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reversal provision for expatriate taxes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all in Support cost, 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 only, TM should be tagged under CP0</t>
        </r>
      </text>
    </comment>
    <comment ref="B192" authorId="0">
      <text>
        <r>
          <rPr>
            <b/>
            <sz val="10"/>
            <color indexed="81"/>
            <rFont val="Tahoma"/>
            <family val="2"/>
          </rPr>
          <t>A13212:</t>
        </r>
        <r>
          <rPr>
            <sz val="10"/>
            <color indexed="81"/>
            <rFont val="Tahoma"/>
            <family val="2"/>
          </rPr>
          <t xml:space="preserve">
headcount above for outsource included CAD &amp; CMD for respective product. There are cost centre for resp bsn unit for CMD + CAD. For those cost incurred directly by the bsn unit - CAD, will be included in direct cost
 </t>
        </r>
      </text>
    </comment>
  </commentList>
</comments>
</file>

<file path=xl/sharedStrings.xml><?xml version="1.0" encoding="utf-8"?>
<sst xmlns="http://schemas.openxmlformats.org/spreadsheetml/2006/main" count="592" uniqueCount="273">
  <si>
    <t>Product PL FYE 29 Feb 2016</t>
  </si>
  <si>
    <t>Basis of allocating expenses - based on receivables size, except impairment loss</t>
  </si>
  <si>
    <t>FYE 2016</t>
  </si>
  <si>
    <t>FYE 2015</t>
  </si>
  <si>
    <t>FYE 2014</t>
  </si>
  <si>
    <t>PF TOTAL</t>
  </si>
  <si>
    <t>PF Normal</t>
  </si>
  <si>
    <t>PF Restructuring</t>
  </si>
  <si>
    <t>Restructuring</t>
  </si>
  <si>
    <t>PF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</si>
  <si>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</si>
  <si>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</si>
  <si>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</si>
  <si>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</si>
  <si>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</si>
  <si>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</si>
  <si>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</si>
  <si>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</si>
  <si>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</si>
  <si>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</si>
  <si>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</si>
  <si>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</si>
  <si>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YTD</t>
  </si>
  <si>
    <t>LYTD</t>
  </si>
  <si>
    <t>LM%</t>
  </si>
  <si>
    <t>June</t>
  </si>
  <si>
    <t>July</t>
  </si>
  <si>
    <t>20th Feb</t>
  </si>
  <si>
    <t>28th Feb</t>
  </si>
  <si>
    <t xml:space="preserve">LM </t>
  </si>
  <si>
    <t>LY</t>
  </si>
  <si>
    <t>BUDGET</t>
  </si>
  <si>
    <t>BUDGET %</t>
  </si>
  <si>
    <t>As at 280215</t>
  </si>
  <si>
    <t>Account Items</t>
  </si>
  <si>
    <t>RM'000</t>
  </si>
  <si>
    <t>%</t>
  </si>
  <si>
    <t xml:space="preserve"> %</t>
  </si>
  <si>
    <t>General Easy Payment</t>
  </si>
  <si>
    <t>Motor Easy Payment</t>
  </si>
  <si>
    <t>Super bike</t>
  </si>
  <si>
    <t>Used Car Easy Payment</t>
  </si>
  <si>
    <t>New Car Easy Payment</t>
  </si>
  <si>
    <t>Personal Financing</t>
  </si>
  <si>
    <t>Personal Financing (RSTG)</t>
  </si>
  <si>
    <t>SME Financing</t>
  </si>
  <si>
    <t>Credit Purchase Sales</t>
  </si>
  <si>
    <t>Cash Advance Sales</t>
  </si>
  <si>
    <t>Sales Total</t>
  </si>
  <si>
    <t>General Easy Payment Income</t>
  </si>
  <si>
    <t>GEP- Agreement Fee</t>
  </si>
  <si>
    <t>MEP Income</t>
  </si>
  <si>
    <t>Super Bike</t>
  </si>
  <si>
    <t>MEP- Handling Fee</t>
  </si>
  <si>
    <t>MEP Extended Warranty</t>
  </si>
  <si>
    <t>MEP Extended Warranty (IAP)</t>
  </si>
  <si>
    <t>UCEP Income</t>
  </si>
  <si>
    <t>NCEP Income</t>
  </si>
  <si>
    <t>UCEP Handling Fee</t>
  </si>
  <si>
    <t>NCEP Handling Fee</t>
  </si>
  <si>
    <t>PF Income</t>
  </si>
  <si>
    <t>PF (RSTG) Income</t>
  </si>
  <si>
    <t>PF- Handling Fee</t>
  </si>
  <si>
    <t>SME Income</t>
  </si>
  <si>
    <t>SME Agreement and Handling Fee</t>
  </si>
  <si>
    <t>SME Extended Warranty</t>
  </si>
  <si>
    <t>EP Penalty Charge</t>
  </si>
  <si>
    <t>GEP Collection Charge</t>
  </si>
  <si>
    <t>SME Collection Charge</t>
  </si>
  <si>
    <t>MEP Collection Charge</t>
  </si>
  <si>
    <t>PF Collection Charge</t>
  </si>
  <si>
    <t>UCEP Collection Charge</t>
  </si>
  <si>
    <t>NCEP Collection Charge</t>
  </si>
  <si>
    <t>Income from Credit Loss</t>
  </si>
  <si>
    <t>Insurance Commission Income</t>
  </si>
  <si>
    <t>Insurance Commission Income (External)</t>
  </si>
  <si>
    <t>Credit Purchase</t>
  </si>
  <si>
    <t>Cash Advance</t>
  </si>
  <si>
    <t>Credit Card Renewal/ Annual Fee</t>
  </si>
  <si>
    <t>CC Penalty Charge</t>
  </si>
  <si>
    <t xml:space="preserve">Collection Commission </t>
  </si>
  <si>
    <t>Collection Commission (Internal)</t>
  </si>
  <si>
    <t>Other Income</t>
  </si>
  <si>
    <t>Point Management Fees</t>
  </si>
  <si>
    <t>Total revenue</t>
  </si>
  <si>
    <t>Less: Direct Expenses</t>
  </si>
  <si>
    <t>Advertising and promotion expenses</t>
  </si>
  <si>
    <t>Impairment loss</t>
  </si>
  <si>
    <t>Staff salary</t>
  </si>
  <si>
    <t>Welfare</t>
  </si>
  <si>
    <t>Temporary staff Salary</t>
  </si>
  <si>
    <t>Others</t>
  </si>
  <si>
    <t>Personnel expenses</t>
  </si>
  <si>
    <t>Telephone Expenses / Leased Line</t>
  </si>
  <si>
    <t>Postage Fee Expenses</t>
  </si>
  <si>
    <t>Stamp Duty</t>
  </si>
  <si>
    <t>Investigation Fee</t>
  </si>
  <si>
    <t>Printing Expenses</t>
  </si>
  <si>
    <t>Card Expenses</t>
  </si>
  <si>
    <t>Computer exp/System development</t>
  </si>
  <si>
    <t>Collection Charge</t>
  </si>
  <si>
    <t>Commission Expenses</t>
  </si>
  <si>
    <t>Administrative expenses</t>
  </si>
  <si>
    <t xml:space="preserve">Rental Expenses </t>
  </si>
  <si>
    <t>Electricity expenses</t>
  </si>
  <si>
    <t>Maintenance Expenses</t>
  </si>
  <si>
    <t>Furnishing Expenses</t>
  </si>
  <si>
    <t>Depreciation</t>
  </si>
  <si>
    <t>Equipment expenses</t>
  </si>
  <si>
    <t>Travelling Expenses</t>
  </si>
  <si>
    <t>Stationery Expenses</t>
  </si>
  <si>
    <t>General Expenses (Others)</t>
  </si>
  <si>
    <t>General expenses</t>
  </si>
  <si>
    <t>Interest expenses</t>
  </si>
  <si>
    <t>Perpetual Notes distribution</t>
  </si>
  <si>
    <t>Cost of capital (dividend payment)</t>
  </si>
  <si>
    <t>Funding Cost</t>
  </si>
  <si>
    <t>Total Direct Expenses</t>
  </si>
  <si>
    <t>Operating Profit Before Support Cost</t>
  </si>
  <si>
    <t>Less: Support Cost</t>
  </si>
  <si>
    <t>Provision for fraud loss</t>
  </si>
  <si>
    <t>Computer exp/System developmt</t>
  </si>
  <si>
    <t>Payment Charge</t>
  </si>
  <si>
    <t>Rental Expenses</t>
  </si>
  <si>
    <t xml:space="preserve">GST </t>
  </si>
  <si>
    <t xml:space="preserve">General expenses </t>
  </si>
  <si>
    <t>Total Support Cost</t>
  </si>
  <si>
    <t>Total Cost</t>
  </si>
  <si>
    <t>Operating Profit Before Non-sharing Cost</t>
  </si>
  <si>
    <t>Less: non sharing cost</t>
  </si>
  <si>
    <t>Less: HQ Management Unit</t>
  </si>
  <si>
    <t>Operating Profit</t>
  </si>
  <si>
    <t>Financial Ratios :</t>
  </si>
  <si>
    <t>Receivables</t>
  </si>
  <si>
    <t>Accrued Revenue</t>
  </si>
  <si>
    <t>Total Receivable</t>
  </si>
  <si>
    <t>Return on Receivables (%) (annualised)</t>
  </si>
  <si>
    <t xml:space="preserve">Impairment Loss </t>
  </si>
  <si>
    <t xml:space="preserve"> - against Receivables (%) (annualised)</t>
  </si>
  <si>
    <t xml:space="preserve"> - against Revenue (%)</t>
  </si>
  <si>
    <t xml:space="preserve"> - against Operating Profit before Support Cost</t>
  </si>
  <si>
    <t>Profit Margin</t>
  </si>
  <si>
    <t>(Operating Profit Before Support Cost/ Revenue)</t>
  </si>
  <si>
    <t>Direct Personnel Expenses</t>
  </si>
  <si>
    <t xml:space="preserve"> - against Sales</t>
  </si>
  <si>
    <t xml:space="preserve"> - against Revenue</t>
  </si>
  <si>
    <t>Support Cost</t>
  </si>
  <si>
    <t xml:space="preserve"> - against Operating Profit Before Support Cost</t>
  </si>
  <si>
    <t xml:space="preserve"> - against Total Cost</t>
  </si>
  <si>
    <t>Total Headcount</t>
  </si>
  <si>
    <t xml:space="preserve">- Permanent and Contract </t>
  </si>
  <si>
    <t>- Outsource</t>
  </si>
  <si>
    <t>Staff Productivity</t>
  </si>
  <si>
    <t xml:space="preserve"> - Sales per headcount</t>
  </si>
  <si>
    <t xml:space="preserve"> - Revenue per headcount</t>
  </si>
  <si>
    <t xml:space="preserve">   - Operating Profit before </t>
  </si>
  <si>
    <t>Support Cost per headcount</t>
  </si>
  <si>
    <t>BAD DEBT</t>
  </si>
  <si>
    <t>INCOME FROM CREDIT LOSS</t>
  </si>
  <si>
    <t>NET CREDIT LOSS</t>
  </si>
  <si>
    <t>Nov'14</t>
  </si>
  <si>
    <t>Dec'14</t>
  </si>
  <si>
    <t>Unit: RM'000</t>
  </si>
  <si>
    <t>Apr'14</t>
  </si>
  <si>
    <t>May'14</t>
  </si>
  <si>
    <t>June'14</t>
  </si>
  <si>
    <t>July'14</t>
  </si>
  <si>
    <t>Aug'14</t>
  </si>
  <si>
    <t>Sept'14</t>
  </si>
  <si>
    <t>Oct'14</t>
  </si>
  <si>
    <t>Jan'15</t>
  </si>
  <si>
    <t>Feb'15</t>
  </si>
  <si>
    <t>Mac'15</t>
  </si>
  <si>
    <t>Sales</t>
  </si>
  <si>
    <t>Revenue</t>
  </si>
  <si>
    <t>Op. Profit before Support Cost</t>
  </si>
  <si>
    <t>WRITE OFF</t>
  </si>
  <si>
    <t>imp loss / receivables</t>
  </si>
  <si>
    <t>WO/ receivables</t>
  </si>
  <si>
    <t>Projection for Aeon-iCash Hari Raya Campaign</t>
  </si>
  <si>
    <t>Without Campaign</t>
  </si>
  <si>
    <t>Campaign Projection</t>
  </si>
  <si>
    <t>↑</t>
  </si>
  <si>
    <r>
      <t xml:space="preserve">% </t>
    </r>
    <r>
      <rPr>
        <b/>
        <sz val="11"/>
        <color indexed="8"/>
        <rFont val="Calibri"/>
        <family val="2"/>
      </rPr>
      <t>↑</t>
    </r>
  </si>
  <si>
    <t>Weightage</t>
  </si>
  <si>
    <t>May 19 days</t>
  </si>
  <si>
    <t xml:space="preserve">June </t>
  </si>
  <si>
    <t xml:space="preserve">July </t>
  </si>
  <si>
    <t>August</t>
  </si>
  <si>
    <t>Total</t>
  </si>
  <si>
    <t>Sales Target:</t>
  </si>
  <si>
    <t>19 days</t>
  </si>
  <si>
    <t xml:space="preserve">21 days </t>
  </si>
  <si>
    <t>22 days</t>
  </si>
  <si>
    <t xml:space="preserve">20 days </t>
  </si>
  <si>
    <t>Submission</t>
  </si>
  <si>
    <t xml:space="preserve">Judged </t>
  </si>
  <si>
    <t>Approved</t>
  </si>
  <si>
    <t>Disbursed</t>
  </si>
  <si>
    <t>Ticket Size (RM) (2% marginal growth MOM</t>
  </si>
  <si>
    <t>Disburse based on PF Target</t>
  </si>
  <si>
    <t>Lift (RM)</t>
  </si>
  <si>
    <t>Signed &amp; Purchased:</t>
  </si>
  <si>
    <t>S&amp;P (#)</t>
  </si>
  <si>
    <t>S&amp;P  (RM)</t>
  </si>
  <si>
    <t>B/F Receivables (RM)</t>
  </si>
  <si>
    <t>Attrition (Bad Debt/ Credit Loss/ Early Settlement)</t>
  </si>
  <si>
    <t>Performing S&amp;P (RM)</t>
  </si>
  <si>
    <t>Paid down (RM)</t>
  </si>
  <si>
    <t>C/F Receivables (RM)</t>
  </si>
  <si>
    <t>Insurance SP</t>
  </si>
  <si>
    <t>Insurance ST</t>
  </si>
  <si>
    <t>Gross Revenue (p/ mth)</t>
  </si>
  <si>
    <t>Cost Of Fund (p/mth)</t>
  </si>
  <si>
    <t>Gross Revenue (RM) SP</t>
  </si>
  <si>
    <t>Gross Revenue (RM) ST</t>
  </si>
  <si>
    <t>Insurance Agency contribution</t>
  </si>
  <si>
    <t>Processing fee (4%)</t>
  </si>
  <si>
    <t>Processing fee (2%)</t>
  </si>
  <si>
    <t>Nett Revenue</t>
  </si>
  <si>
    <t>Cost/ Expenses:</t>
  </si>
  <si>
    <t>Capex</t>
  </si>
  <si>
    <t xml:space="preserve"> (Internal IT System Enhancement)</t>
  </si>
  <si>
    <t>Overhead - Incentive PF</t>
  </si>
  <si>
    <t>Overhead - Incentive INS</t>
  </si>
  <si>
    <t>Marketing - Leaflet (RM 0.075)</t>
  </si>
  <si>
    <t>Marketing - Bunting (RM 21)</t>
  </si>
  <si>
    <t>Prizes (RM 150) Qty 1000</t>
  </si>
  <si>
    <t>Profit /(Loss)</t>
  </si>
  <si>
    <t>Total Profit/ (Loss)</t>
  </si>
  <si>
    <t>Acc Profit/ (Loss)</t>
  </si>
  <si>
    <t>Breakeven (Mth)</t>
  </si>
  <si>
    <t>Payback</t>
  </si>
  <si>
    <t>ROI</t>
  </si>
  <si>
    <t>Business Assumption:</t>
  </si>
  <si>
    <t>a) Objective of the campaign is to grow more sales (S&amp;P)  and also better customer profile</t>
  </si>
  <si>
    <t>b) Current ticket size is measured as 2% growth MOM on the positive respond of Ext of tenure and revised loan maximum amount</t>
  </si>
  <si>
    <t>d) Insurance agency contribute RM 30,000/month fund for 3 months</t>
  </si>
  <si>
    <t>Budget (Allocation)</t>
  </si>
  <si>
    <t>Prizes</t>
  </si>
  <si>
    <t>Cost</t>
  </si>
  <si>
    <t>Total per month</t>
  </si>
  <si>
    <t>Balance cost for delivery</t>
  </si>
  <si>
    <t xml:space="preserve"> Month 1 (RM) 25%</t>
  </si>
  <si>
    <t>RM1100(Galaxy Grand 2)+ RM1150(Galaxy note 8)*10</t>
  </si>
  <si>
    <t>RM2250*10</t>
  </si>
  <si>
    <t xml:space="preserve"> Month 2 (RM) 35%</t>
  </si>
  <si>
    <t>RM1780 (TV)+ 350(Blue ray)*25</t>
  </si>
  <si>
    <t>RM2130* 25</t>
  </si>
  <si>
    <t xml:space="preserve"> Month 3 (RM) 40%</t>
  </si>
  <si>
    <t>RM1780(TV) + 450 (HT)*30</t>
  </si>
  <si>
    <t>RM2230* 30</t>
  </si>
  <si>
    <t>Marketing Budget (RM) Total</t>
  </si>
  <si>
    <t>Creative cost (RM)</t>
  </si>
  <si>
    <t>Bunting Printing (RM)</t>
  </si>
  <si>
    <t>Customers Prizes &amp; Delivery</t>
  </si>
  <si>
    <t>CSU Rewards</t>
  </si>
  <si>
    <t>Contigency cost (RM)</t>
  </si>
  <si>
    <t>*Balance printing cost at Vendor</t>
  </si>
  <si>
    <t>Total Printing pieces (3 types)</t>
  </si>
  <si>
    <t>Cost per piece</t>
  </si>
  <si>
    <t>Cost for 1 type flyer (per outlet)(RM)</t>
  </si>
  <si>
    <t>Copies of flyers per CSU/month</t>
  </si>
  <si>
    <t>12000pieces/type/CSU</t>
  </si>
  <si>
    <t xml:space="preserve">Opening </t>
  </si>
  <si>
    <t>Write Off</t>
  </si>
  <si>
    <t>Collection</t>
  </si>
  <si>
    <t>C/F Receivables</t>
  </si>
  <si>
    <t>WO/ Receivables</t>
  </si>
  <si>
    <t>IL / Receivables</t>
  </si>
  <si>
    <t>FA &lt; RM 20,000 (S&amp;P)</t>
  </si>
  <si>
    <r>
      <t xml:space="preserve">FA </t>
    </r>
    <r>
      <rPr>
        <u/>
        <sz val="11"/>
        <color indexed="8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RM 20,000 (S&amp;P)</t>
    </r>
  </si>
  <si>
    <t>Prizes (RM 150) Qty 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</si>
</sst>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#,##0,"/>
    <numFmt numFmtId="168" formatCode="_(* #,##0.0_);_(* \(#,##0.0\);_(* &quot;-&quot;??_);_(@_)"/>
    <numFmt numFmtId="169" formatCode="0.0"/>
    <numFmt numFmtId="170" formatCode="_(* #,##0.000_);_(* \(#,##0.000\);_(* &quot;-&quot;??_);_(@_)"/>
    <numFmt numFmtId="171" formatCode="#,###,"/>
    <numFmt numFmtId="172" formatCode="0.0%"/>
    <numFmt numFmtId="173" formatCode="#,##0.000,"/>
    <numFmt numFmtId="174" formatCode="#,##0.00,"/>
    <numFmt numFmtId="175" formatCode="#"/>
    <numFmt numFmtId="176" formatCode="_-* #,##0_-;\-* #,##0_-;_-* &quot;-&quot;_-;_-@_-"/>
    <numFmt numFmtId="177" formatCode="_-* #,##0.00_-;\-* #,##0.00_-;_-* &quot;-&quot;??_-;_-@_-"/>
    <numFmt numFmtId="178" formatCode="_-&quot;\&quot;* #,##0_-;\-&quot;\&quot;* #,##0_-;_-&quot;\&quot;* &quot;-&quot;_-;_-@_-"/>
    <numFmt numFmtId="179" formatCode="_-&quot;\&quot;* #,##0.00_-;\-&quot;\&quot;* #,##0.00_-;_-&quot;\&quot;* &quot;-&quot;??_-;_-@_-"/>
    <numFmt numFmtId="180" formatCode="#,##0;\-#,##0;&quot;-&quot;"/>
    <numFmt numFmtId="181" formatCode="0.000_)"/>
    <numFmt numFmtId="182" formatCode="#,##0.0"/>
    <numFmt numFmtId="183" formatCode="_-* #,##0.00\ &quot;DM&quot;_-;\-* #,##0.00\ &quot;DM&quot;_-;_-* &quot;-&quot;??\ &quot;DM&quot;_-;_-@_-"/>
    <numFmt numFmtId="184" formatCode="&quot;¥&quot;#,##0;[Red]&quot;¥&quot;\-#,##0"/>
    <numFmt numFmtId="185" formatCode="mm/dd"/>
    <numFmt numFmtId="186" formatCode="#,##0\ &quot;DM&quot;;[Red]\-#,##0\ &quot;DM&quot;"/>
    <numFmt numFmtId="187" formatCode="0.00_)"/>
    <numFmt numFmtId="188" formatCode="_ * #,##0.00_ ;_ * \-#,##0.00_ ;_ * &quot;-&quot;??_ ;_ @_ "/>
    <numFmt numFmtId="189" formatCode="_ * #,##0_ ;_ * \-#,##0_ ;_ * &quot;-&quot;_ ;_ @_ "/>
    <numFmt numFmtId="190" formatCode="#,##0_ ;[Red]\-#,##0\ "/>
    <numFmt numFmtId="191" formatCode="_-&quot;L.&quot;\ * #,##0_-;\-&quot;L.&quot;\ * #,##0_-;_-&quot;L.&quot;\ * &quot;-&quot;_-;_-@_-"/>
    <numFmt numFmtId="192" formatCode="_-&quot;L.&quot;\ * #,##0.00_-;\-&quot;L.&quot;\ * #,##0.00_-;_-&quot;L.&quot;\ * &quot;-&quot;??_-;_-@_-"/>
    <numFmt numFmtId="193" formatCode="&quot;(&quot;0%&quot;)   &quot;;[Red]\-&quot;(&quot;0%&quot;)   &quot;;&quot;－    &quot;"/>
    <numFmt numFmtId="194" formatCode="&quot;(&quot;0.00%&quot;)   &quot;;[Red]\-&quot;(&quot;0.00%&quot;)   &quot;;&quot;－    &quot;"/>
    <numFmt numFmtId="195" formatCode="0.00%;[Red]\-0.00%;&quot;－&quot;"/>
    <numFmt numFmtId="196" formatCode="[Blue][&gt;100]#,##0.0;[Red][&lt;95]#,##0.0;0.0"/>
    <numFmt numFmtId="197" formatCode="[Blue][&gt;100]#,##0.0;[Red][&lt;95]#,##0.0;General"/>
    <numFmt numFmtId="198" formatCode="&quot;¥&quot;#,##0;&quot;¥&quot;\-#,##0"/>
    <numFmt numFmtId="199" formatCode="&quot;¥&quot;#,##0.00;[Red]\-&quot;¥&quot;#,##0.00"/>
    <numFmt numFmtId="200" formatCode="&quot;¥&quot;#,##0;[Red]\-&quot;¥&quot;#,##0"/>
    <numFmt numFmtId="201" formatCode="_-&quot;£&quot;* #,##0.00_-;\-&quot;£&quot;* #,##0.00_-;_-&quot;£&quot;* &quot;-&quot;??_-;_-@_-"/>
    <numFmt numFmtId="202" formatCode="#,##0.0000"/>
  </numFmts>
  <fonts count="1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name val="Arial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i/>
      <sz val="11"/>
      <color rgb="FF0000FF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0"/>
      <color theme="8" tint="0.3999755851924192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rgb="FF1F497D"/>
      <name val="Arial"/>
      <family val="2"/>
    </font>
    <font>
      <sz val="10"/>
      <color rgb="FF1F497D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name val="Helv"/>
      <family val="2"/>
    </font>
    <font>
      <sz val="12"/>
      <name val="Times New Roman"/>
      <family val="1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i/>
      <sz val="11"/>
      <name val="明朝"/>
      <family val="1"/>
      <charset val="128"/>
    </font>
    <font>
      <sz val="12"/>
      <color indexed="8"/>
      <name val="Courier"/>
      <family val="3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??????o"/>
      <family val="3"/>
    </font>
    <font>
      <sz val="11"/>
      <name val="￥i￠￢￠?o"/>
      <family val="3"/>
      <charset val="129"/>
    </font>
    <font>
      <sz val="11"/>
      <name val="¥ì¢¬¢¯o"/>
      <family val="3"/>
    </font>
    <font>
      <sz val="8"/>
      <name val="Times New Roman"/>
      <family val="1"/>
    </font>
    <font>
      <sz val="12"/>
      <name val="¹ÙÅÁÃ¼"/>
      <family val="1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1"/>
      <name val="Tms Rmn"/>
      <family val="1"/>
    </font>
    <font>
      <sz val="11"/>
      <name val="Times New Roman"/>
      <family val="1"/>
    </font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2"/>
      <name val="바탕체"/>
      <family val="1"/>
      <charset val="129"/>
    </font>
    <font>
      <sz val="12"/>
      <name val="Arial"/>
      <family val="2"/>
    </font>
    <font>
      <sz val="9"/>
      <name val="ＭＳ 明朝"/>
      <family val="1"/>
      <charset val="128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sz val="11"/>
      <color theme="1"/>
      <name val="Tahoma"/>
      <family val="2"/>
    </font>
    <font>
      <sz val="12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1"/>
      <name val="明朝"/>
      <family val="1"/>
      <charset val="128"/>
    </font>
    <font>
      <sz val="11"/>
      <color indexed="10"/>
      <name val="明朝"/>
      <family val="1"/>
      <charset val="128"/>
    </font>
    <font>
      <b/>
      <sz val="10"/>
      <name val="MS Sans Serif"/>
      <family val="2"/>
    </font>
    <font>
      <b/>
      <sz val="11"/>
      <name val="明朝"/>
      <family val="2"/>
    </font>
    <font>
      <sz val="10"/>
      <color indexed="10"/>
      <name val="Arial"/>
      <family val="2"/>
    </font>
    <font>
      <u/>
      <sz val="10"/>
      <color rgb="FFCCE1FF"/>
      <name val="Arial"/>
      <family val="2"/>
    </font>
    <font>
      <sz val="12"/>
      <name val="ＭＳ Ｐ明朝"/>
      <family val="1"/>
      <charset val="128"/>
    </font>
    <font>
      <u/>
      <sz val="10"/>
      <name val="Arial"/>
      <family val="2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12"/>
      <color indexed="24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Cordia New"/>
      <family val="2"/>
      <charset val="222"/>
    </font>
    <font>
      <u/>
      <sz val="9"/>
      <color indexed="36"/>
      <name val="바탕체"/>
      <family val="1"/>
      <charset val="129"/>
    </font>
    <font>
      <sz val="10"/>
      <name val="명조"/>
      <family val="3"/>
      <charset val="129"/>
    </font>
    <font>
      <sz val="11"/>
      <color indexed="17"/>
      <name val="돋움"/>
      <family val="3"/>
      <charset val="129"/>
    </font>
    <font>
      <sz val="9"/>
      <name val="돋움"/>
      <family val="3"/>
      <charset val="129"/>
    </font>
    <font>
      <sz val="11"/>
      <color indexed="17"/>
      <name val="바탕체"/>
      <family val="1"/>
      <charset val="129"/>
    </font>
    <font>
      <sz val="12"/>
      <name val="新細明體"/>
      <family val="1"/>
      <charset val="255"/>
    </font>
    <font>
      <b/>
      <sz val="14.5"/>
      <name val="明朝"/>
      <family val="1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Arial"/>
      <family val="3"/>
      <charset val="128"/>
    </font>
    <font>
      <sz val="12"/>
      <name val="ＭＳ Ｐゴシック"/>
      <family val="3"/>
      <charset val="128"/>
    </font>
    <font>
      <sz val="12"/>
      <name val="宋体"/>
      <charset val="134"/>
    </font>
    <font>
      <sz val="11"/>
      <color indexed="8"/>
      <name val="Calibri"/>
      <family val="3"/>
      <charset val="128"/>
    </font>
    <font>
      <sz val="12"/>
      <name val="宋体"/>
      <family val="3"/>
      <charset val="128"/>
    </font>
    <font>
      <sz val="11"/>
      <name val="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5"/>
      <color indexed="24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00B0F0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rgb="FFEFEFEF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993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8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10" fillId="0" borderId="0"/>
    <xf numFmtId="0" fontId="10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5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10" fillId="0" borderId="0"/>
    <xf numFmtId="0" fontId="10" fillId="0" borderId="0"/>
    <xf numFmtId="0" fontId="10" fillId="0" borderId="0"/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175" fontId="46" fillId="0" borderId="0">
      <protection locked="0"/>
    </xf>
    <xf numFmtId="0" fontId="47" fillId="0" borderId="0"/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6" fontId="51" fillId="0" borderId="0" applyFont="0" applyFill="0" applyBorder="0" applyAlignment="0" applyProtection="0"/>
    <xf numFmtId="176" fontId="52" fillId="0" borderId="0" applyFont="0" applyFill="0" applyBorder="0" applyAlignment="0" applyProtection="0"/>
    <xf numFmtId="177" fontId="51" fillId="0" borderId="0" applyFont="0" applyFill="0" applyBorder="0" applyAlignment="0" applyProtection="0"/>
    <xf numFmtId="177" fontId="52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0" fontId="54" fillId="0" borderId="0" applyFont="0" applyFill="0" applyBorder="0" applyAlignment="0" applyProtection="0"/>
    <xf numFmtId="0" fontId="44" fillId="0" borderId="0"/>
    <xf numFmtId="0" fontId="50" fillId="0" borderId="0"/>
    <xf numFmtId="0" fontId="51" fillId="0" borderId="0"/>
    <xf numFmtId="0" fontId="52" fillId="0" borderId="0"/>
    <xf numFmtId="0" fontId="51" fillId="0" borderId="0"/>
    <xf numFmtId="0" fontId="54" fillId="0" borderId="0"/>
    <xf numFmtId="180" fontId="55" fillId="0" borderId="0" applyFill="0" applyBorder="0" applyAlignment="0"/>
    <xf numFmtId="0" fontId="56" fillId="0" borderId="0"/>
    <xf numFmtId="0" fontId="47" fillId="0" borderId="0" applyNumberFormat="0" applyFill="0" applyBorder="0" applyAlignment="0" applyProtection="0">
      <alignment vertical="center"/>
    </xf>
    <xf numFmtId="181" fontId="57" fillId="0" borderId="0"/>
    <xf numFmtId="181" fontId="57" fillId="0" borderId="0"/>
    <xf numFmtId="181" fontId="57" fillId="0" borderId="0"/>
    <xf numFmtId="181" fontId="57" fillId="0" borderId="0"/>
    <xf numFmtId="181" fontId="57" fillId="0" borderId="0"/>
    <xf numFmtId="181" fontId="57" fillId="0" borderId="0"/>
    <xf numFmtId="181" fontId="57" fillId="0" borderId="0"/>
    <xf numFmtId="181" fontId="57" fillId="0" borderId="0"/>
    <xf numFmtId="38" fontId="44" fillId="0" borderId="0" applyFon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38" fontId="58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59" fillId="0" borderId="0" applyFont="0" applyFill="0" applyBorder="0" applyAlignment="0" applyProtection="0"/>
    <xf numFmtId="40" fontId="44" fillId="0" borderId="0" applyFont="0" applyFill="0" applyBorder="0" applyAlignment="0" applyProtection="0"/>
    <xf numFmtId="40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5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0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4" fillId="0" borderId="0" applyFont="0" applyFill="0" applyBorder="0" applyAlignment="0" applyProtection="0"/>
    <xf numFmtId="40" fontId="44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0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Alignment="0" applyProtection="0"/>
    <xf numFmtId="43" fontId="10" fillId="0" borderId="0" applyFont="0" applyFill="0" applyAlignment="0" applyProtection="0"/>
    <xf numFmtId="43" fontId="10" fillId="0" borderId="0" applyFont="0" applyFill="0" applyAlignment="0" applyProtection="0"/>
    <xf numFmtId="43" fontId="10" fillId="0" borderId="0" applyFont="0" applyFill="0" applyAlignment="0" applyProtection="0"/>
    <xf numFmtId="43" fontId="10" fillId="0" borderId="0" applyFont="0" applyFill="0" applyAlignment="0" applyProtection="0"/>
    <xf numFmtId="40" fontId="60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2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44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61" fillId="0" borderId="0" applyFont="0" applyFill="0" applyBorder="0" applyAlignment="0" applyProtection="0"/>
    <xf numFmtId="183" fontId="10" fillId="0" borderId="0"/>
    <xf numFmtId="0" fontId="47" fillId="0" borderId="0"/>
    <xf numFmtId="184" fontId="44" fillId="0" borderId="0" applyFont="0" applyFill="0" applyBorder="0" applyAlignment="0" applyProtection="0">
      <alignment vertical="center"/>
    </xf>
    <xf numFmtId="185" fontId="10" fillId="0" borderId="0"/>
    <xf numFmtId="0" fontId="62" fillId="0" borderId="0" applyProtection="0"/>
    <xf numFmtId="0" fontId="47" fillId="0" borderId="0"/>
    <xf numFmtId="186" fontId="10" fillId="0" borderId="0"/>
    <xf numFmtId="2" fontId="62" fillId="0" borderId="0" applyProtection="0"/>
    <xf numFmtId="14" fontId="63" fillId="0" borderId="15"/>
    <xf numFmtId="0" fontId="44" fillId="0" borderId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38" fontId="64" fillId="24" borderId="0" applyNumberFormat="0" applyBorder="0" applyAlignment="0" applyProtection="0"/>
    <xf numFmtId="0" fontId="65" fillId="0" borderId="0">
      <alignment horizontal="left"/>
    </xf>
    <xf numFmtId="0" fontId="34" fillId="0" borderId="2" applyNumberFormat="0" applyAlignment="0" applyProtection="0">
      <alignment horizontal="left" vertical="center"/>
    </xf>
    <xf numFmtId="0" fontId="34" fillId="0" borderId="44">
      <alignment horizontal="left" vertical="center"/>
    </xf>
    <xf numFmtId="0" fontId="66" fillId="0" borderId="0" applyProtection="0"/>
    <xf numFmtId="0" fontId="34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0" fontId="64" fillId="25" borderId="46" applyNumberFormat="0" applyBorder="0" applyAlignment="0" applyProtection="0"/>
    <xf numFmtId="1" fontId="68" fillId="0" borderId="0" applyProtection="0">
      <protection locked="0"/>
    </xf>
    <xf numFmtId="0" fontId="58" fillId="0" borderId="0" applyNumberFormat="0" applyFill="0" applyBorder="0" applyAlignment="0">
      <alignment vertical="center"/>
    </xf>
    <xf numFmtId="0" fontId="47" fillId="0" borderId="0"/>
    <xf numFmtId="0" fontId="47" fillId="0" borderId="0"/>
    <xf numFmtId="38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0" fontId="70" fillId="0" borderId="8"/>
    <xf numFmtId="16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3" fillId="0" borderId="0"/>
    <xf numFmtId="37" fontId="71" fillId="0" borderId="0"/>
    <xf numFmtId="187" fontId="7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4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7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5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0" fillId="0" borderId="0"/>
    <xf numFmtId="188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79" fillId="0" borderId="0"/>
    <xf numFmtId="0" fontId="80" fillId="0" borderId="0"/>
    <xf numFmtId="0" fontId="79" fillId="0" borderId="0"/>
    <xf numFmtId="0" fontId="80" fillId="0" borderId="0"/>
    <xf numFmtId="14" fontId="53" fillId="0" borderId="0">
      <alignment horizontal="center" wrapText="1"/>
      <protection locked="0"/>
    </xf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7" fillId="0" borderId="0"/>
    <xf numFmtId="0" fontId="69" fillId="0" borderId="0" applyNumberFormat="0" applyFont="0" applyFill="0" applyBorder="0" applyAlignment="0" applyProtection="0">
      <alignment horizontal="left"/>
    </xf>
    <xf numFmtId="0" fontId="81" fillId="0" borderId="8">
      <alignment horizontal="center"/>
    </xf>
    <xf numFmtId="0" fontId="82" fillId="26" borderId="0" applyNumberFormat="0" applyFill="0" applyBorder="0" applyAlignment="0" applyProtection="0"/>
    <xf numFmtId="4" fontId="55" fillId="27" borderId="70" applyNumberFormat="0" applyProtection="0">
      <alignment horizontal="right" vertical="center"/>
    </xf>
    <xf numFmtId="4" fontId="83" fillId="27" borderId="70" applyNumberFormat="0" applyProtection="0">
      <alignment horizontal="right" vertical="center"/>
    </xf>
    <xf numFmtId="172" fontId="76" fillId="28" borderId="46"/>
    <xf numFmtId="0" fontId="76" fillId="29" borderId="46"/>
    <xf numFmtId="49" fontId="84" fillId="30" borderId="71">
      <alignment horizontal="center"/>
    </xf>
    <xf numFmtId="49" fontId="85" fillId="30" borderId="71">
      <alignment horizontal="center" wrapText="1"/>
    </xf>
    <xf numFmtId="49" fontId="10" fillId="0" borderId="0">
      <alignment horizontal="right"/>
    </xf>
    <xf numFmtId="0" fontId="76" fillId="31" borderId="46">
      <alignment vertical="center"/>
    </xf>
    <xf numFmtId="0" fontId="76" fillId="28" borderId="46">
      <alignment vertical="center"/>
    </xf>
    <xf numFmtId="190" fontId="76" fillId="32" borderId="46"/>
    <xf numFmtId="190" fontId="76" fillId="28" borderId="46"/>
    <xf numFmtId="0" fontId="76" fillId="29" borderId="46"/>
    <xf numFmtId="49" fontId="86" fillId="30" borderId="71">
      <alignment vertical="center"/>
    </xf>
    <xf numFmtId="49" fontId="87" fillId="30" borderId="71">
      <alignment vertical="center"/>
    </xf>
    <xf numFmtId="49" fontId="62" fillId="0" borderId="0">
      <alignment horizontal="right"/>
    </xf>
    <xf numFmtId="0" fontId="76" fillId="33" borderId="46"/>
    <xf numFmtId="190" fontId="76" fillId="34" borderId="46"/>
    <xf numFmtId="0" fontId="47" fillId="0" borderId="0"/>
    <xf numFmtId="0" fontId="41" fillId="0" borderId="0"/>
    <xf numFmtId="0" fontId="70" fillId="0" borderId="0"/>
    <xf numFmtId="0" fontId="44" fillId="0" borderId="0"/>
    <xf numFmtId="191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4" fillId="0" borderId="72"/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3" fontId="89" fillId="0" borderId="0" applyFont="0" applyFill="0" applyBorder="0" applyAlignment="0" applyProtection="0"/>
    <xf numFmtId="0" fontId="43" fillId="0" borderId="0"/>
    <xf numFmtId="0" fontId="90" fillId="0" borderId="0" applyNumberFormat="0" applyFill="0" applyBorder="0" applyAlignment="0" applyProtection="0">
      <alignment vertical="center"/>
    </xf>
    <xf numFmtId="0" fontId="91" fillId="39" borderId="73" applyNumberFormat="0" applyAlignment="0" applyProtection="0">
      <alignment vertical="center"/>
    </xf>
    <xf numFmtId="0" fontId="47" fillId="0" borderId="0"/>
    <xf numFmtId="0" fontId="92" fillId="40" borderId="0" applyNumberFormat="0" applyBorder="0" applyAlignment="0" applyProtection="0">
      <alignment vertical="center"/>
    </xf>
    <xf numFmtId="172" fontId="76" fillId="28" borderId="46"/>
    <xf numFmtId="9" fontId="44" fillId="0" borderId="0" applyFont="0" applyFill="0" applyBorder="0" applyAlignment="0" applyProtection="0">
      <alignment vertical="center"/>
    </xf>
    <xf numFmtId="193" fontId="93" fillId="0" borderId="0" applyFont="0" applyFill="0" applyBorder="0" applyAlignment="0" applyProtection="0"/>
    <xf numFmtId="194" fontId="93" fillId="0" borderId="0" applyFont="0" applyFill="0" applyBorder="0" applyAlignment="0" applyProtection="0">
      <alignment vertical="top"/>
    </xf>
    <xf numFmtId="195" fontId="93" fillId="0" borderId="0" applyFont="0" applyFill="0" applyBorder="0" applyAlignment="0" applyProtection="0"/>
    <xf numFmtId="0" fontId="44" fillId="41" borderId="74" applyNumberFormat="0" applyFont="0" applyAlignment="0" applyProtection="0">
      <alignment vertical="center"/>
    </xf>
    <xf numFmtId="0" fontId="44" fillId="0" borderId="0"/>
    <xf numFmtId="0" fontId="94" fillId="0" borderId="75" applyNumberFormat="0" applyFill="0" applyAlignment="0" applyProtection="0">
      <alignment vertical="center"/>
    </xf>
    <xf numFmtId="0" fontId="95" fillId="0" borderId="0"/>
    <xf numFmtId="0" fontId="10" fillId="0" borderId="46">
      <alignment horizontal="right" vertical="center" shrinkToFit="1"/>
    </xf>
    <xf numFmtId="0" fontId="96" fillId="0" borderId="0" applyNumberFormat="0" applyFill="0" applyBorder="0" applyAlignment="0" applyProtection="0">
      <alignment vertical="top"/>
      <protection locked="0"/>
    </xf>
    <xf numFmtId="0" fontId="61" fillId="0" borderId="0" applyFont="0" applyFill="0" applyBorder="0" applyAlignment="0" applyProtection="0"/>
    <xf numFmtId="0" fontId="97" fillId="0" borderId="76"/>
    <xf numFmtId="0" fontId="98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61" fillId="0" borderId="0">
      <alignment vertical="center"/>
    </xf>
    <xf numFmtId="0" fontId="61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99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>
      <alignment vertical="center"/>
    </xf>
    <xf numFmtId="196" fontId="102" fillId="26" borderId="77"/>
    <xf numFmtId="197" fontId="102" fillId="0" borderId="78">
      <protection locked="0"/>
    </xf>
    <xf numFmtId="0" fontId="103" fillId="15" borderId="79" applyNumberFormat="0" applyAlignment="0" applyProtection="0">
      <alignment vertical="center"/>
    </xf>
    <xf numFmtId="0" fontId="89" fillId="0" borderId="0" applyFont="0" applyFill="0" applyBorder="0" applyAlignment="0" applyProtection="0"/>
    <xf numFmtId="0" fontId="104" fillId="42" borderId="80" applyNumberFormat="0" applyAlignment="0" applyProtection="0">
      <alignment vertical="center"/>
    </xf>
    <xf numFmtId="198" fontId="44" fillId="0" borderId="0">
      <alignment horizontal="center"/>
    </xf>
    <xf numFmtId="0" fontId="89" fillId="0" borderId="81" applyNumberFormat="0" applyFont="0" applyFill="0" applyAlignment="0" applyProtection="0"/>
    <xf numFmtId="2" fontId="89" fillId="0" borderId="0" applyFont="0" applyFill="0" applyBorder="0" applyAlignment="0" applyProtection="0"/>
    <xf numFmtId="0" fontId="93" fillId="0" borderId="0"/>
    <xf numFmtId="0" fontId="93" fillId="0" borderId="0"/>
    <xf numFmtId="0" fontId="89" fillId="0" borderId="0" applyFont="0" applyFill="0" applyBorder="0" applyAlignment="0" applyProtection="0"/>
    <xf numFmtId="0" fontId="105" fillId="11" borderId="0" applyNumberFormat="0" applyBorder="0" applyAlignment="0" applyProtection="0">
      <alignment vertical="center"/>
    </xf>
    <xf numFmtId="0" fontId="43" fillId="0" borderId="0" applyNumberFormat="0" applyFont="0" applyFill="0" applyBorder="0">
      <alignment horizontal="left" vertical="top" wrapText="1"/>
    </xf>
    <xf numFmtId="0" fontId="89" fillId="0" borderId="0" applyFont="0" applyFill="0" applyBorder="0" applyAlignment="0" applyProtection="0"/>
    <xf numFmtId="0" fontId="10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188" fontId="108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38" fontId="58" fillId="0" borderId="0" applyFill="0" applyBorder="0" applyAlignment="0" applyProtection="0">
      <alignment vertical="center"/>
    </xf>
    <xf numFmtId="0" fontId="44" fillId="0" borderId="0"/>
    <xf numFmtId="0" fontId="44" fillId="0" borderId="0">
      <alignment vertical="center"/>
    </xf>
    <xf numFmtId="0" fontId="110" fillId="0" borderId="0">
      <alignment vertical="center"/>
    </xf>
    <xf numFmtId="0" fontId="44" fillId="0" borderId="0"/>
    <xf numFmtId="0" fontId="44" fillId="0" borderId="0"/>
    <xf numFmtId="0" fontId="60" fillId="0" borderId="0"/>
    <xf numFmtId="0" fontId="44" fillId="0" borderId="0"/>
    <xf numFmtId="199" fontId="111" fillId="0" borderId="0" applyFont="0" applyFill="0" applyBorder="0" applyAlignment="0" applyProtection="0"/>
    <xf numFmtId="200" fontId="111" fillId="0" borderId="0" applyFont="0" applyFill="0" applyBorder="0" applyAlignment="0" applyProtection="0"/>
    <xf numFmtId="0" fontId="112" fillId="12" borderId="0" applyNumberFormat="0" applyBorder="0" applyAlignment="0" applyProtection="0">
      <alignment vertical="center"/>
    </xf>
    <xf numFmtId="0" fontId="113" fillId="0" borderId="82" applyNumberFormat="0" applyFill="0" applyAlignment="0" applyProtection="0">
      <alignment vertical="center"/>
    </xf>
    <xf numFmtId="0" fontId="114" fillId="0" borderId="83" applyNumberFormat="0" applyFill="0" applyAlignment="0" applyProtection="0">
      <alignment vertical="center"/>
    </xf>
    <xf numFmtId="0" fontId="115" fillId="0" borderId="84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Fill="0" applyBorder="0" applyProtection="0"/>
    <xf numFmtId="0" fontId="117" fillId="0" borderId="0" applyNumberFormat="0" applyFill="0" applyBorder="0" applyAlignment="0" applyProtection="0"/>
    <xf numFmtId="0" fontId="118" fillId="42" borderId="79" applyNumberFormat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184" fontId="44" fillId="0" borderId="0" applyFont="0" applyFill="0" applyBorder="0" applyAlignment="0" applyProtection="0">
      <alignment vertical="center"/>
    </xf>
    <xf numFmtId="0" fontId="121" fillId="0" borderId="85" applyNumberFormat="0" applyFill="0" applyAlignment="0" applyProtection="0">
      <alignment vertical="center"/>
    </xf>
  </cellStyleXfs>
  <cellXfs count="677">
    <xf numFmtId="0" fontId="0" fillId="0" borderId="0" xfId="0"/>
    <xf numFmtId="166" fontId="7" fillId="0" borderId="0" xfId="1" applyNumberFormat="1" applyFont="1" applyFill="1"/>
    <xf numFmtId="167" fontId="8" fillId="0" borderId="0" xfId="1" applyNumberFormat="1" applyFont="1" applyFill="1"/>
    <xf numFmtId="166" fontId="8" fillId="0" borderId="0" xfId="1" applyNumberFormat="1" applyFont="1" applyFill="1"/>
    <xf numFmtId="166" fontId="9" fillId="0" borderId="0" xfId="1" applyNumberFormat="1" applyFont="1" applyFill="1"/>
    <xf numFmtId="167" fontId="9" fillId="0" borderId="0" xfId="1" applyNumberFormat="1" applyFont="1" applyFill="1"/>
    <xf numFmtId="166" fontId="10" fillId="0" borderId="0" xfId="1" applyNumberFormat="1" applyFont="1" applyFill="1"/>
    <xf numFmtId="167" fontId="10" fillId="0" borderId="0" xfId="1" applyNumberFormat="1" applyFont="1" applyFill="1"/>
    <xf numFmtId="166" fontId="11" fillId="0" borderId="0" xfId="1" applyNumberFormat="1" applyFont="1" applyFill="1"/>
    <xf numFmtId="166" fontId="8" fillId="0" borderId="4" xfId="1" applyNumberFormat="1" applyFont="1" applyFill="1" applyBorder="1"/>
    <xf numFmtId="166" fontId="8" fillId="0" borderId="5" xfId="1" applyNumberFormat="1" applyFont="1" applyFill="1" applyBorder="1"/>
    <xf numFmtId="166" fontId="8" fillId="0" borderId="6" xfId="1" applyNumberFormat="1" applyFont="1" applyFill="1" applyBorder="1"/>
    <xf numFmtId="166" fontId="8" fillId="0" borderId="10" xfId="1" applyNumberFormat="1" applyFont="1" applyFill="1" applyBorder="1"/>
    <xf numFmtId="166" fontId="8" fillId="0" borderId="11" xfId="1" applyNumberFormat="1" applyFont="1" applyFill="1" applyBorder="1"/>
    <xf numFmtId="166" fontId="8" fillId="0" borderId="0" xfId="1" applyNumberFormat="1" applyFont="1" applyFill="1" applyBorder="1"/>
    <xf numFmtId="166" fontId="11" fillId="0" borderId="12" xfId="1" applyNumberFormat="1" applyFont="1" applyFill="1" applyBorder="1" applyAlignment="1">
      <alignment horizontal="center"/>
    </xf>
    <xf numFmtId="166" fontId="11" fillId="0" borderId="13" xfId="1" applyNumberFormat="1" applyFont="1" applyFill="1" applyBorder="1" applyAlignment="1">
      <alignment horizontal="center"/>
    </xf>
    <xf numFmtId="166" fontId="11" fillId="0" borderId="14" xfId="1" applyNumberFormat="1" applyFont="1" applyFill="1" applyBorder="1" applyAlignment="1">
      <alignment horizontal="center"/>
    </xf>
    <xf numFmtId="166" fontId="11" fillId="4" borderId="13" xfId="1" applyNumberFormat="1" applyFont="1" applyFill="1" applyBorder="1" applyAlignment="1">
      <alignment horizontal="center"/>
    </xf>
    <xf numFmtId="166" fontId="11" fillId="0" borderId="15" xfId="1" applyNumberFormat="1" applyFont="1" applyFill="1" applyBorder="1" applyAlignment="1"/>
    <xf numFmtId="166" fontId="11" fillId="0" borderId="16" xfId="1" applyNumberFormat="1" applyFont="1" applyFill="1" applyBorder="1" applyAlignment="1"/>
    <xf numFmtId="166" fontId="11" fillId="0" borderId="17" xfId="1" applyNumberFormat="1" applyFont="1" applyFill="1" applyBorder="1" applyAlignment="1"/>
    <xf numFmtId="166" fontId="11" fillId="0" borderId="18" xfId="1" applyNumberFormat="1" applyFont="1" applyFill="1" applyBorder="1" applyAlignment="1"/>
    <xf numFmtId="166" fontId="11" fillId="0" borderId="19" xfId="1" applyNumberFormat="1" applyFont="1" applyFill="1" applyBorder="1" applyAlignment="1"/>
    <xf numFmtId="166" fontId="11" fillId="0" borderId="0" xfId="1" applyNumberFormat="1" applyFont="1" applyFill="1" applyBorder="1" applyAlignment="1">
      <alignment horizontal="center" wrapText="1"/>
    </xf>
    <xf numFmtId="166" fontId="11" fillId="0" borderId="16" xfId="1" applyNumberFormat="1" applyFont="1" applyFill="1" applyBorder="1" applyAlignment="1">
      <alignment horizontal="center"/>
    </xf>
    <xf numFmtId="166" fontId="11" fillId="0" borderId="20" xfId="1" applyNumberFormat="1" applyFont="1" applyFill="1" applyBorder="1" applyAlignment="1">
      <alignment horizontal="center"/>
    </xf>
    <xf numFmtId="166" fontId="11" fillId="0" borderId="17" xfId="1" applyNumberFormat="1" applyFont="1" applyFill="1" applyBorder="1" applyAlignment="1">
      <alignment horizontal="center"/>
    </xf>
    <xf numFmtId="166" fontId="11" fillId="0" borderId="19" xfId="1" applyNumberFormat="1" applyFont="1" applyFill="1" applyBorder="1" applyAlignment="1">
      <alignment horizontal="center"/>
    </xf>
    <xf numFmtId="166" fontId="11" fillId="0" borderId="15" xfId="1" applyNumberFormat="1" applyFont="1" applyFill="1" applyBorder="1" applyAlignment="1">
      <alignment horizontal="center"/>
    </xf>
    <xf numFmtId="166" fontId="11" fillId="0" borderId="21" xfId="1" applyNumberFormat="1" applyFont="1" applyFill="1" applyBorder="1" applyAlignment="1">
      <alignment horizontal="center"/>
    </xf>
    <xf numFmtId="166" fontId="11" fillId="0" borderId="11" xfId="1" applyNumberFormat="1" applyFont="1" applyFill="1" applyBorder="1" applyAlignment="1">
      <alignment horizontal="center"/>
    </xf>
    <xf numFmtId="166" fontId="11" fillId="0" borderId="22" xfId="1" applyNumberFormat="1" applyFont="1" applyFill="1" applyBorder="1" applyAlignment="1">
      <alignment horizontal="center"/>
    </xf>
    <xf numFmtId="166" fontId="11" fillId="0" borderId="20" xfId="1" applyNumberFormat="1" applyFont="1" applyFill="1" applyBorder="1" applyAlignment="1">
      <alignment horizontal="center" wrapText="1"/>
    </xf>
    <xf numFmtId="166" fontId="11" fillId="0" borderId="17" xfId="1" applyNumberFormat="1" applyFont="1" applyFill="1" applyBorder="1" applyAlignment="1">
      <alignment horizontal="center" wrapText="1"/>
    </xf>
    <xf numFmtId="166" fontId="11" fillId="5" borderId="23" xfId="1" applyNumberFormat="1" applyFont="1" applyFill="1" applyBorder="1" applyAlignment="1">
      <alignment horizontal="center"/>
    </xf>
    <xf numFmtId="166" fontId="11" fillId="0" borderId="24" xfId="1" applyNumberFormat="1" applyFont="1" applyFill="1" applyBorder="1" applyAlignment="1">
      <alignment horizontal="center"/>
    </xf>
    <xf numFmtId="166" fontId="8" fillId="0" borderId="25" xfId="1" applyNumberFormat="1" applyFont="1" applyFill="1" applyBorder="1" applyAlignment="1">
      <alignment horizontal="center"/>
    </xf>
    <xf numFmtId="167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26" xfId="1" applyNumberFormat="1" applyFont="1" applyFill="1" applyBorder="1" applyAlignment="1">
      <alignment horizontal="center"/>
    </xf>
    <xf numFmtId="166" fontId="8" fillId="0" borderId="21" xfId="1" applyNumberFormat="1" applyFont="1" applyFill="1" applyBorder="1" applyAlignment="1">
      <alignment horizontal="center"/>
    </xf>
    <xf numFmtId="166" fontId="8" fillId="0" borderId="27" xfId="1" applyNumberFormat="1" applyFont="1" applyFill="1" applyBorder="1" applyAlignment="1">
      <alignment horizontal="center"/>
    </xf>
    <xf numFmtId="166" fontId="8" fillId="4" borderId="21" xfId="1" applyNumberFormat="1" applyFont="1" applyFill="1" applyBorder="1" applyAlignment="1">
      <alignment horizontal="center"/>
    </xf>
    <xf numFmtId="166" fontId="11" fillId="0" borderId="21" xfId="1" applyNumberFormat="1" applyFont="1" applyFill="1" applyBorder="1" applyAlignment="1">
      <alignment horizontal="center" wrapText="1"/>
    </xf>
    <xf numFmtId="166" fontId="11" fillId="0" borderId="28" xfId="1" applyNumberFormat="1" applyFont="1" applyFill="1" applyBorder="1" applyAlignment="1">
      <alignment horizontal="center" wrapText="1"/>
    </xf>
    <xf numFmtId="167" fontId="10" fillId="0" borderId="26" xfId="1" applyNumberFormat="1" applyFont="1" applyFill="1" applyBorder="1"/>
    <xf numFmtId="166" fontId="8" fillId="0" borderId="29" xfId="1" applyNumberFormat="1" applyFont="1" applyFill="1" applyBorder="1" applyAlignment="1">
      <alignment horizontal="center"/>
    </xf>
    <xf numFmtId="166" fontId="11" fillId="0" borderId="11" xfId="1" applyNumberFormat="1" applyFont="1" applyFill="1" applyBorder="1" applyAlignment="1">
      <alignment horizontal="center" wrapText="1"/>
    </xf>
    <xf numFmtId="167" fontId="10" fillId="0" borderId="21" xfId="1" applyNumberFormat="1" applyFont="1" applyFill="1" applyBorder="1"/>
    <xf numFmtId="166" fontId="8" fillId="0" borderId="30" xfId="1" applyNumberFormat="1" applyFont="1" applyFill="1" applyBorder="1" applyAlignment="1">
      <alignment horizontal="center"/>
    </xf>
    <xf numFmtId="167" fontId="8" fillId="0" borderId="21" xfId="1" applyNumberFormat="1" applyFont="1" applyFill="1" applyBorder="1" applyAlignment="1">
      <alignment horizontal="center"/>
    </xf>
    <xf numFmtId="166" fontId="8" fillId="0" borderId="31" xfId="1" applyNumberFormat="1" applyFont="1" applyFill="1" applyBorder="1" applyAlignment="1">
      <alignment horizontal="center"/>
    </xf>
    <xf numFmtId="167" fontId="8" fillId="5" borderId="28" xfId="1" applyNumberFormat="1" applyFont="1" applyFill="1" applyBorder="1" applyAlignment="1">
      <alignment horizontal="center"/>
    </xf>
    <xf numFmtId="166" fontId="8" fillId="0" borderId="11" xfId="1" applyNumberFormat="1" applyFont="1" applyFill="1" applyBorder="1" applyAlignment="1">
      <alignment horizontal="center"/>
    </xf>
    <xf numFmtId="166" fontId="8" fillId="0" borderId="32" xfId="1" applyNumberFormat="1" applyFont="1" applyFill="1" applyBorder="1"/>
    <xf numFmtId="167" fontId="8" fillId="4" borderId="21" xfId="1" applyNumberFormat="1" applyFont="1" applyFill="1" applyBorder="1" applyAlignment="1">
      <alignment horizontal="center"/>
    </xf>
    <xf numFmtId="166" fontId="8" fillId="0" borderId="28" xfId="1" applyNumberFormat="1" applyFont="1" applyFill="1" applyBorder="1" applyAlignment="1">
      <alignment horizontal="center"/>
    </xf>
    <xf numFmtId="166" fontId="8" fillId="0" borderId="33" xfId="1" applyNumberFormat="1" applyFont="1" applyFill="1" applyBorder="1" applyAlignment="1">
      <alignment horizontal="center"/>
    </xf>
    <xf numFmtId="167" fontId="8" fillId="0" borderId="34" xfId="1" applyNumberFormat="1" applyFont="1" applyFill="1" applyBorder="1" applyAlignment="1">
      <alignment horizontal="center"/>
    </xf>
    <xf numFmtId="166" fontId="8" fillId="0" borderId="8" xfId="1" applyNumberFormat="1" applyFont="1" applyFill="1" applyBorder="1"/>
    <xf numFmtId="166" fontId="8" fillId="0" borderId="35" xfId="1" applyNumberFormat="1" applyFont="1" applyFill="1" applyBorder="1" applyAlignment="1">
      <alignment horizontal="right"/>
    </xf>
    <xf numFmtId="166" fontId="8" fillId="0" borderId="34" xfId="1" applyNumberFormat="1" applyFont="1" applyFill="1" applyBorder="1" applyAlignment="1">
      <alignment horizontal="center"/>
    </xf>
    <xf numFmtId="166" fontId="8" fillId="0" borderId="34" xfId="1" applyNumberFormat="1" applyFont="1" applyFill="1" applyBorder="1"/>
    <xf numFmtId="166" fontId="8" fillId="0" borderId="35" xfId="1" applyNumberFormat="1" applyFont="1" applyFill="1" applyBorder="1" applyAlignment="1">
      <alignment horizontal="center"/>
    </xf>
    <xf numFmtId="167" fontId="8" fillId="0" borderId="36" xfId="1" applyNumberFormat="1" applyFont="1" applyFill="1" applyBorder="1" applyAlignment="1">
      <alignment horizontal="center"/>
    </xf>
    <xf numFmtId="167" fontId="8" fillId="0" borderId="35" xfId="1" applyNumberFormat="1" applyFont="1" applyFill="1" applyBorder="1" applyAlignment="1">
      <alignment horizontal="center"/>
    </xf>
    <xf numFmtId="166" fontId="8" fillId="0" borderId="37" xfId="1" applyNumberFormat="1" applyFont="1" applyFill="1" applyBorder="1" applyAlignment="1">
      <alignment horizontal="center"/>
    </xf>
    <xf numFmtId="167" fontId="8" fillId="0" borderId="8" xfId="1" applyNumberFormat="1" applyFont="1" applyFill="1" applyBorder="1" applyAlignment="1">
      <alignment horizontal="center"/>
    </xf>
    <xf numFmtId="167" fontId="8" fillId="0" borderId="9" xfId="1" applyNumberFormat="1" applyFont="1" applyFill="1" applyBorder="1" applyAlignment="1">
      <alignment horizontal="center"/>
    </xf>
    <xf numFmtId="166" fontId="8" fillId="0" borderId="7" xfId="1" applyNumberFormat="1" applyFont="1" applyFill="1" applyBorder="1" applyAlignment="1">
      <alignment horizontal="center"/>
    </xf>
    <xf numFmtId="166" fontId="8" fillId="0" borderId="35" xfId="1" applyNumberFormat="1" applyFont="1" applyFill="1" applyBorder="1"/>
    <xf numFmtId="167" fontId="8" fillId="5" borderId="37" xfId="1" applyNumberFormat="1" applyFont="1" applyFill="1" applyBorder="1" applyAlignment="1">
      <alignment horizontal="center"/>
    </xf>
    <xf numFmtId="167" fontId="8" fillId="0" borderId="38" xfId="1" applyNumberFormat="1" applyFont="1" applyFill="1" applyBorder="1"/>
    <xf numFmtId="167" fontId="8" fillId="0" borderId="39" xfId="1" applyNumberFormat="1" applyFont="1" applyFill="1" applyBorder="1"/>
    <xf numFmtId="166" fontId="8" fillId="0" borderId="40" xfId="1" applyNumberFormat="1" applyFont="1" applyFill="1" applyBorder="1"/>
    <xf numFmtId="166" fontId="8" fillId="0" borderId="39" xfId="1" applyNumberFormat="1" applyFont="1" applyFill="1" applyBorder="1"/>
    <xf numFmtId="166" fontId="9" fillId="0" borderId="39" xfId="1" applyNumberFormat="1" applyFont="1" applyFill="1" applyBorder="1"/>
    <xf numFmtId="166" fontId="8" fillId="4" borderId="39" xfId="1" applyNumberFormat="1" applyFont="1" applyFill="1" applyBorder="1"/>
    <xf numFmtId="166" fontId="9" fillId="4" borderId="39" xfId="1" applyNumberFormat="1" applyFont="1" applyFill="1" applyBorder="1"/>
    <xf numFmtId="168" fontId="8" fillId="0" borderId="39" xfId="1" applyNumberFormat="1" applyFont="1" applyFill="1" applyBorder="1"/>
    <xf numFmtId="168" fontId="8" fillId="0" borderId="40" xfId="1" applyNumberFormat="1" applyFont="1" applyFill="1" applyBorder="1"/>
    <xf numFmtId="168" fontId="8" fillId="0" borderId="41" xfId="1" applyNumberFormat="1" applyFont="1" applyFill="1" applyBorder="1"/>
    <xf numFmtId="167" fontId="8" fillId="0" borderId="25" xfId="1" applyNumberFormat="1" applyFont="1" applyFill="1" applyBorder="1"/>
    <xf numFmtId="166" fontId="8" fillId="0" borderId="27" xfId="1" applyNumberFormat="1" applyFont="1" applyFill="1" applyBorder="1"/>
    <xf numFmtId="166" fontId="9" fillId="0" borderId="21" xfId="1" applyNumberFormat="1" applyFont="1" applyFill="1" applyBorder="1"/>
    <xf numFmtId="166" fontId="8" fillId="0" borderId="21" xfId="1" applyNumberFormat="1" applyFont="1" applyFill="1" applyBorder="1"/>
    <xf numFmtId="166" fontId="8" fillId="0" borderId="29" xfId="1" applyNumberFormat="1" applyFont="1" applyFill="1" applyBorder="1"/>
    <xf numFmtId="168" fontId="8" fillId="0" borderId="27" xfId="1" applyNumberFormat="1" applyFont="1" applyFill="1" applyBorder="1"/>
    <xf numFmtId="168" fontId="8" fillId="0" borderId="21" xfId="1" applyNumberFormat="1" applyFont="1" applyFill="1" applyBorder="1"/>
    <xf numFmtId="168" fontId="8" fillId="0" borderId="28" xfId="1" applyNumberFormat="1" applyFont="1" applyFill="1" applyBorder="1"/>
    <xf numFmtId="167" fontId="8" fillId="0" borderId="10" xfId="1" applyNumberFormat="1" applyFont="1" applyFill="1" applyBorder="1"/>
    <xf numFmtId="166" fontId="9" fillId="0" borderId="40" xfId="1" applyNumberFormat="1" applyFont="1" applyFill="1" applyBorder="1"/>
    <xf numFmtId="166" fontId="9" fillId="0" borderId="27" xfId="1" applyNumberFormat="1" applyFont="1" applyFill="1" applyBorder="1"/>
    <xf numFmtId="167" fontId="8" fillId="5" borderId="28" xfId="1" applyNumberFormat="1" applyFont="1" applyFill="1" applyBorder="1"/>
    <xf numFmtId="166" fontId="8" fillId="0" borderId="41" xfId="1" applyNumberFormat="1" applyFont="1" applyFill="1" applyBorder="1"/>
    <xf numFmtId="167" fontId="8" fillId="0" borderId="21" xfId="1" applyNumberFormat="1" applyFont="1" applyFill="1" applyBorder="1"/>
    <xf numFmtId="166" fontId="8" fillId="4" borderId="21" xfId="1" applyNumberFormat="1" applyFont="1" applyFill="1" applyBorder="1"/>
    <xf numFmtId="166" fontId="9" fillId="4" borderId="27" xfId="1" applyNumberFormat="1" applyFont="1" applyFill="1" applyBorder="1"/>
    <xf numFmtId="166" fontId="8" fillId="0" borderId="28" xfId="1" applyNumberFormat="1" applyFont="1" applyFill="1" applyBorder="1"/>
    <xf numFmtId="167" fontId="8" fillId="4" borderId="21" xfId="1" applyNumberFormat="1" applyFont="1" applyFill="1" applyBorder="1"/>
    <xf numFmtId="167" fontId="8" fillId="4" borderId="27" xfId="1" applyNumberFormat="1" applyFont="1" applyFill="1" applyBorder="1"/>
    <xf numFmtId="167" fontId="8" fillId="0" borderId="27" xfId="1" applyNumberFormat="1" applyFont="1" applyFill="1" applyBorder="1"/>
    <xf numFmtId="167" fontId="8" fillId="0" borderId="29" xfId="1" applyNumberFormat="1" applyFont="1" applyFill="1" applyBorder="1"/>
    <xf numFmtId="167" fontId="8" fillId="0" borderId="0" xfId="1" applyNumberFormat="1" applyFont="1" applyFill="1" applyBorder="1"/>
    <xf numFmtId="167" fontId="8" fillId="0" borderId="11" xfId="1" applyNumberFormat="1" applyFont="1" applyFill="1" applyBorder="1"/>
    <xf numFmtId="167" fontId="8" fillId="0" borderId="28" xfId="1" applyNumberFormat="1" applyFont="1" applyFill="1" applyBorder="1"/>
    <xf numFmtId="166" fontId="11" fillId="0" borderId="42" xfId="1" applyNumberFormat="1" applyFont="1" applyFill="1" applyBorder="1"/>
    <xf numFmtId="166" fontId="8" fillId="0" borderId="43" xfId="1" applyNumberFormat="1" applyFont="1" applyFill="1" applyBorder="1"/>
    <xf numFmtId="166" fontId="8" fillId="0" borderId="44" xfId="1" applyNumberFormat="1" applyFont="1" applyFill="1" applyBorder="1"/>
    <xf numFmtId="167" fontId="11" fillId="0" borderId="45" xfId="1" applyNumberFormat="1" applyFont="1" applyFill="1" applyBorder="1"/>
    <xf numFmtId="167" fontId="11" fillId="0" borderId="46" xfId="1" applyNumberFormat="1" applyFont="1" applyFill="1" applyBorder="1"/>
    <xf numFmtId="167" fontId="11" fillId="0" borderId="44" xfId="1" applyNumberFormat="1" applyFont="1" applyFill="1" applyBorder="1"/>
    <xf numFmtId="167" fontId="11" fillId="0" borderId="47" xfId="1" applyNumberFormat="1" applyFont="1" applyFill="1" applyBorder="1"/>
    <xf numFmtId="167" fontId="8" fillId="4" borderId="46" xfId="1" applyNumberFormat="1" applyFont="1" applyFill="1" applyBorder="1"/>
    <xf numFmtId="168" fontId="8" fillId="0" borderId="46" xfId="1" applyNumberFormat="1" applyFont="1" applyFill="1" applyBorder="1"/>
    <xf numFmtId="168" fontId="8" fillId="0" borderId="47" xfId="1" applyNumberFormat="1" applyFont="1" applyFill="1" applyBorder="1"/>
    <xf numFmtId="168" fontId="8" fillId="0" borderId="48" xfId="1" applyNumberFormat="1" applyFont="1" applyFill="1" applyBorder="1"/>
    <xf numFmtId="167" fontId="11" fillId="0" borderId="42" xfId="1" applyNumberFormat="1" applyFont="1" applyFill="1" applyBorder="1"/>
    <xf numFmtId="167" fontId="8" fillId="0" borderId="46" xfId="1" applyNumberFormat="1" applyFont="1" applyFill="1" applyBorder="1"/>
    <xf numFmtId="167" fontId="8" fillId="0" borderId="47" xfId="1" applyNumberFormat="1" applyFont="1" applyFill="1" applyBorder="1"/>
    <xf numFmtId="167" fontId="8" fillId="5" borderId="48" xfId="1" applyNumberFormat="1" applyFont="1" applyFill="1" applyBorder="1"/>
    <xf numFmtId="167" fontId="8" fillId="0" borderId="48" xfId="1" applyNumberFormat="1" applyFont="1" applyFill="1" applyBorder="1"/>
    <xf numFmtId="166" fontId="11" fillId="0" borderId="10" xfId="1" applyNumberFormat="1" applyFont="1" applyFill="1" applyBorder="1"/>
    <xf numFmtId="166" fontId="1" fillId="0" borderId="10" xfId="1" applyNumberFormat="1" applyFont="1" applyFill="1" applyBorder="1"/>
    <xf numFmtId="167" fontId="8" fillId="6" borderId="21" xfId="1" applyNumberFormat="1" applyFont="1" applyFill="1" applyBorder="1"/>
    <xf numFmtId="167" fontId="8" fillId="7" borderId="10" xfId="1" applyNumberFormat="1" applyFont="1" applyFill="1" applyBorder="1"/>
    <xf numFmtId="167" fontId="8" fillId="7" borderId="21" xfId="1" applyNumberFormat="1" applyFont="1" applyFill="1" applyBorder="1"/>
    <xf numFmtId="167" fontId="8" fillId="7" borderId="0" xfId="1" applyNumberFormat="1" applyFont="1" applyFill="1" applyBorder="1"/>
    <xf numFmtId="167" fontId="8" fillId="7" borderId="27" xfId="1" applyNumberFormat="1" applyFont="1" applyFill="1" applyBorder="1"/>
    <xf numFmtId="167" fontId="8" fillId="7" borderId="28" xfId="1" applyNumberFormat="1" applyFont="1" applyFill="1" applyBorder="1"/>
    <xf numFmtId="169" fontId="8" fillId="0" borderId="21" xfId="1" applyNumberFormat="1" applyFont="1" applyFill="1" applyBorder="1"/>
    <xf numFmtId="169" fontId="8" fillId="0" borderId="28" xfId="1" applyNumberFormat="1" applyFont="1" applyFill="1" applyBorder="1"/>
    <xf numFmtId="169" fontId="8" fillId="0" borderId="27" xfId="1" applyNumberFormat="1" applyFont="1" applyFill="1" applyBorder="1"/>
    <xf numFmtId="166" fontId="14" fillId="0" borderId="10" xfId="1" applyNumberFormat="1" applyFont="1" applyFill="1" applyBorder="1"/>
    <xf numFmtId="167" fontId="8" fillId="8" borderId="28" xfId="1" applyNumberFormat="1" applyFont="1" applyFill="1" applyBorder="1"/>
    <xf numFmtId="166" fontId="11" fillId="0" borderId="43" xfId="1" applyNumberFormat="1" applyFont="1" applyFill="1" applyBorder="1"/>
    <xf numFmtId="166" fontId="11" fillId="0" borderId="44" xfId="1" applyNumberFormat="1" applyFont="1" applyFill="1" applyBorder="1"/>
    <xf numFmtId="167" fontId="8" fillId="0" borderId="44" xfId="1" applyNumberFormat="1" applyFont="1" applyFill="1" applyBorder="1"/>
    <xf numFmtId="166" fontId="11" fillId="0" borderId="11" xfId="1" applyNumberFormat="1" applyFont="1" applyFill="1" applyBorder="1"/>
    <xf numFmtId="166" fontId="11" fillId="0" borderId="0" xfId="1" applyNumberFormat="1" applyFont="1" applyFill="1" applyBorder="1"/>
    <xf numFmtId="166" fontId="8" fillId="0" borderId="42" xfId="1" applyNumberFormat="1" applyFont="1" applyFill="1" applyBorder="1"/>
    <xf numFmtId="167" fontId="8" fillId="0" borderId="42" xfId="1" applyNumberFormat="1" applyFont="1" applyFill="1" applyBorder="1"/>
    <xf numFmtId="167" fontId="8" fillId="0" borderId="45" xfId="1" applyNumberFormat="1" applyFont="1" applyFill="1" applyBorder="1"/>
    <xf numFmtId="167" fontId="8" fillId="4" borderId="13" xfId="1" applyNumberFormat="1" applyFont="1" applyFill="1" applyBorder="1"/>
    <xf numFmtId="168" fontId="8" fillId="0" borderId="13" xfId="1" applyNumberFormat="1" applyFont="1" applyFill="1" applyBorder="1"/>
    <xf numFmtId="167" fontId="8" fillId="0" borderId="16" xfId="1" applyNumberFormat="1" applyFont="1" applyFill="1" applyBorder="1"/>
    <xf numFmtId="168" fontId="8" fillId="0" borderId="14" xfId="1" applyNumberFormat="1" applyFont="1" applyFill="1" applyBorder="1"/>
    <xf numFmtId="167" fontId="8" fillId="0" borderId="14" xfId="1" applyNumberFormat="1" applyFont="1" applyFill="1" applyBorder="1"/>
    <xf numFmtId="167" fontId="8" fillId="0" borderId="49" xfId="1" applyNumberFormat="1" applyFont="1" applyFill="1" applyBorder="1"/>
    <xf numFmtId="167" fontId="8" fillId="0" borderId="50" xfId="1" applyNumberFormat="1" applyFont="1" applyFill="1" applyBorder="1"/>
    <xf numFmtId="167" fontId="8" fillId="6" borderId="42" xfId="1" applyNumberFormat="1" applyFont="1" applyFill="1" applyBorder="1" applyAlignment="1">
      <alignment horizontal="right"/>
    </xf>
    <xf numFmtId="167" fontId="8" fillId="6" borderId="47" xfId="1" applyNumberFormat="1" applyFont="1" applyFill="1" applyBorder="1" applyAlignment="1">
      <alignment horizontal="right"/>
    </xf>
    <xf numFmtId="167" fontId="8" fillId="0" borderId="44" xfId="1" applyNumberFormat="1" applyFont="1" applyFill="1" applyBorder="1" applyAlignment="1">
      <alignment horizontal="right"/>
    </xf>
    <xf numFmtId="167" fontId="8" fillId="0" borderId="47" xfId="1" applyNumberFormat="1" applyFont="1" applyFill="1" applyBorder="1" applyAlignment="1">
      <alignment horizontal="right"/>
    </xf>
    <xf numFmtId="167" fontId="8" fillId="0" borderId="46" xfId="1" applyNumberFormat="1" applyFont="1" applyFill="1" applyBorder="1" applyAlignment="1">
      <alignment horizontal="right"/>
    </xf>
    <xf numFmtId="167" fontId="8" fillId="0" borderId="42" xfId="1" applyNumberFormat="1" applyFont="1" applyFill="1" applyBorder="1" applyAlignment="1">
      <alignment horizontal="right"/>
    </xf>
    <xf numFmtId="167" fontId="8" fillId="6" borderId="46" xfId="1" applyNumberFormat="1" applyFont="1" applyFill="1" applyBorder="1" applyAlignment="1">
      <alignment horizontal="right"/>
    </xf>
    <xf numFmtId="167" fontId="8" fillId="0" borderId="45" xfId="1" applyNumberFormat="1" applyFont="1" applyFill="1" applyBorder="1" applyAlignment="1">
      <alignment horizontal="right"/>
    </xf>
    <xf numFmtId="167" fontId="8" fillId="6" borderId="11" xfId="1" applyNumberFormat="1" applyFont="1" applyFill="1" applyBorder="1"/>
    <xf numFmtId="166" fontId="8" fillId="0" borderId="10" xfId="1" applyNumberFormat="1" applyFont="1" applyFill="1" applyBorder="1" applyAlignment="1">
      <alignment horizontal="center"/>
    </xf>
    <xf numFmtId="166" fontId="8" fillId="4" borderId="46" xfId="1" applyNumberFormat="1" applyFont="1" applyFill="1" applyBorder="1" applyAlignment="1">
      <alignment horizontal="center"/>
    </xf>
    <xf numFmtId="166" fontId="8" fillId="4" borderId="14" xfId="1" applyNumberFormat="1" applyFont="1" applyFill="1" applyBorder="1" applyAlignment="1">
      <alignment horizontal="center"/>
    </xf>
    <xf numFmtId="166" fontId="8" fillId="0" borderId="51" xfId="1" applyNumberFormat="1" applyFont="1" applyFill="1" applyBorder="1" applyAlignment="1">
      <alignment horizontal="center"/>
    </xf>
    <xf numFmtId="166" fontId="8" fillId="0" borderId="47" xfId="1" applyNumberFormat="1" applyFont="1" applyFill="1" applyBorder="1" applyAlignment="1">
      <alignment horizontal="center"/>
    </xf>
    <xf numFmtId="167" fontId="8" fillId="0" borderId="52" xfId="1" applyNumberFormat="1" applyFont="1" applyFill="1" applyBorder="1" applyAlignment="1">
      <alignment horizontal="center"/>
    </xf>
    <xf numFmtId="167" fontId="8" fillId="5" borderId="50" xfId="1" applyNumberFormat="1" applyFont="1" applyFill="1" applyBorder="1"/>
    <xf numFmtId="166" fontId="8" fillId="0" borderId="43" xfId="1" applyNumberFormat="1" applyFont="1" applyFill="1" applyBorder="1" applyAlignment="1">
      <alignment horizontal="center"/>
    </xf>
    <xf numFmtId="166" fontId="8" fillId="0" borderId="48" xfId="1" applyNumberFormat="1" applyFont="1" applyFill="1" applyBorder="1" applyAlignment="1">
      <alignment horizontal="center"/>
    </xf>
    <xf numFmtId="166" fontId="8" fillId="0" borderId="30" xfId="1" applyNumberFormat="1" applyFont="1" applyFill="1" applyBorder="1"/>
    <xf numFmtId="166" fontId="8" fillId="0" borderId="53" xfId="1" applyNumberFormat="1" applyFont="1" applyFill="1" applyBorder="1"/>
    <xf numFmtId="166" fontId="8" fillId="0" borderId="54" xfId="1" applyNumberFormat="1" applyFont="1" applyFill="1" applyBorder="1"/>
    <xf numFmtId="167" fontId="8" fillId="0" borderId="30" xfId="1" applyNumberFormat="1" applyFont="1" applyFill="1" applyBorder="1"/>
    <xf numFmtId="167" fontId="8" fillId="0" borderId="26" xfId="1" applyNumberFormat="1" applyFont="1" applyFill="1" applyBorder="1"/>
    <xf numFmtId="167" fontId="8" fillId="0" borderId="31" xfId="1" applyNumberFormat="1" applyFont="1" applyFill="1" applyBorder="1"/>
    <xf numFmtId="167" fontId="8" fillId="0" borderId="55" xfId="1" applyNumberFormat="1" applyFont="1" applyFill="1" applyBorder="1"/>
    <xf numFmtId="166" fontId="8" fillId="0" borderId="52" xfId="1" applyNumberFormat="1" applyFont="1" applyFill="1" applyBorder="1"/>
    <xf numFmtId="166" fontId="8" fillId="0" borderId="49" xfId="1" applyNumberFormat="1" applyFont="1" applyFill="1" applyBorder="1"/>
    <xf numFmtId="166" fontId="8" fillId="0" borderId="15" xfId="1" applyNumberFormat="1" applyFont="1" applyFill="1" applyBorder="1"/>
    <xf numFmtId="167" fontId="8" fillId="0" borderId="52" xfId="1" applyNumberFormat="1" applyFont="1" applyFill="1" applyBorder="1"/>
    <xf numFmtId="167" fontId="8" fillId="0" borderId="13" xfId="1" applyNumberFormat="1" applyFont="1" applyFill="1" applyBorder="1"/>
    <xf numFmtId="167" fontId="8" fillId="0" borderId="12" xfId="1" applyNumberFormat="1" applyFont="1" applyFill="1" applyBorder="1"/>
    <xf numFmtId="167" fontId="11" fillId="0" borderId="14" xfId="1" applyNumberFormat="1" applyFont="1" applyFill="1" applyBorder="1"/>
    <xf numFmtId="170" fontId="8" fillId="0" borderId="11" xfId="1" applyNumberFormat="1" applyFont="1" applyFill="1" applyBorder="1"/>
    <xf numFmtId="170" fontId="8" fillId="0" borderId="0" xfId="1" applyNumberFormat="1" applyFont="1" applyFill="1" applyBorder="1"/>
    <xf numFmtId="0" fontId="0" fillId="0" borderId="0" xfId="0" applyFill="1"/>
    <xf numFmtId="166" fontId="13" fillId="0" borderId="0" xfId="1" applyNumberFormat="1" applyFont="1" applyFill="1"/>
    <xf numFmtId="167" fontId="8" fillId="0" borderId="54" xfId="1" applyNumberFormat="1" applyFont="1" applyFill="1" applyBorder="1"/>
    <xf numFmtId="167" fontId="8" fillId="4" borderId="26" xfId="1" applyNumberFormat="1" applyFont="1" applyFill="1" applyBorder="1"/>
    <xf numFmtId="166" fontId="11" fillId="6" borderId="10" xfId="1" applyNumberFormat="1" applyFont="1" applyFill="1" applyBorder="1"/>
    <xf numFmtId="166" fontId="11" fillId="6" borderId="11" xfId="1" applyNumberFormat="1" applyFont="1" applyFill="1" applyBorder="1"/>
    <xf numFmtId="166" fontId="11" fillId="6" borderId="0" xfId="1" applyNumberFormat="1" applyFont="1" applyFill="1" applyBorder="1"/>
    <xf numFmtId="167" fontId="11" fillId="6" borderId="10" xfId="1" applyNumberFormat="1" applyFont="1" applyFill="1" applyBorder="1"/>
    <xf numFmtId="167" fontId="11" fillId="6" borderId="21" xfId="1" applyNumberFormat="1" applyFont="1" applyFill="1" applyBorder="1"/>
    <xf numFmtId="167" fontId="11" fillId="0" borderId="0" xfId="1" applyNumberFormat="1" applyFont="1" applyFill="1" applyBorder="1"/>
    <xf numFmtId="167" fontId="11" fillId="0" borderId="27" xfId="1" applyNumberFormat="1" applyFont="1" applyFill="1" applyBorder="1"/>
    <xf numFmtId="167" fontId="11" fillId="0" borderId="21" xfId="1" applyNumberFormat="1" applyFont="1" applyFill="1" applyBorder="1"/>
    <xf numFmtId="167" fontId="11" fillId="6" borderId="0" xfId="1" applyNumberFormat="1" applyFont="1" applyFill="1" applyBorder="1"/>
    <xf numFmtId="167" fontId="11" fillId="6" borderId="27" xfId="1" applyNumberFormat="1" applyFont="1" applyFill="1" applyBorder="1"/>
    <xf numFmtId="167" fontId="8" fillId="6" borderId="29" xfId="1" applyNumberFormat="1" applyFont="1" applyFill="1" applyBorder="1"/>
    <xf numFmtId="168" fontId="8" fillId="6" borderId="27" xfId="1" applyNumberFormat="1" applyFont="1" applyFill="1" applyBorder="1"/>
    <xf numFmtId="167" fontId="8" fillId="6" borderId="27" xfId="1" applyNumberFormat="1" applyFont="1" applyFill="1" applyBorder="1"/>
    <xf numFmtId="168" fontId="8" fillId="6" borderId="21" xfId="1" applyNumberFormat="1" applyFont="1" applyFill="1" applyBorder="1"/>
    <xf numFmtId="167" fontId="8" fillId="6" borderId="28" xfId="1" applyNumberFormat="1" applyFont="1" applyFill="1" applyBorder="1"/>
    <xf numFmtId="167" fontId="11" fillId="6" borderId="25" xfId="1" applyNumberFormat="1" applyFont="1" applyFill="1" applyBorder="1"/>
    <xf numFmtId="167" fontId="8" fillId="0" borderId="51" xfId="1" applyNumberFormat="1" applyFont="1" applyFill="1" applyBorder="1"/>
    <xf numFmtId="167" fontId="8" fillId="5" borderId="56" xfId="1" applyNumberFormat="1" applyFont="1" applyFill="1" applyBorder="1"/>
    <xf numFmtId="168" fontId="8" fillId="0" borderId="50" xfId="1" applyNumberFormat="1" applyFont="1" applyFill="1" applyBorder="1"/>
    <xf numFmtId="166" fontId="15" fillId="0" borderId="30" xfId="1" applyNumberFormat="1" applyFont="1" applyFill="1" applyBorder="1"/>
    <xf numFmtId="168" fontId="8" fillId="0" borderId="26" xfId="1" applyNumberFormat="1" applyFont="1" applyFill="1" applyBorder="1"/>
    <xf numFmtId="168" fontId="8" fillId="0" borderId="31" xfId="1" applyNumberFormat="1" applyFont="1" applyFill="1" applyBorder="1"/>
    <xf numFmtId="168" fontId="8" fillId="0" borderId="56" xfId="1" applyNumberFormat="1" applyFont="1" applyFill="1" applyBorder="1"/>
    <xf numFmtId="167" fontId="8" fillId="0" borderId="56" xfId="1" applyNumberFormat="1" applyFont="1" applyFill="1" applyBorder="1"/>
    <xf numFmtId="166" fontId="15" fillId="0" borderId="10" xfId="1" applyNumberFormat="1" applyFont="1" applyFill="1" applyBorder="1"/>
    <xf numFmtId="166" fontId="11" fillId="0" borderId="52" xfId="1" applyNumberFormat="1" applyFont="1" applyFill="1" applyBorder="1"/>
    <xf numFmtId="167" fontId="11" fillId="0" borderId="13" xfId="1" applyNumberFormat="1" applyFont="1" applyFill="1" applyBorder="1"/>
    <xf numFmtId="2" fontId="14" fillId="0" borderId="10" xfId="1" applyNumberFormat="1" applyFont="1" applyFill="1" applyBorder="1"/>
    <xf numFmtId="166" fontId="11" fillId="0" borderId="0" xfId="1" applyNumberFormat="1" applyFont="1" applyFill="1" applyBorder="1" applyAlignment="1">
      <alignment horizontal="left" wrapText="1"/>
    </xf>
    <xf numFmtId="167" fontId="8" fillId="0" borderId="15" xfId="1" applyNumberFormat="1" applyFont="1" applyFill="1" applyBorder="1"/>
    <xf numFmtId="166" fontId="11" fillId="0" borderId="57" xfId="1" applyNumberFormat="1" applyFont="1" applyFill="1" applyBorder="1"/>
    <xf numFmtId="166" fontId="11" fillId="0" borderId="58" xfId="1" applyNumberFormat="1" applyFont="1" applyFill="1" applyBorder="1"/>
    <xf numFmtId="166" fontId="11" fillId="0" borderId="59" xfId="1" applyNumberFormat="1" applyFont="1" applyFill="1" applyBorder="1"/>
    <xf numFmtId="167" fontId="11" fillId="0" borderId="57" xfId="1" applyNumberFormat="1" applyFont="1" applyFill="1" applyBorder="1"/>
    <xf numFmtId="167" fontId="11" fillId="0" borderId="60" xfId="1" applyNumberFormat="1" applyFont="1" applyFill="1" applyBorder="1"/>
    <xf numFmtId="167" fontId="11" fillId="0" borderId="59" xfId="1" applyNumberFormat="1" applyFont="1" applyFill="1" applyBorder="1"/>
    <xf numFmtId="167" fontId="11" fillId="0" borderId="61" xfId="1" applyNumberFormat="1" applyFont="1" applyFill="1" applyBorder="1"/>
    <xf numFmtId="167" fontId="11" fillId="4" borderId="60" xfId="1" applyNumberFormat="1" applyFont="1" applyFill="1" applyBorder="1"/>
    <xf numFmtId="168" fontId="8" fillId="0" borderId="60" xfId="1" applyNumberFormat="1" applyFont="1" applyFill="1" applyBorder="1"/>
    <xf numFmtId="168" fontId="8" fillId="0" borderId="62" xfId="1" applyNumberFormat="1" applyFont="1" applyFill="1" applyBorder="1"/>
    <xf numFmtId="167" fontId="8" fillId="0" borderId="36" xfId="1" applyNumberFormat="1" applyFont="1" applyFill="1" applyBorder="1"/>
    <xf numFmtId="168" fontId="8" fillId="0" borderId="61" xfId="1" applyNumberFormat="1" applyFont="1" applyFill="1" applyBorder="1"/>
    <xf numFmtId="167" fontId="11" fillId="0" borderId="63" xfId="1" applyNumberFormat="1" applyFont="1" applyFill="1" applyBorder="1"/>
    <xf numFmtId="167" fontId="8" fillId="5" borderId="62" xfId="1" applyNumberFormat="1" applyFont="1" applyFill="1" applyBorder="1"/>
    <xf numFmtId="166" fontId="14" fillId="0" borderId="11" xfId="1" applyNumberFormat="1" applyFont="1" applyFill="1" applyBorder="1"/>
    <xf numFmtId="166" fontId="14" fillId="0" borderId="0" xfId="1" applyNumberFormat="1" applyFont="1" applyFill="1" applyBorder="1"/>
    <xf numFmtId="9" fontId="14" fillId="0" borderId="4" xfId="2" applyFont="1" applyFill="1" applyBorder="1"/>
    <xf numFmtId="9" fontId="14" fillId="0" borderId="6" xfId="2" applyFont="1" applyFill="1" applyBorder="1"/>
    <xf numFmtId="168" fontId="14" fillId="0" borderId="6" xfId="1" applyNumberFormat="1" applyFont="1" applyFill="1" applyBorder="1"/>
    <xf numFmtId="168" fontId="14" fillId="0" borderId="0" xfId="1" applyNumberFormat="1" applyFont="1" applyFill="1" applyBorder="1"/>
    <xf numFmtId="168" fontId="14" fillId="0" borderId="40" xfId="1" applyNumberFormat="1" applyFont="1" applyFill="1" applyBorder="1"/>
    <xf numFmtId="168" fontId="14" fillId="0" borderId="5" xfId="1" applyNumberFormat="1" applyFont="1" applyFill="1" applyBorder="1"/>
    <xf numFmtId="166" fontId="14" fillId="0" borderId="0" xfId="1" applyNumberFormat="1" applyFont="1" applyFill="1"/>
    <xf numFmtId="166" fontId="14" fillId="0" borderId="40" xfId="1" applyNumberFormat="1" applyFont="1" applyFill="1" applyBorder="1"/>
    <xf numFmtId="9" fontId="14" fillId="0" borderId="11" xfId="2" applyFont="1" applyFill="1" applyBorder="1"/>
    <xf numFmtId="167" fontId="16" fillId="0" borderId="29" xfId="1" applyNumberFormat="1" applyFont="1" applyFill="1" applyBorder="1"/>
    <xf numFmtId="166" fontId="16" fillId="0" borderId="0" xfId="1" applyNumberFormat="1" applyFont="1" applyFill="1" applyBorder="1"/>
    <xf numFmtId="167" fontId="16" fillId="0" borderId="11" xfId="1" applyNumberFormat="1" applyFont="1" applyFill="1" applyBorder="1"/>
    <xf numFmtId="166" fontId="16" fillId="0" borderId="0" xfId="1" applyNumberFormat="1" applyFont="1" applyFill="1"/>
    <xf numFmtId="9" fontId="14" fillId="0" borderId="0" xfId="2" applyFont="1" applyFill="1" applyBorder="1"/>
    <xf numFmtId="166" fontId="17" fillId="0" borderId="0" xfId="1" applyNumberFormat="1" applyFont="1" applyFill="1" applyBorder="1"/>
    <xf numFmtId="167" fontId="14" fillId="5" borderId="11" xfId="1" applyNumberFormat="1" applyFont="1" applyFill="1" applyBorder="1"/>
    <xf numFmtId="9" fontId="14" fillId="0" borderId="5" xfId="2" applyFont="1" applyFill="1" applyBorder="1"/>
    <xf numFmtId="166" fontId="17" fillId="0" borderId="6" xfId="1" applyNumberFormat="1" applyFont="1" applyFill="1" applyBorder="1"/>
    <xf numFmtId="167" fontId="14" fillId="5" borderId="5" xfId="1" applyNumberFormat="1" applyFont="1" applyFill="1" applyBorder="1"/>
    <xf numFmtId="167" fontId="11" fillId="0" borderId="10" xfId="1" applyNumberFormat="1" applyFont="1" applyFill="1" applyBorder="1"/>
    <xf numFmtId="166" fontId="12" fillId="0" borderId="0" xfId="1" applyNumberFormat="1" applyFont="1" applyFill="1" applyBorder="1"/>
    <xf numFmtId="167" fontId="14" fillId="0" borderId="0" xfId="1" applyNumberFormat="1" applyFont="1" applyFill="1" applyBorder="1"/>
    <xf numFmtId="166" fontId="11" fillId="0" borderId="27" xfId="1" applyNumberFormat="1" applyFont="1" applyFill="1" applyBorder="1"/>
    <xf numFmtId="167" fontId="10" fillId="0" borderId="29" xfId="1" applyNumberFormat="1" applyFont="1" applyFill="1" applyBorder="1"/>
    <xf numFmtId="167" fontId="10" fillId="0" borderId="11" xfId="1" applyNumberFormat="1" applyFont="1" applyFill="1" applyBorder="1"/>
    <xf numFmtId="167" fontId="11" fillId="5" borderId="11" xfId="1" applyNumberFormat="1" applyFont="1" applyFill="1" applyBorder="1"/>
    <xf numFmtId="166" fontId="9" fillId="0" borderId="0" xfId="1" applyNumberFormat="1" applyFont="1" applyFill="1" applyBorder="1"/>
    <xf numFmtId="167" fontId="8" fillId="5" borderId="11" xfId="1" applyNumberFormat="1" applyFont="1" applyFill="1" applyBorder="1"/>
    <xf numFmtId="10" fontId="8" fillId="0" borderId="0" xfId="2" applyNumberFormat="1" applyFont="1" applyFill="1" applyBorder="1"/>
    <xf numFmtId="166" fontId="7" fillId="0" borderId="0" xfId="1" applyNumberFormat="1" applyFont="1" applyFill="1" applyBorder="1"/>
    <xf numFmtId="166" fontId="11" fillId="0" borderId="0" xfId="1" applyNumberFormat="1" applyFont="1" applyFill="1" applyBorder="1" applyAlignment="1">
      <alignment horizontal="left" indent="2"/>
    </xf>
    <xf numFmtId="168" fontId="8" fillId="0" borderId="0" xfId="1" applyNumberFormat="1" applyFont="1" applyFill="1" applyBorder="1"/>
    <xf numFmtId="168" fontId="8" fillId="0" borderId="11" xfId="1" applyNumberFormat="1" applyFont="1" applyFill="1" applyBorder="1"/>
    <xf numFmtId="167" fontId="8" fillId="6" borderId="0" xfId="1" applyNumberFormat="1" applyFont="1" applyFill="1" applyBorder="1"/>
    <xf numFmtId="166" fontId="11" fillId="0" borderId="0" xfId="1" applyNumberFormat="1" applyFont="1" applyFill="1" applyBorder="1" applyAlignment="1">
      <alignment horizontal="left"/>
    </xf>
    <xf numFmtId="168" fontId="8" fillId="0" borderId="44" xfId="1" applyNumberFormat="1" applyFont="1" applyFill="1" applyBorder="1"/>
    <xf numFmtId="167" fontId="8" fillId="5" borderId="43" xfId="1" applyNumberFormat="1" applyFont="1" applyFill="1" applyBorder="1"/>
    <xf numFmtId="167" fontId="8" fillId="0" borderId="43" xfId="1" applyNumberFormat="1" applyFont="1" applyFill="1" applyBorder="1"/>
    <xf numFmtId="167" fontId="8" fillId="0" borderId="64" xfId="1" applyNumberFormat="1" applyFont="1" applyFill="1" applyBorder="1"/>
    <xf numFmtId="167" fontId="8" fillId="0" borderId="65" xfId="1" applyNumberFormat="1" applyFont="1" applyFill="1" applyBorder="1"/>
    <xf numFmtId="167" fontId="8" fillId="5" borderId="66" xfId="1" applyNumberFormat="1" applyFont="1" applyFill="1" applyBorder="1"/>
    <xf numFmtId="10" fontId="11" fillId="0" borderId="0" xfId="2" applyNumberFormat="1" applyFont="1" applyFill="1" applyBorder="1"/>
    <xf numFmtId="172" fontId="8" fillId="0" borderId="10" xfId="2" applyNumberFormat="1" applyFont="1" applyFill="1" applyBorder="1"/>
    <xf numFmtId="172" fontId="8" fillId="0" borderId="0" xfId="2" applyNumberFormat="1" applyFont="1" applyFill="1" applyBorder="1"/>
    <xf numFmtId="172" fontId="8" fillId="5" borderId="11" xfId="2" applyNumberFormat="1" applyFont="1" applyFill="1" applyBorder="1"/>
    <xf numFmtId="172" fontId="8" fillId="0" borderId="11" xfId="2" applyNumberFormat="1" applyFont="1" applyFill="1" applyBorder="1"/>
    <xf numFmtId="172" fontId="8" fillId="0" borderId="27" xfId="2" applyNumberFormat="1" applyFont="1" applyFill="1" applyBorder="1"/>
    <xf numFmtId="172" fontId="8" fillId="0" borderId="0" xfId="1" applyNumberFormat="1" applyFont="1" applyFill="1" applyBorder="1"/>
    <xf numFmtId="172" fontId="8" fillId="0" borderId="27" xfId="1" applyNumberFormat="1" applyFont="1" applyFill="1" applyBorder="1"/>
    <xf numFmtId="172" fontId="8" fillId="0" borderId="11" xfId="1" applyNumberFormat="1" applyFont="1" applyFill="1" applyBorder="1"/>
    <xf numFmtId="172" fontId="8" fillId="5" borderId="11" xfId="1" applyNumberFormat="1" applyFont="1" applyFill="1" applyBorder="1"/>
    <xf numFmtId="172" fontId="8" fillId="0" borderId="10" xfId="1" applyNumberFormat="1" applyFont="1" applyFill="1" applyBorder="1"/>
    <xf numFmtId="10" fontId="8" fillId="0" borderId="0" xfId="2" applyNumberFormat="1" applyFont="1" applyFill="1" applyBorder="1" applyAlignment="1">
      <alignment horizontal="left" indent="1"/>
    </xf>
    <xf numFmtId="166" fontId="4" fillId="0" borderId="10" xfId="1" applyNumberFormat="1" applyFont="1" applyFill="1" applyBorder="1"/>
    <xf numFmtId="0" fontId="4" fillId="0" borderId="0" xfId="0" applyFont="1" applyFill="1" applyBorder="1" applyAlignment="1">
      <alignment horizontal="left" indent="1"/>
    </xf>
    <xf numFmtId="172" fontId="4" fillId="0" borderId="10" xfId="2" applyNumberFormat="1" applyFont="1" applyFill="1" applyBorder="1"/>
    <xf numFmtId="172" fontId="4" fillId="0" borderId="0" xfId="2" applyNumberFormat="1" applyFont="1" applyFill="1" applyBorder="1"/>
    <xf numFmtId="166" fontId="4" fillId="0" borderId="0" xfId="1" applyNumberFormat="1" applyFont="1" applyFill="1"/>
    <xf numFmtId="167" fontId="23" fillId="0" borderId="29" xfId="1" applyNumberFormat="1" applyFont="1" applyFill="1" applyBorder="1"/>
    <xf numFmtId="167" fontId="23" fillId="0" borderId="0" xfId="1" applyNumberFormat="1" applyFont="1" applyFill="1" applyBorder="1"/>
    <xf numFmtId="167" fontId="23" fillId="0" borderId="11" xfId="1" applyNumberFormat="1" applyFont="1" applyFill="1" applyBorder="1"/>
    <xf numFmtId="166" fontId="23" fillId="0" borderId="0" xfId="1" applyNumberFormat="1" applyFont="1" applyFill="1"/>
    <xf numFmtId="172" fontId="4" fillId="5" borderId="11" xfId="2" applyNumberFormat="1" applyFont="1" applyFill="1" applyBorder="1"/>
    <xf numFmtId="0" fontId="8" fillId="0" borderId="0" xfId="0" applyFont="1" applyFill="1" applyBorder="1"/>
    <xf numFmtId="166" fontId="14" fillId="0" borderId="0" xfId="1" applyNumberFormat="1" applyFont="1" applyFill="1" applyBorder="1" applyAlignment="1">
      <alignment horizontal="left" wrapText="1"/>
    </xf>
    <xf numFmtId="43" fontId="24" fillId="0" borderId="0" xfId="1" applyFont="1" applyFill="1" applyBorder="1"/>
    <xf numFmtId="172" fontId="4" fillId="0" borderId="0" xfId="1" applyNumberFormat="1" applyFont="1" applyFill="1" applyBorder="1"/>
    <xf numFmtId="168" fontId="4" fillId="0" borderId="0" xfId="1" applyNumberFormat="1" applyFont="1" applyFill="1" applyBorder="1"/>
    <xf numFmtId="168" fontId="4" fillId="0" borderId="27" xfId="1" applyNumberFormat="1" applyFont="1" applyFill="1" applyBorder="1"/>
    <xf numFmtId="168" fontId="4" fillId="0" borderId="11" xfId="1" applyNumberFormat="1" applyFont="1" applyFill="1" applyBorder="1"/>
    <xf numFmtId="172" fontId="4" fillId="5" borderId="11" xfId="1" applyNumberFormat="1" applyFont="1" applyFill="1" applyBorder="1"/>
    <xf numFmtId="10" fontId="4" fillId="0" borderId="0" xfId="2" applyNumberFormat="1" applyFont="1" applyFill="1" applyBorder="1" applyAlignment="1">
      <alignment horizontal="left" indent="1"/>
    </xf>
    <xf numFmtId="0" fontId="11" fillId="0" borderId="0" xfId="0" applyFont="1" applyFill="1" applyBorder="1"/>
    <xf numFmtId="10" fontId="24" fillId="0" borderId="0" xfId="2" applyNumberFormat="1" applyFont="1" applyFill="1" applyBorder="1"/>
    <xf numFmtId="9" fontId="8" fillId="0" borderId="10" xfId="2" applyFont="1" applyFill="1" applyBorder="1"/>
    <xf numFmtId="166" fontId="9" fillId="5" borderId="11" xfId="1" applyNumberFormat="1" applyFont="1" applyFill="1" applyBorder="1"/>
    <xf numFmtId="43" fontId="8" fillId="0" borderId="0" xfId="1" quotePrefix="1" applyFont="1" applyFill="1" applyBorder="1"/>
    <xf numFmtId="173" fontId="8" fillId="0" borderId="10" xfId="1" applyNumberFormat="1" applyFont="1" applyFill="1" applyBorder="1"/>
    <xf numFmtId="173" fontId="8" fillId="0" borderId="0" xfId="1" applyNumberFormat="1" applyFont="1" applyFill="1" applyBorder="1"/>
    <xf numFmtId="166" fontId="8" fillId="0" borderId="0" xfId="1" applyNumberFormat="1" applyFont="1" applyFill="1" applyBorder="1" applyAlignment="1"/>
    <xf numFmtId="43" fontId="11" fillId="0" borderId="0" xfId="1" quotePrefix="1" applyFont="1" applyFill="1" applyBorder="1"/>
    <xf numFmtId="1" fontId="8" fillId="0" borderId="52" xfId="1" applyNumberFormat="1" applyFont="1" applyFill="1" applyBorder="1"/>
    <xf numFmtId="1" fontId="8" fillId="0" borderId="15" xfId="1" applyNumberFormat="1" applyFont="1" applyFill="1" applyBorder="1"/>
    <xf numFmtId="3" fontId="8" fillId="0" borderId="15" xfId="1" applyNumberFormat="1" applyFont="1" applyFill="1" applyBorder="1"/>
    <xf numFmtId="168" fontId="8" fillId="0" borderId="15" xfId="1" applyNumberFormat="1" applyFont="1" applyFill="1" applyBorder="1"/>
    <xf numFmtId="3" fontId="8" fillId="5" borderId="49" xfId="1" applyNumberFormat="1" applyFont="1" applyFill="1" applyBorder="1"/>
    <xf numFmtId="3" fontId="8" fillId="0" borderId="49" xfId="1" applyNumberFormat="1" applyFont="1" applyFill="1" applyBorder="1"/>
    <xf numFmtId="43" fontId="8" fillId="0" borderId="0" xfId="1" quotePrefix="1" applyFont="1" applyFill="1" applyBorder="1" applyAlignment="1">
      <alignment horizontal="left" indent="1"/>
    </xf>
    <xf numFmtId="1" fontId="8" fillId="0" borderId="10" xfId="1" applyNumberFormat="1" applyFont="1" applyFill="1" applyBorder="1"/>
    <xf numFmtId="1" fontId="8" fillId="0" borderId="0" xfId="1" applyNumberFormat="1" applyFont="1" applyFill="1" applyBorder="1"/>
    <xf numFmtId="3" fontId="8" fillId="0" borderId="0" xfId="1" applyNumberFormat="1" applyFont="1" applyFill="1" applyBorder="1"/>
    <xf numFmtId="3" fontId="8" fillId="5" borderId="11" xfId="1" applyNumberFormat="1" applyFont="1" applyFill="1" applyBorder="1"/>
    <xf numFmtId="3" fontId="8" fillId="0" borderId="11" xfId="1" applyNumberFormat="1" applyFont="1" applyFill="1" applyBorder="1"/>
    <xf numFmtId="174" fontId="8" fillId="0" borderId="10" xfId="1" applyNumberFormat="1" applyFont="1" applyFill="1" applyBorder="1"/>
    <xf numFmtId="174" fontId="8" fillId="0" borderId="0" xfId="1" applyNumberFormat="1" applyFont="1" applyFill="1" applyBorder="1"/>
    <xf numFmtId="43" fontId="11" fillId="0" borderId="0" xfId="1" applyFont="1" applyFill="1" applyBorder="1"/>
    <xf numFmtId="166" fontId="8" fillId="0" borderId="0" xfId="1" applyNumberFormat="1" applyFont="1" applyFill="1" applyBorder="1" applyAlignment="1">
      <alignment horizontal="left" indent="1"/>
    </xf>
    <xf numFmtId="166" fontId="4" fillId="0" borderId="11" xfId="1" applyNumberFormat="1" applyFont="1" applyFill="1" applyBorder="1" applyAlignment="1"/>
    <xf numFmtId="166" fontId="4" fillId="0" borderId="0" xfId="1" applyNumberFormat="1" applyFont="1" applyFill="1" applyBorder="1" applyAlignment="1"/>
    <xf numFmtId="167" fontId="4" fillId="0" borderId="10" xfId="1" applyNumberFormat="1" applyFont="1" applyFill="1" applyBorder="1"/>
    <xf numFmtId="167" fontId="4" fillId="0" borderId="0" xfId="1" applyNumberFormat="1" applyFont="1" applyFill="1" applyBorder="1"/>
    <xf numFmtId="167" fontId="4" fillId="5" borderId="11" xfId="1" applyNumberFormat="1" applyFont="1" applyFill="1" applyBorder="1"/>
    <xf numFmtId="166" fontId="4" fillId="0" borderId="11" xfId="1" applyNumberFormat="1" applyFont="1" applyFill="1" applyBorder="1" applyAlignment="1">
      <alignment horizontal="left" indent="2"/>
    </xf>
    <xf numFmtId="166" fontId="4" fillId="0" borderId="0" xfId="1" applyNumberFormat="1" applyFont="1" applyFill="1" applyBorder="1" applyAlignment="1">
      <alignment horizontal="left" indent="2"/>
    </xf>
    <xf numFmtId="166" fontId="4" fillId="0" borderId="0" xfId="1" applyNumberFormat="1" applyFont="1" applyFill="1" applyBorder="1"/>
    <xf numFmtId="166" fontId="4" fillId="0" borderId="27" xfId="1" applyNumberFormat="1" applyFont="1" applyFill="1" applyBorder="1"/>
    <xf numFmtId="166" fontId="4" fillId="0" borderId="11" xfId="1" applyNumberFormat="1" applyFont="1" applyFill="1" applyBorder="1"/>
    <xf numFmtId="166" fontId="4" fillId="5" borderId="11" xfId="1" applyNumberFormat="1" applyFont="1" applyFill="1" applyBorder="1"/>
    <xf numFmtId="3" fontId="8" fillId="0" borderId="10" xfId="1" applyNumberFormat="1" applyFont="1" applyFill="1" applyBorder="1"/>
    <xf numFmtId="166" fontId="8" fillId="0" borderId="0" xfId="1" applyNumberFormat="1" applyFont="1" applyFill="1" applyBorder="1" applyAlignment="1">
      <alignment horizontal="right"/>
    </xf>
    <xf numFmtId="3" fontId="9" fillId="0" borderId="0" xfId="1" applyNumberFormat="1" applyFont="1" applyFill="1" applyBorder="1"/>
    <xf numFmtId="3" fontId="8" fillId="0" borderId="27" xfId="1" applyNumberFormat="1" applyFont="1" applyFill="1" applyBorder="1"/>
    <xf numFmtId="3" fontId="9" fillId="5" borderId="11" xfId="1" applyNumberFormat="1" applyFont="1" applyFill="1" applyBorder="1"/>
    <xf numFmtId="166" fontId="8" fillId="0" borderId="7" xfId="1" applyNumberFormat="1" applyFont="1" applyFill="1" applyBorder="1"/>
    <xf numFmtId="166" fontId="8" fillId="0" borderId="9" xfId="1" applyNumberFormat="1" applyFont="1" applyFill="1" applyBorder="1"/>
    <xf numFmtId="167" fontId="8" fillId="0" borderId="7" xfId="1" applyNumberFormat="1" applyFont="1" applyFill="1" applyBorder="1"/>
    <xf numFmtId="167" fontId="8" fillId="0" borderId="8" xfId="1" applyNumberFormat="1" applyFont="1" applyFill="1" applyBorder="1"/>
    <xf numFmtId="166" fontId="9" fillId="0" borderId="8" xfId="1" applyNumberFormat="1" applyFont="1" applyFill="1" applyBorder="1"/>
    <xf numFmtId="167" fontId="10" fillId="0" borderId="36" xfId="1" applyNumberFormat="1" applyFont="1" applyFill="1" applyBorder="1"/>
    <xf numFmtId="167" fontId="10" fillId="0" borderId="8" xfId="1" applyNumberFormat="1" applyFont="1" applyFill="1" applyBorder="1"/>
    <xf numFmtId="167" fontId="10" fillId="0" borderId="9" xfId="1" applyNumberFormat="1" applyFont="1" applyFill="1" applyBorder="1"/>
    <xf numFmtId="166" fontId="9" fillId="5" borderId="9" xfId="1" applyNumberFormat="1" applyFont="1" applyFill="1" applyBorder="1"/>
    <xf numFmtId="166" fontId="25" fillId="0" borderId="0" xfId="1" applyNumberFormat="1" applyFont="1" applyFill="1"/>
    <xf numFmtId="166" fontId="10" fillId="0" borderId="0" xfId="1" applyNumberFormat="1" applyFont="1" applyFill="1" applyBorder="1"/>
    <xf numFmtId="167" fontId="26" fillId="0" borderId="0" xfId="1" applyNumberFormat="1" applyFont="1" applyBorder="1"/>
    <xf numFmtId="167" fontId="27" fillId="0" borderId="0" xfId="0" applyNumberFormat="1" applyFont="1" applyBorder="1"/>
    <xf numFmtId="167" fontId="25" fillId="0" borderId="0" xfId="1" applyNumberFormat="1" applyFont="1" applyFill="1"/>
    <xf numFmtId="167" fontId="0" fillId="0" borderId="0" xfId="0" applyNumberFormat="1"/>
    <xf numFmtId="167" fontId="8" fillId="6" borderId="0" xfId="2" applyNumberFormat="1" applyFont="1" applyFill="1"/>
    <xf numFmtId="167" fontId="10" fillId="6" borderId="0" xfId="2" applyNumberFormat="1" applyFont="1" applyFill="1"/>
    <xf numFmtId="167" fontId="8" fillId="0" borderId="0" xfId="1" applyNumberFormat="1" applyFont="1" applyFill="1" applyAlignment="1">
      <alignment vertical="top" wrapText="1"/>
    </xf>
    <xf numFmtId="167" fontId="5" fillId="0" borderId="0" xfId="0" applyNumberFormat="1" applyFont="1" applyFill="1" applyBorder="1"/>
    <xf numFmtId="166" fontId="8" fillId="0" borderId="0" xfId="1" applyNumberFormat="1" applyFont="1" applyFill="1" applyAlignment="1">
      <alignment vertical="top" wrapText="1"/>
    </xf>
    <xf numFmtId="167" fontId="0" fillId="0" borderId="0" xfId="0" applyNumberFormat="1" applyFont="1" applyFill="1" applyBorder="1"/>
    <xf numFmtId="169" fontId="8" fillId="0" borderId="0" xfId="1" applyNumberFormat="1" applyFont="1" applyFill="1" applyBorder="1"/>
    <xf numFmtId="166" fontId="8" fillId="0" borderId="0" xfId="1" applyNumberFormat="1" applyFont="1" applyFill="1" applyAlignment="1">
      <alignment horizontal="right"/>
    </xf>
    <xf numFmtId="0" fontId="29" fillId="0" borderId="0" xfId="0" applyFont="1" applyAlignment="1">
      <alignment horizontal="left" indent="1"/>
    </xf>
    <xf numFmtId="0" fontId="30" fillId="0" borderId="0" xfId="0" applyFont="1" applyAlignment="1">
      <alignment horizontal="left" indent="1"/>
    </xf>
    <xf numFmtId="166" fontId="25" fillId="0" borderId="0" xfId="1" applyNumberFormat="1" applyFont="1" applyFill="1" applyAlignment="1">
      <alignment horizontal="left" vertical="top"/>
    </xf>
    <xf numFmtId="166" fontId="10" fillId="0" borderId="0" xfId="1" applyNumberFormat="1" applyFont="1" applyFill="1" applyAlignment="1">
      <alignment horizontal="left" vertical="top"/>
    </xf>
    <xf numFmtId="167" fontId="10" fillId="0" borderId="0" xfId="1" applyNumberFormat="1" applyFont="1" applyFill="1" applyAlignment="1">
      <alignment horizontal="left" vertical="top"/>
    </xf>
    <xf numFmtId="0" fontId="31" fillId="0" borderId="0" xfId="0" applyFont="1" applyFill="1" applyBorder="1" applyAlignment="1">
      <alignment horizontal="left" wrapText="1" indent="1"/>
    </xf>
    <xf numFmtId="0" fontId="13" fillId="0" borderId="0" xfId="0" applyFont="1" applyFill="1" applyBorder="1" applyAlignment="1">
      <alignment horizontal="left" wrapText="1" indent="1"/>
    </xf>
    <xf numFmtId="166" fontId="25" fillId="0" borderId="0" xfId="1" applyNumberFormat="1" applyFont="1" applyFill="1" applyBorder="1"/>
    <xf numFmtId="0" fontId="32" fillId="0" borderId="0" xfId="0" applyFont="1" applyBorder="1" applyAlignment="1">
      <alignment horizontal="left" wrapText="1" indent="1"/>
    </xf>
    <xf numFmtId="0" fontId="25" fillId="0" borderId="0" xfId="0" applyFont="1" applyFill="1" applyBorder="1" applyAlignment="1">
      <alignment horizontal="left" wrapText="1" indent="1"/>
    </xf>
    <xf numFmtId="0" fontId="10" fillId="0" borderId="0" xfId="0" applyFont="1" applyFill="1" applyBorder="1" applyAlignment="1">
      <alignment horizontal="left" wrapText="1" indent="1"/>
    </xf>
    <xf numFmtId="0" fontId="33" fillId="0" borderId="0" xfId="0" applyFont="1" applyBorder="1" applyAlignment="1">
      <alignment horizontal="left" wrapText="1" indent="1"/>
    </xf>
    <xf numFmtId="0" fontId="33" fillId="0" borderId="0" xfId="0" applyFont="1" applyBorder="1" applyAlignment="1">
      <alignment horizontal="left" indent="1"/>
    </xf>
    <xf numFmtId="3" fontId="25" fillId="0" borderId="0" xfId="0" applyNumberFormat="1" applyFont="1" applyFill="1" applyBorder="1" applyAlignment="1">
      <alignment horizontal="left" wrapText="1" indent="1"/>
    </xf>
    <xf numFmtId="166" fontId="8" fillId="0" borderId="0" xfId="1" applyNumberFormat="1" applyFont="1" applyFill="1" applyAlignment="1">
      <alignment horizontal="left" vertical="top"/>
    </xf>
    <xf numFmtId="0" fontId="0" fillId="0" borderId="0" xfId="0" applyAlignment="1">
      <alignment horizontal="left"/>
    </xf>
    <xf numFmtId="166" fontId="23" fillId="0" borderId="0" xfId="1" applyNumberFormat="1" applyFont="1" applyFill="1" applyBorder="1"/>
    <xf numFmtId="166" fontId="34" fillId="9" borderId="0" xfId="1" applyNumberFormat="1" applyFont="1" applyFill="1" applyBorder="1" applyAlignment="1">
      <alignment horizontal="center" wrapText="1"/>
    </xf>
    <xf numFmtId="166" fontId="35" fillId="9" borderId="67" xfId="1" applyNumberFormat="1" applyFont="1" applyFill="1" applyBorder="1" applyAlignment="1">
      <alignment horizontal="left" vertical="top"/>
    </xf>
    <xf numFmtId="166" fontId="34" fillId="9" borderId="68" xfId="1" applyNumberFormat="1" applyFont="1" applyFill="1" applyBorder="1" applyAlignment="1">
      <alignment horizontal="center" vertical="center" wrapText="1"/>
    </xf>
    <xf numFmtId="166" fontId="34" fillId="9" borderId="68" xfId="1" applyNumberFormat="1" applyFont="1" applyFill="1" applyBorder="1" applyAlignment="1">
      <alignment horizontal="center" vertical="center"/>
    </xf>
    <xf numFmtId="166" fontId="34" fillId="9" borderId="69" xfId="1" applyNumberFormat="1" applyFont="1" applyFill="1" applyBorder="1" applyAlignment="1">
      <alignment horizontal="center" vertical="center"/>
    </xf>
    <xf numFmtId="167" fontId="34" fillId="9" borderId="0" xfId="1" applyNumberFormat="1" applyFont="1" applyFill="1" applyBorder="1"/>
    <xf numFmtId="166" fontId="34" fillId="9" borderId="24" xfId="1" applyNumberFormat="1" applyFont="1" applyFill="1" applyBorder="1"/>
    <xf numFmtId="167" fontId="34" fillId="9" borderId="13" xfId="1" applyNumberFormat="1" applyFont="1" applyFill="1" applyBorder="1"/>
    <xf numFmtId="167" fontId="34" fillId="9" borderId="50" xfId="1" applyNumberFormat="1" applyFont="1" applyFill="1" applyBorder="1"/>
    <xf numFmtId="166" fontId="34" fillId="9" borderId="45" xfId="1" applyNumberFormat="1" applyFont="1" applyFill="1" applyBorder="1"/>
    <xf numFmtId="167" fontId="34" fillId="9" borderId="46" xfId="1" applyNumberFormat="1" applyFont="1" applyFill="1" applyBorder="1"/>
    <xf numFmtId="167" fontId="34" fillId="9" borderId="48" xfId="1" applyNumberFormat="1" applyFont="1" applyFill="1" applyBorder="1"/>
    <xf numFmtId="166" fontId="34" fillId="9" borderId="63" xfId="1" applyNumberFormat="1" applyFont="1" applyFill="1" applyBorder="1" applyAlignment="1">
      <alignment horizontal="left"/>
    </xf>
    <xf numFmtId="167" fontId="34" fillId="9" borderId="60" xfId="1" applyNumberFormat="1" applyFont="1" applyFill="1" applyBorder="1"/>
    <xf numFmtId="167" fontId="34" fillId="9" borderId="62" xfId="1" applyNumberFormat="1" applyFont="1" applyFill="1" applyBorder="1"/>
    <xf numFmtId="166" fontId="10" fillId="0" borderId="0" xfId="3" applyNumberFormat="1" applyFont="1" applyFill="1" applyBorder="1"/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vertical="center" wrapText="1"/>
    </xf>
    <xf numFmtId="3" fontId="0" fillId="0" borderId="0" xfId="0" applyNumberFormat="1" applyFont="1"/>
    <xf numFmtId="3" fontId="28" fillId="0" borderId="0" xfId="0" applyNumberFormat="1" applyFont="1"/>
    <xf numFmtId="10" fontId="0" fillId="0" borderId="0" xfId="0" applyNumberFormat="1" applyFont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5" fillId="0" borderId="31" xfId="0" applyNumberFormat="1" applyFont="1" applyFill="1" applyBorder="1"/>
    <xf numFmtId="10" fontId="5" fillId="0" borderId="54" xfId="0" applyNumberFormat="1" applyFont="1" applyFill="1" applyBorder="1" applyAlignment="1">
      <alignment horizontal="center" vertical="center" wrapText="1"/>
    </xf>
    <xf numFmtId="3" fontId="5" fillId="0" borderId="54" xfId="0" applyNumberFormat="1" applyFont="1" applyFill="1" applyBorder="1" applyAlignment="1">
      <alignment horizontal="center"/>
    </xf>
    <xf numFmtId="3" fontId="123" fillId="44" borderId="51" xfId="0" applyNumberFormat="1" applyFont="1" applyFill="1" applyBorder="1" applyAlignment="1">
      <alignment horizontal="center"/>
    </xf>
    <xf numFmtId="3" fontId="5" fillId="44" borderId="46" xfId="0" applyNumberFormat="1" applyFont="1" applyFill="1" applyBorder="1" applyAlignment="1">
      <alignment horizontal="center"/>
    </xf>
    <xf numFmtId="3" fontId="28" fillId="0" borderId="27" xfId="0" applyNumberFormat="1" applyFont="1" applyFill="1" applyBorder="1"/>
    <xf numFmtId="10" fontId="28" fillId="0" borderId="0" xfId="0" applyNumberFormat="1" applyFont="1" applyFill="1" applyBorder="1" applyAlignment="1">
      <alignment horizontal="center" vertical="center" wrapText="1"/>
    </xf>
    <xf numFmtId="3" fontId="3" fillId="45" borderId="46" xfId="0" applyNumberFormat="1" applyFont="1" applyFill="1" applyBorder="1" applyAlignment="1">
      <alignment horizontal="center"/>
    </xf>
    <xf numFmtId="3" fontId="3" fillId="43" borderId="46" xfId="0" applyNumberFormat="1" applyFont="1" applyFill="1" applyBorder="1" applyAlignment="1">
      <alignment horizontal="center" vertical="center"/>
    </xf>
    <xf numFmtId="3" fontId="3" fillId="43" borderId="46" xfId="0" applyNumberFormat="1" applyFont="1" applyFill="1" applyBorder="1" applyAlignment="1">
      <alignment horizontal="center" vertical="center" wrapText="1"/>
    </xf>
    <xf numFmtId="3" fontId="11" fillId="44" borderId="51" xfId="0" applyNumberFormat="1" applyFont="1" applyFill="1" applyBorder="1" applyAlignment="1">
      <alignment horizontal="center" vertical="center" wrapText="1"/>
    </xf>
    <xf numFmtId="3" fontId="0" fillId="44" borderId="0" xfId="0" applyNumberFormat="1" applyFont="1" applyFill="1" applyAlignment="1">
      <alignment horizontal="center"/>
    </xf>
    <xf numFmtId="3" fontId="0" fillId="0" borderId="27" xfId="0" applyNumberFormat="1" applyFont="1" applyFill="1" applyBorder="1" applyAlignment="1">
      <alignment horizontal="center"/>
    </xf>
    <xf numFmtId="3" fontId="11" fillId="44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/>
    </xf>
    <xf numFmtId="3" fontId="28" fillId="0" borderId="27" xfId="0" applyNumberFormat="1" applyFont="1" applyBorder="1" applyAlignment="1">
      <alignment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9" fontId="3" fillId="45" borderId="46" xfId="0" applyNumberFormat="1" applyFont="1" applyFill="1" applyBorder="1" applyAlignment="1">
      <alignment horizontal="center"/>
    </xf>
    <xf numFmtId="3" fontId="0" fillId="44" borderId="0" xfId="0" applyNumberFormat="1" applyFont="1" applyFill="1"/>
    <xf numFmtId="3" fontId="0" fillId="44" borderId="27" xfId="0" applyNumberFormat="1" applyFont="1" applyFill="1" applyBorder="1"/>
    <xf numFmtId="3" fontId="8" fillId="0" borderId="27" xfId="0" applyNumberFormat="1" applyFont="1" applyBorder="1"/>
    <xf numFmtId="10" fontId="0" fillId="0" borderId="0" xfId="0" applyNumberFormat="1" applyFont="1" applyBorder="1" applyAlignment="1">
      <alignment horizontal="center" vertical="center" wrapText="1"/>
    </xf>
    <xf numFmtId="3" fontId="0" fillId="7" borderId="46" xfId="0" applyNumberFormat="1" applyFont="1" applyFill="1" applyBorder="1" applyAlignment="1">
      <alignment horizontal="center" vertical="center"/>
    </xf>
    <xf numFmtId="3" fontId="0" fillId="0" borderId="46" xfId="0" applyNumberFormat="1" applyFon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/>
    </xf>
    <xf numFmtId="3" fontId="0" fillId="4" borderId="46" xfId="0" applyNumberFormat="1" applyFont="1" applyFill="1" applyBorder="1" applyAlignment="1">
      <alignment horizontal="center" vertical="center" wrapText="1"/>
    </xf>
    <xf numFmtId="3" fontId="0" fillId="0" borderId="46" xfId="0" applyNumberFormat="1" applyFont="1" applyFill="1" applyBorder="1" applyAlignment="1">
      <alignment horizontal="center" vertical="center" wrapText="1"/>
    </xf>
    <xf numFmtId="3" fontId="0" fillId="44" borderId="27" xfId="0" applyNumberFormat="1" applyFont="1" applyFill="1" applyBorder="1" applyAlignment="1">
      <alignment horizontal="center"/>
    </xf>
    <xf numFmtId="3" fontId="0" fillId="0" borderId="27" xfId="0" applyNumberFormat="1" applyFont="1" applyBorder="1"/>
    <xf numFmtId="172" fontId="0" fillId="0" borderId="0" xfId="0" applyNumberFormat="1" applyFont="1" applyBorder="1" applyAlignment="1">
      <alignment horizontal="center" vertical="center" wrapText="1"/>
    </xf>
    <xf numFmtId="172" fontId="1" fillId="44" borderId="27" xfId="2" applyNumberFormat="1" applyFont="1" applyFill="1" applyBorder="1" applyAlignment="1">
      <alignment horizontal="center"/>
    </xf>
    <xf numFmtId="3" fontId="0" fillId="4" borderId="46" xfId="0" applyNumberFormat="1" applyFill="1" applyBorder="1"/>
    <xf numFmtId="172" fontId="0" fillId="4" borderId="47" xfId="0" applyNumberFormat="1" applyFill="1" applyBorder="1" applyAlignment="1">
      <alignment horizontal="center"/>
    </xf>
    <xf numFmtId="3" fontId="0" fillId="4" borderId="46" xfId="0" applyNumberFormat="1" applyFont="1" applyFill="1" applyBorder="1" applyAlignment="1">
      <alignment horizontal="center" vertical="center"/>
    </xf>
    <xf numFmtId="4" fontId="0" fillId="44" borderId="27" xfId="0" applyNumberFormat="1" applyFont="1" applyFill="1" applyBorder="1" applyAlignment="1">
      <alignment horizontal="center"/>
    </xf>
    <xf numFmtId="172" fontId="0" fillId="4" borderId="47" xfId="0" applyNumberFormat="1" applyFont="1" applyFill="1" applyBorder="1" applyAlignment="1">
      <alignment horizontal="center"/>
    </xf>
    <xf numFmtId="3" fontId="0" fillId="0" borderId="27" xfId="0" applyNumberFormat="1" applyFont="1" applyBorder="1" applyAlignment="1">
      <alignment vertical="center" wrapText="1"/>
    </xf>
    <xf numFmtId="10" fontId="0" fillId="0" borderId="31" xfId="0" applyNumberFormat="1" applyFont="1" applyBorder="1" applyAlignment="1">
      <alignment horizontal="center" vertical="center" wrapText="1"/>
    </xf>
    <xf numFmtId="3" fontId="5" fillId="0" borderId="31" xfId="0" applyNumberFormat="1" applyFont="1" applyBorder="1" applyAlignment="1">
      <alignment horizontal="center" vertical="center" wrapText="1"/>
    </xf>
    <xf numFmtId="3" fontId="5" fillId="0" borderId="54" xfId="0" applyNumberFormat="1" applyFont="1" applyBorder="1" applyAlignment="1">
      <alignment horizontal="center" vertical="center" wrapText="1"/>
    </xf>
    <xf numFmtId="3" fontId="5" fillId="0" borderId="86" xfId="0" applyNumberFormat="1" applyFont="1" applyBorder="1" applyAlignment="1">
      <alignment horizontal="center" vertical="center" wrapText="1"/>
    </xf>
    <xf numFmtId="3" fontId="0" fillId="0" borderId="27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5" fillId="0" borderId="29" xfId="0" applyNumberFormat="1" applyFont="1" applyBorder="1" applyAlignment="1">
      <alignment horizontal="center" vertical="center" wrapText="1"/>
    </xf>
    <xf numFmtId="10" fontId="0" fillId="0" borderId="27" xfId="0" applyNumberFormat="1" applyFont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 wrapText="1"/>
    </xf>
    <xf numFmtId="3" fontId="5" fillId="0" borderId="15" xfId="0" applyNumberFormat="1" applyFont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center" vertical="center" wrapText="1"/>
    </xf>
    <xf numFmtId="3" fontId="5" fillId="0" borderId="27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29" xfId="0" applyNumberFormat="1" applyFont="1" applyFill="1" applyBorder="1" applyAlignment="1">
      <alignment horizontal="center" vertical="center" wrapText="1"/>
    </xf>
    <xf numFmtId="9" fontId="1" fillId="44" borderId="27" xfId="2" applyFont="1" applyFill="1" applyBorder="1" applyAlignment="1">
      <alignment horizontal="center"/>
    </xf>
    <xf numFmtId="3" fontId="0" fillId="0" borderId="27" xfId="0" applyNumberFormat="1" applyBorder="1" applyAlignment="1">
      <alignment vertical="center" wrapText="1"/>
    </xf>
    <xf numFmtId="3" fontId="125" fillId="0" borderId="0" xfId="0" applyNumberFormat="1" applyFont="1" applyFill="1" applyBorder="1" applyAlignment="1">
      <alignment horizontal="center" vertical="center" wrapText="1"/>
    </xf>
    <xf numFmtId="3" fontId="125" fillId="0" borderId="29" xfId="0" applyNumberFormat="1" applyFont="1" applyFill="1" applyBorder="1" applyAlignment="1">
      <alignment horizontal="center" vertical="center" wrapText="1"/>
    </xf>
    <xf numFmtId="3" fontId="125" fillId="0" borderId="27" xfId="0" applyNumberFormat="1" applyFont="1" applyFill="1" applyBorder="1" applyAlignment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 wrapText="1"/>
    </xf>
    <xf numFmtId="3" fontId="0" fillId="44" borderId="27" xfId="0" applyNumberFormat="1" applyFont="1" applyFill="1" applyBorder="1" applyAlignment="1">
      <alignment vertical="center" wrapText="1"/>
    </xf>
    <xf numFmtId="10" fontId="0" fillId="44" borderId="27" xfId="0" applyNumberFormat="1" applyFont="1" applyFill="1" applyBorder="1" applyAlignment="1">
      <alignment horizontal="center" vertical="center" wrapText="1"/>
    </xf>
    <xf numFmtId="3" fontId="5" fillId="44" borderId="27" xfId="0" applyNumberFormat="1" applyFont="1" applyFill="1" applyBorder="1" applyAlignment="1">
      <alignment horizontal="center" vertical="center" wrapText="1"/>
    </xf>
    <xf numFmtId="3" fontId="5" fillId="44" borderId="0" xfId="0" applyNumberFormat="1" applyFont="1" applyFill="1" applyBorder="1" applyAlignment="1">
      <alignment horizontal="center" vertical="center" wrapText="1"/>
    </xf>
    <xf numFmtId="3" fontId="5" fillId="44" borderId="29" xfId="0" applyNumberFormat="1" applyFont="1" applyFill="1" applyBorder="1" applyAlignment="1">
      <alignment horizontal="center" vertical="center" wrapText="1"/>
    </xf>
    <xf numFmtId="3" fontId="0" fillId="44" borderId="27" xfId="0" applyNumberFormat="1" applyFont="1" applyFill="1" applyBorder="1" applyAlignment="1">
      <alignment horizontal="center" vertical="center" wrapText="1"/>
    </xf>
    <xf numFmtId="3" fontId="0" fillId="44" borderId="0" xfId="0" applyNumberFormat="1" applyFont="1" applyFill="1" applyBorder="1" applyAlignment="1">
      <alignment horizontal="center" vertical="center" wrapText="1"/>
    </xf>
    <xf numFmtId="3" fontId="5" fillId="0" borderId="27" xfId="0" applyNumberFormat="1" applyFont="1" applyBorder="1" applyAlignment="1">
      <alignment vertical="center" wrapText="1"/>
    </xf>
    <xf numFmtId="3" fontId="5" fillId="0" borderId="27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3" fontId="0" fillId="0" borderId="29" xfId="0" applyNumberFormat="1" applyFont="1" applyFill="1" applyBorder="1" applyAlignment="1">
      <alignment horizontal="center"/>
    </xf>
    <xf numFmtId="3" fontId="0" fillId="0" borderId="87" xfId="0" applyNumberFormat="1" applyFont="1" applyFill="1" applyBorder="1" applyAlignment="1">
      <alignment horizontal="center" vertical="center" wrapText="1"/>
    </xf>
    <xf numFmtId="3" fontId="0" fillId="0" borderId="88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3" fontId="0" fillId="0" borderId="29" xfId="0" applyNumberFormat="1" applyFont="1" applyFill="1" applyBorder="1" applyAlignment="1">
      <alignment horizontal="center" vertical="center" wrapText="1"/>
    </xf>
    <xf numFmtId="3" fontId="0" fillId="0" borderId="89" xfId="0" applyNumberFormat="1" applyFont="1" applyFill="1" applyBorder="1" applyAlignment="1">
      <alignment horizontal="center" vertical="center" wrapText="1"/>
    </xf>
    <xf numFmtId="172" fontId="1" fillId="44" borderId="27" xfId="2" applyNumberFormat="1" applyFont="1" applyFill="1" applyBorder="1" applyAlignment="1">
      <alignment horizontal="center" vertical="center"/>
    </xf>
    <xf numFmtId="3" fontId="0" fillId="0" borderId="27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8" fontId="0" fillId="0" borderId="14" xfId="0" applyNumberFormat="1" applyFont="1" applyBorder="1" applyAlignment="1">
      <alignment horizontal="center" vertical="center" wrapText="1"/>
    </xf>
    <xf numFmtId="38" fontId="0" fillId="0" borderId="15" xfId="0" applyNumberFormat="1" applyFont="1" applyBorder="1" applyAlignment="1">
      <alignment horizontal="center" vertical="center" wrapText="1"/>
    </xf>
    <xf numFmtId="38" fontId="4" fillId="0" borderId="15" xfId="0" applyNumberFormat="1" applyFont="1" applyBorder="1" applyAlignment="1">
      <alignment horizontal="center" vertical="center" wrapText="1"/>
    </xf>
    <xf numFmtId="38" fontId="0" fillId="0" borderId="16" xfId="0" applyNumberFormat="1" applyFont="1" applyFill="1" applyBorder="1" applyAlignment="1">
      <alignment horizontal="center" vertical="center" wrapText="1"/>
    </xf>
    <xf numFmtId="38" fontId="0" fillId="0" borderId="16" xfId="0" applyNumberFormat="1" applyFont="1" applyBorder="1" applyAlignment="1">
      <alignment horizontal="center" vertical="center"/>
    </xf>
    <xf numFmtId="3" fontId="5" fillId="0" borderId="29" xfId="0" applyNumberFormat="1" applyFont="1" applyBorder="1" applyAlignment="1">
      <alignment horizontal="center"/>
    </xf>
    <xf numFmtId="3" fontId="0" fillId="0" borderId="14" xfId="0" applyNumberFormat="1" applyFont="1" applyBorder="1" applyAlignment="1">
      <alignment horizontal="center" vertical="center" wrapText="1"/>
    </xf>
    <xf numFmtId="3" fontId="0" fillId="0" borderId="15" xfId="0" applyNumberFormat="1" applyFont="1" applyBorder="1" applyAlignment="1">
      <alignment horizontal="center" vertical="center" wrapText="1"/>
    </xf>
    <xf numFmtId="3" fontId="0" fillId="0" borderId="16" xfId="0" applyNumberFormat="1" applyFont="1" applyBorder="1" applyAlignment="1">
      <alignment horizontal="center"/>
    </xf>
    <xf numFmtId="3" fontId="0" fillId="0" borderId="47" xfId="0" applyNumberFormat="1" applyFont="1" applyBorder="1" applyAlignment="1">
      <alignment horizontal="center" vertical="center" wrapText="1"/>
    </xf>
    <xf numFmtId="3" fontId="0" fillId="0" borderId="44" xfId="0" applyNumberFormat="1" applyFont="1" applyBorder="1" applyAlignment="1">
      <alignment horizontal="center" vertical="center" wrapText="1"/>
    </xf>
    <xf numFmtId="3" fontId="0" fillId="0" borderId="86" xfId="0" applyNumberFormat="1" applyFont="1" applyBorder="1" applyAlignment="1">
      <alignment horizontal="center" vertical="center" wrapText="1"/>
    </xf>
    <xf numFmtId="38" fontId="0" fillId="0" borderId="27" xfId="0" applyNumberFormat="1" applyFont="1" applyBorder="1" applyAlignment="1">
      <alignment horizontal="center" vertical="center" wrapText="1"/>
    </xf>
    <xf numFmtId="38" fontId="0" fillId="0" borderId="0" xfId="0" applyNumberFormat="1" applyFont="1" applyBorder="1" applyAlignment="1">
      <alignment horizontal="center" vertical="center" wrapText="1"/>
    </xf>
    <xf numFmtId="38" fontId="0" fillId="0" borderId="29" xfId="0" applyNumberFormat="1" applyFont="1" applyBorder="1" applyAlignment="1">
      <alignment horizontal="center" vertical="center" wrapText="1"/>
    </xf>
    <xf numFmtId="1" fontId="0" fillId="0" borderId="27" xfId="0" applyNumberFormat="1" applyFont="1" applyBorder="1" applyAlignment="1">
      <alignment horizontal="center" vertical="center" wrapText="1"/>
    </xf>
    <xf numFmtId="3" fontId="0" fillId="0" borderId="29" xfId="0" applyNumberFormat="1" applyFont="1" applyBorder="1" applyAlignment="1">
      <alignment horizontal="center" vertical="center" wrapText="1"/>
    </xf>
    <xf numFmtId="9" fontId="0" fillId="0" borderId="27" xfId="0" applyNumberFormat="1" applyFont="1" applyBorder="1" applyAlignment="1">
      <alignment horizontal="center" vertical="center" wrapText="1"/>
    </xf>
    <xf numFmtId="38" fontId="0" fillId="0" borderId="16" xfId="0" applyNumberFormat="1" applyFont="1" applyBorder="1" applyAlignment="1">
      <alignment horizontal="center" vertical="center" wrapText="1"/>
    </xf>
    <xf numFmtId="10" fontId="0" fillId="0" borderId="27" xfId="0" applyNumberFormat="1" applyBorder="1" applyAlignment="1">
      <alignment horizontal="center" vertical="center" wrapText="1"/>
    </xf>
    <xf numFmtId="3" fontId="0" fillId="44" borderId="0" xfId="0" applyNumberFormat="1" applyFont="1" applyFill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2" fontId="0" fillId="0" borderId="27" xfId="0" applyNumberFormat="1" applyFont="1" applyBorder="1" applyAlignment="1">
      <alignment horizontal="center" vertical="center" wrapText="1"/>
    </xf>
    <xf numFmtId="3" fontId="1" fillId="0" borderId="27" xfId="1" applyNumberFormat="1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38" fontId="4" fillId="0" borderId="27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8" fontId="4" fillId="0" borderId="29" xfId="0" applyNumberFormat="1" applyFont="1" applyBorder="1" applyAlignment="1">
      <alignment horizontal="center" vertical="center" wrapText="1"/>
    </xf>
    <xf numFmtId="38" fontId="5" fillId="0" borderId="31" xfId="0" applyNumberFormat="1" applyFont="1" applyBorder="1" applyAlignment="1">
      <alignment horizontal="center" vertical="center" wrapText="1"/>
    </xf>
    <xf numFmtId="38" fontId="5" fillId="0" borderId="54" xfId="0" applyNumberFormat="1" applyFont="1" applyBorder="1" applyAlignment="1">
      <alignment horizontal="center" vertical="center" wrapText="1"/>
    </xf>
    <xf numFmtId="38" fontId="5" fillId="0" borderId="86" xfId="0" applyNumberFormat="1" applyFont="1" applyBorder="1" applyAlignment="1">
      <alignment horizontal="center" vertical="center" wrapText="1"/>
    </xf>
    <xf numFmtId="3" fontId="0" fillId="0" borderId="0" xfId="0" applyNumberFormat="1" applyFont="1" applyFill="1"/>
    <xf numFmtId="3" fontId="0" fillId="0" borderId="0" xfId="0" applyNumberFormat="1" applyFont="1" applyFill="1" applyBorder="1"/>
    <xf numFmtId="38" fontId="5" fillId="0" borderId="14" xfId="0" applyNumberFormat="1" applyFont="1" applyBorder="1" applyAlignment="1">
      <alignment horizontal="center" vertical="center" wrapText="1"/>
    </xf>
    <xf numFmtId="38" fontId="5" fillId="0" borderId="15" xfId="0" applyNumberFormat="1" applyFont="1" applyBorder="1" applyAlignment="1">
      <alignment horizontal="center" vertical="center" wrapText="1"/>
    </xf>
    <xf numFmtId="172" fontId="1" fillId="44" borderId="27" xfId="2" applyNumberFormat="1" applyFont="1" applyFill="1" applyBorder="1"/>
    <xf numFmtId="4" fontId="0" fillId="0" borderId="0" xfId="0" applyNumberFormat="1" applyFont="1" applyFill="1" applyBorder="1"/>
    <xf numFmtId="38" fontId="5" fillId="0" borderId="47" xfId="0" applyNumberFormat="1" applyFont="1" applyBorder="1" applyAlignment="1">
      <alignment horizontal="center" vertical="center" wrapText="1"/>
    </xf>
    <xf numFmtId="38" fontId="5" fillId="0" borderId="44" xfId="0" applyNumberFormat="1" applyFont="1" applyBorder="1" applyAlignment="1">
      <alignment horizontal="center" vertical="center" wrapText="1"/>
    </xf>
    <xf numFmtId="3" fontId="5" fillId="0" borderId="44" xfId="0" applyNumberFormat="1" applyFont="1" applyBorder="1" applyAlignment="1">
      <alignment horizontal="center" vertical="center" wrapText="1"/>
    </xf>
    <xf numFmtId="4" fontId="0" fillId="44" borderId="27" xfId="0" applyNumberFormat="1" applyFont="1" applyFill="1" applyBorder="1"/>
    <xf numFmtId="1" fontId="5" fillId="0" borderId="27" xfId="0" applyNumberFormat="1" applyFont="1" applyBorder="1" applyAlignment="1">
      <alignment horizontal="center" vertical="center" wrapText="1"/>
    </xf>
    <xf numFmtId="3" fontId="0" fillId="0" borderId="29" xfId="0" applyNumberFormat="1" applyFont="1" applyBorder="1" applyAlignment="1">
      <alignment horizontal="center"/>
    </xf>
    <xf numFmtId="9" fontId="1" fillId="0" borderId="27" xfId="2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202" fontId="0" fillId="0" borderId="0" xfId="0" applyNumberFormat="1" applyFont="1" applyBorder="1" applyAlignment="1">
      <alignment horizontal="center"/>
    </xf>
    <xf numFmtId="4" fontId="5" fillId="0" borderId="29" xfId="0" applyNumberFormat="1" applyFont="1" applyBorder="1" applyAlignment="1">
      <alignment horizontal="center" vertical="center" wrapText="1"/>
    </xf>
    <xf numFmtId="3" fontId="0" fillId="44" borderId="0" xfId="0" applyNumberFormat="1" applyFont="1" applyFill="1" applyBorder="1"/>
    <xf numFmtId="4" fontId="5" fillId="0" borderId="27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67" xfId="0" applyNumberFormat="1" applyFont="1" applyBorder="1" applyAlignment="1">
      <alignment horizontal="center"/>
    </xf>
    <xf numFmtId="3" fontId="0" fillId="0" borderId="14" xfId="0" applyNumberFormat="1" applyBorder="1" applyAlignment="1">
      <alignment vertical="center" wrapText="1"/>
    </xf>
    <xf numFmtId="10" fontId="0" fillId="0" borderId="14" xfId="0" applyNumberFormat="1" applyFont="1" applyBorder="1" applyAlignment="1">
      <alignment horizontal="center" vertical="center" wrapText="1"/>
    </xf>
    <xf numFmtId="3" fontId="0" fillId="0" borderId="14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3" fontId="0" fillId="0" borderId="0" xfId="0" applyNumberFormat="1" applyAlignment="1">
      <alignment vertical="center" wrapText="1"/>
    </xf>
    <xf numFmtId="3" fontId="5" fillId="0" borderId="0" xfId="0" applyNumberFormat="1" applyFont="1" applyBorder="1" applyAlignment="1">
      <alignment horizontal="center"/>
    </xf>
    <xf numFmtId="3" fontId="28" fillId="0" borderId="0" xfId="0" applyNumberFormat="1" applyFont="1" applyAlignment="1">
      <alignment vertical="center" wrapText="1"/>
    </xf>
    <xf numFmtId="0" fontId="127" fillId="0" borderId="0" xfId="0" applyFont="1" applyAlignment="1">
      <alignment horizontal="left" vertical="center"/>
    </xf>
    <xf numFmtId="3" fontId="0" fillId="0" borderId="0" xfId="0" applyNumberFormat="1" applyFont="1" applyAlignment="1">
      <alignment vertical="center" wrapText="1"/>
    </xf>
    <xf numFmtId="3" fontId="0" fillId="0" borderId="46" xfId="0" applyNumberFormat="1" applyFont="1" applyBorder="1" applyAlignment="1">
      <alignment horizontal="center" vertical="center" wrapText="1"/>
    </xf>
    <xf numFmtId="10" fontId="5" fillId="0" borderId="46" xfId="0" applyNumberFormat="1" applyFont="1" applyBorder="1" applyAlignment="1">
      <alignment horizontal="center" vertical="center" wrapText="1"/>
    </xf>
    <xf numFmtId="3" fontId="5" fillId="0" borderId="46" xfId="0" applyNumberFormat="1" applyFont="1" applyBorder="1" applyAlignment="1">
      <alignment horizontal="center" vertical="center" wrapText="1"/>
    </xf>
    <xf numFmtId="3" fontId="5" fillId="0" borderId="47" xfId="0" applyNumberFormat="1" applyFont="1" applyBorder="1" applyAlignment="1">
      <alignment horizontal="center" vertical="center" wrapText="1"/>
    </xf>
    <xf numFmtId="3" fontId="0" fillId="0" borderId="46" xfId="0" applyNumberFormat="1" applyBorder="1"/>
    <xf numFmtId="3" fontId="0" fillId="0" borderId="46" xfId="0" applyNumberFormat="1" applyBorder="1" applyAlignment="1">
      <alignment horizontal="center" wrapText="1"/>
    </xf>
    <xf numFmtId="3" fontId="0" fillId="0" borderId="46" xfId="0" applyNumberFormat="1" applyFont="1" applyBorder="1" applyAlignment="1">
      <alignment horizontal="center"/>
    </xf>
    <xf numFmtId="3" fontId="0" fillId="0" borderId="46" xfId="0" applyNumberFormat="1" applyFont="1" applyBorder="1"/>
    <xf numFmtId="3" fontId="5" fillId="0" borderId="67" xfId="0" applyNumberFormat="1" applyFont="1" applyBorder="1"/>
    <xf numFmtId="3" fontId="29" fillId="0" borderId="69" xfId="0" applyNumberFormat="1" applyFont="1" applyBorder="1" applyAlignment="1">
      <alignment horizontal="right"/>
    </xf>
    <xf numFmtId="3" fontId="29" fillId="0" borderId="0" xfId="0" applyNumberFormat="1" applyFont="1" applyBorder="1" applyAlignment="1">
      <alignment horizontal="right"/>
    </xf>
    <xf numFmtId="3" fontId="0" fillId="0" borderId="13" xfId="0" applyNumberFormat="1" applyBorder="1"/>
    <xf numFmtId="3" fontId="0" fillId="0" borderId="13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3" fontId="0" fillId="0" borderId="46" xfId="0" applyNumberFormat="1" applyFont="1" applyBorder="1" applyAlignment="1">
      <alignment horizontal="right"/>
    </xf>
    <xf numFmtId="3" fontId="30" fillId="0" borderId="46" xfId="0" applyNumberFormat="1" applyFont="1" applyBorder="1" applyAlignment="1">
      <alignment horizontal="right"/>
    </xf>
    <xf numFmtId="3" fontId="30" fillId="0" borderId="0" xfId="0" applyNumberFormat="1" applyFont="1" applyBorder="1" applyAlignment="1">
      <alignment horizontal="right"/>
    </xf>
    <xf numFmtId="3" fontId="30" fillId="0" borderId="0" xfId="0" applyNumberFormat="1" applyFont="1" applyAlignment="1">
      <alignment horizontal="right"/>
    </xf>
    <xf numFmtId="3" fontId="0" fillId="0" borderId="24" xfId="0" applyNumberFormat="1" applyBorder="1" applyAlignment="1">
      <alignment horizontal="left" vertical="center" wrapText="1"/>
    </xf>
    <xf numFmtId="3" fontId="30" fillId="0" borderId="23" xfId="0" applyNumberFormat="1" applyFont="1" applyBorder="1" applyAlignment="1">
      <alignment horizontal="center" vertical="center" wrapText="1"/>
    </xf>
    <xf numFmtId="3" fontId="30" fillId="0" borderId="0" xfId="0" applyNumberFormat="1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left" vertical="center" wrapText="1"/>
    </xf>
    <xf numFmtId="3" fontId="30" fillId="0" borderId="50" xfId="0" applyNumberFormat="1" applyFont="1" applyBorder="1" applyAlignment="1">
      <alignment horizontal="center" vertical="center" wrapText="1"/>
    </xf>
    <xf numFmtId="2" fontId="30" fillId="0" borderId="50" xfId="0" applyNumberFormat="1" applyFont="1" applyBorder="1" applyAlignment="1">
      <alignment horizontal="center" vertical="center" wrapText="1"/>
    </xf>
    <xf numFmtId="2" fontId="30" fillId="0" borderId="0" xfId="0" applyNumberFormat="1" applyFont="1" applyBorder="1" applyAlignment="1">
      <alignment horizontal="center" vertical="center" wrapText="1"/>
    </xf>
    <xf numFmtId="3" fontId="0" fillId="0" borderId="45" xfId="0" applyNumberFormat="1" applyBorder="1" applyAlignment="1">
      <alignment horizontal="left" vertical="center" wrapText="1"/>
    </xf>
    <xf numFmtId="4" fontId="0" fillId="0" borderId="48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3" fontId="0" fillId="0" borderId="63" xfId="0" applyNumberFormat="1" applyBorder="1" applyAlignment="1">
      <alignment horizontal="left" vertical="center" wrapText="1"/>
    </xf>
    <xf numFmtId="3" fontId="0" fillId="0" borderId="62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3" fontId="5" fillId="0" borderId="90" xfId="0" applyNumberFormat="1" applyFont="1" applyBorder="1" applyAlignment="1">
      <alignment horizontal="center" vertical="center" wrapText="1"/>
    </xf>
    <xf numFmtId="10" fontId="0" fillId="46" borderId="27" xfId="0" applyNumberFormat="1" applyFont="1" applyFill="1" applyBorder="1" applyAlignment="1">
      <alignment horizontal="center" vertical="center" wrapText="1"/>
    </xf>
    <xf numFmtId="3" fontId="126" fillId="0" borderId="16" xfId="0" applyNumberFormat="1" applyFont="1" applyBorder="1" applyAlignment="1">
      <alignment horizontal="center" vertical="center" wrapText="1"/>
    </xf>
    <xf numFmtId="3" fontId="9" fillId="0" borderId="0" xfId="0" applyNumberFormat="1" applyFont="1"/>
    <xf numFmtId="10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/>
    </xf>
    <xf numFmtId="3" fontId="9" fillId="7" borderId="0" xfId="0" applyNumberFormat="1" applyFont="1" applyFill="1" applyAlignment="1">
      <alignment horizontal="center"/>
    </xf>
    <xf numFmtId="37" fontId="9" fillId="0" borderId="0" xfId="0" applyNumberFormat="1" applyFont="1" applyAlignment="1">
      <alignment horizontal="center"/>
    </xf>
    <xf numFmtId="37" fontId="9" fillId="7" borderId="0" xfId="0" applyNumberFormat="1" applyFont="1" applyFill="1" applyAlignment="1">
      <alignment horizontal="center"/>
    </xf>
    <xf numFmtId="3" fontId="9" fillId="0" borderId="59" xfId="0" applyNumberFormat="1" applyFont="1" applyBorder="1" applyAlignment="1">
      <alignment horizontal="center"/>
    </xf>
    <xf numFmtId="172" fontId="8" fillId="0" borderId="25" xfId="2" applyNumberFormat="1" applyFont="1" applyFill="1" applyBorder="1"/>
    <xf numFmtId="172" fontId="8" fillId="0" borderId="21" xfId="2" applyNumberFormat="1" applyFont="1" applyFill="1" applyBorder="1"/>
    <xf numFmtId="172" fontId="9" fillId="0" borderId="21" xfId="2" applyNumberFormat="1" applyFont="1" applyFill="1" applyBorder="1"/>
    <xf numFmtId="171" fontId="18" fillId="46" borderId="10" xfId="1" applyNumberFormat="1" applyFont="1" applyFill="1" applyBorder="1"/>
    <xf numFmtId="171" fontId="24" fillId="46" borderId="11" xfId="1" applyNumberFormat="1" applyFont="1" applyFill="1" applyBorder="1"/>
    <xf numFmtId="171" fontId="18" fillId="46" borderId="0" xfId="1" applyNumberFormat="1" applyFont="1" applyFill="1" applyBorder="1"/>
    <xf numFmtId="171" fontId="19" fillId="46" borderId="10" xfId="1" applyNumberFormat="1" applyFont="1" applyFill="1" applyBorder="1"/>
    <xf numFmtId="171" fontId="19" fillId="46" borderId="0" xfId="1" applyNumberFormat="1" applyFont="1" applyFill="1" applyBorder="1"/>
    <xf numFmtId="171" fontId="20" fillId="46" borderId="0" xfId="1" applyNumberFormat="1" applyFont="1" applyFill="1" applyBorder="1"/>
    <xf numFmtId="43" fontId="21" fillId="46" borderId="27" xfId="1" applyFont="1" applyFill="1" applyBorder="1"/>
    <xf numFmtId="171" fontId="20" fillId="46" borderId="11" xfId="1" applyNumberFormat="1" applyFont="1" applyFill="1" applyBorder="1"/>
    <xf numFmtId="171" fontId="20" fillId="46" borderId="0" xfId="1" applyNumberFormat="1" applyFont="1" applyFill="1"/>
    <xf numFmtId="171" fontId="18" fillId="46" borderId="27" xfId="1" applyNumberFormat="1" applyFont="1" applyFill="1" applyBorder="1"/>
    <xf numFmtId="171" fontId="18" fillId="46" borderId="11" xfId="1" applyNumberFormat="1" applyFont="1" applyFill="1" applyBorder="1"/>
    <xf numFmtId="171" fontId="22" fillId="46" borderId="29" xfId="1" applyNumberFormat="1" applyFont="1" applyFill="1" applyBorder="1"/>
    <xf numFmtId="171" fontId="22" fillId="46" borderId="0" xfId="1" applyNumberFormat="1" applyFont="1" applyFill="1" applyBorder="1"/>
    <xf numFmtId="171" fontId="22" fillId="46" borderId="11" xfId="1" applyNumberFormat="1" applyFont="1" applyFill="1" applyBorder="1"/>
    <xf numFmtId="171" fontId="22" fillId="46" borderId="0" xfId="1" applyNumberFormat="1" applyFont="1" applyFill="1"/>
    <xf numFmtId="167" fontId="122" fillId="46" borderId="10" xfId="1" applyNumberFormat="1" applyFont="1" applyFill="1" applyBorder="1"/>
    <xf numFmtId="167" fontId="122" fillId="46" borderId="0" xfId="1" applyNumberFormat="1" applyFont="1" applyFill="1" applyBorder="1"/>
    <xf numFmtId="166" fontId="11" fillId="46" borderId="10" xfId="1" applyNumberFormat="1" applyFont="1" applyFill="1" applyBorder="1"/>
    <xf numFmtId="166" fontId="8" fillId="46" borderId="11" xfId="1" applyNumberFormat="1" applyFont="1" applyFill="1" applyBorder="1"/>
    <xf numFmtId="166" fontId="8" fillId="46" borderId="0" xfId="1" applyNumberFormat="1" applyFont="1" applyFill="1" applyBorder="1"/>
    <xf numFmtId="167" fontId="8" fillId="46" borderId="10" xfId="1" applyNumberFormat="1" applyFont="1" applyFill="1" applyBorder="1"/>
    <xf numFmtId="167" fontId="8" fillId="46" borderId="0" xfId="1" applyNumberFormat="1" applyFont="1" applyFill="1" applyBorder="1"/>
    <xf numFmtId="166" fontId="9" fillId="46" borderId="0" xfId="1" applyNumberFormat="1" applyFont="1" applyFill="1" applyBorder="1"/>
    <xf numFmtId="166" fontId="8" fillId="46" borderId="27" xfId="1" applyNumberFormat="1" applyFont="1" applyFill="1" applyBorder="1"/>
    <xf numFmtId="166" fontId="8" fillId="46" borderId="0" xfId="1" applyNumberFormat="1" applyFont="1" applyFill="1"/>
    <xf numFmtId="167" fontId="10" fillId="46" borderId="29" xfId="1" applyNumberFormat="1" applyFont="1" applyFill="1" applyBorder="1"/>
    <xf numFmtId="167" fontId="10" fillId="46" borderId="0" xfId="1" applyNumberFormat="1" applyFont="1" applyFill="1" applyBorder="1"/>
    <xf numFmtId="167" fontId="10" fillId="46" borderId="11" xfId="1" applyNumberFormat="1" applyFont="1" applyFill="1" applyBorder="1"/>
    <xf numFmtId="166" fontId="10" fillId="46" borderId="0" xfId="1" applyNumberFormat="1" applyFont="1" applyFill="1"/>
    <xf numFmtId="167" fontId="8" fillId="46" borderId="11" xfId="1" applyNumberFormat="1" applyFont="1" applyFill="1" applyBorder="1"/>
    <xf numFmtId="0" fontId="0" fillId="46" borderId="0" xfId="0" applyFill="1" applyAlignment="1">
      <alignment horizontal="right"/>
    </xf>
    <xf numFmtId="10" fontId="8" fillId="46" borderId="10" xfId="2" applyNumberFormat="1" applyFont="1" applyFill="1" applyBorder="1"/>
    <xf numFmtId="10" fontId="8" fillId="46" borderId="0" xfId="2" applyNumberFormat="1" applyFont="1" applyFill="1" applyBorder="1"/>
    <xf numFmtId="10" fontId="9" fillId="46" borderId="0" xfId="2" applyNumberFormat="1" applyFont="1" applyFill="1" applyBorder="1"/>
    <xf numFmtId="0" fontId="0" fillId="46" borderId="0" xfId="0" applyFill="1"/>
    <xf numFmtId="3" fontId="5" fillId="0" borderId="47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Alignment="1">
      <alignment vertical="center" wrapText="1"/>
    </xf>
    <xf numFmtId="3" fontId="12" fillId="0" borderId="90" xfId="0" applyNumberFormat="1" applyFont="1" applyFill="1" applyBorder="1" applyAlignment="1">
      <alignment horizontal="center" vertical="center" wrapText="1"/>
    </xf>
    <xf numFmtId="37" fontId="4" fillId="0" borderId="0" xfId="0" applyNumberFormat="1" applyFont="1" applyBorder="1" applyAlignment="1">
      <alignment horizontal="center" vertical="center" wrapText="1"/>
    </xf>
    <xf numFmtId="37" fontId="4" fillId="0" borderId="29" xfId="0" applyNumberFormat="1" applyFont="1" applyBorder="1" applyAlignment="1">
      <alignment horizontal="center" vertical="center" wrapText="1"/>
    </xf>
    <xf numFmtId="9" fontId="0" fillId="0" borderId="0" xfId="2" applyFont="1"/>
    <xf numFmtId="3" fontId="0" fillId="0" borderId="51" xfId="0" applyNumberFormat="1" applyFont="1" applyBorder="1" applyAlignment="1">
      <alignment horizontal="center" vertical="center" wrapText="1"/>
    </xf>
    <xf numFmtId="3" fontId="5" fillId="0" borderId="90" xfId="0" applyNumberFormat="1" applyFont="1" applyFill="1" applyBorder="1" applyAlignment="1">
      <alignment horizontal="center" vertical="center" wrapText="1"/>
    </xf>
    <xf numFmtId="9" fontId="9" fillId="0" borderId="0" xfId="2" applyFont="1"/>
    <xf numFmtId="3" fontId="0" fillId="0" borderId="90" xfId="0" applyNumberFormat="1" applyFont="1" applyBorder="1" applyAlignment="1">
      <alignment horizontal="center" vertical="center" wrapText="1"/>
    </xf>
    <xf numFmtId="3" fontId="0" fillId="0" borderId="90" xfId="0" applyNumberFormat="1" applyFont="1" applyFill="1" applyBorder="1" applyAlignment="1">
      <alignment horizontal="center" vertical="center" wrapText="1"/>
    </xf>
    <xf numFmtId="38" fontId="5" fillId="0" borderId="90" xfId="0" applyNumberFormat="1" applyFont="1" applyBorder="1" applyAlignment="1">
      <alignment horizontal="center" vertical="center" wrapText="1"/>
    </xf>
    <xf numFmtId="9" fontId="0" fillId="0" borderId="0" xfId="2" applyFont="1" applyFill="1" applyBorder="1"/>
    <xf numFmtId="9" fontId="0" fillId="0" borderId="27" xfId="2" applyFont="1" applyBorder="1" applyAlignment="1">
      <alignment horizontal="center" vertical="center" wrapText="1"/>
    </xf>
    <xf numFmtId="9" fontId="0" fillId="0" borderId="0" xfId="2" applyFont="1" applyBorder="1" applyAlignment="1">
      <alignment horizontal="center" vertical="center" wrapText="1"/>
    </xf>
    <xf numFmtId="9" fontId="5" fillId="0" borderId="29" xfId="2" applyNumberFormat="1" applyFont="1" applyBorder="1" applyAlignment="1">
      <alignment horizontal="center" vertical="center" wrapText="1"/>
    </xf>
    <xf numFmtId="3" fontId="5" fillId="0" borderId="47" xfId="0" applyNumberFormat="1" applyFont="1" applyBorder="1" applyAlignment="1">
      <alignment horizontal="center" vertical="center" wrapText="1"/>
    </xf>
    <xf numFmtId="3" fontId="5" fillId="0" borderId="51" xfId="0" applyNumberFormat="1" applyFont="1" applyBorder="1" applyAlignment="1">
      <alignment horizontal="center" vertical="center" wrapText="1"/>
    </xf>
    <xf numFmtId="3" fontId="28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3" fontId="6" fillId="43" borderId="14" xfId="0" applyNumberFormat="1" applyFont="1" applyFill="1" applyBorder="1" applyAlignment="1">
      <alignment horizontal="center" vertical="center" wrapText="1"/>
    </xf>
    <xf numFmtId="3" fontId="6" fillId="43" borderId="15" xfId="0" applyNumberFormat="1" applyFont="1" applyFill="1" applyBorder="1" applyAlignment="1">
      <alignment horizontal="center" vertical="center" wrapText="1"/>
    </xf>
    <xf numFmtId="3" fontId="5" fillId="0" borderId="44" xfId="0" applyNumberFormat="1" applyFont="1" applyFill="1" applyBorder="1" applyAlignment="1">
      <alignment horizontal="center" wrapText="1"/>
    </xf>
    <xf numFmtId="3" fontId="3" fillId="43" borderId="47" xfId="0" applyNumberFormat="1" applyFont="1" applyFill="1" applyBorder="1" applyAlignment="1">
      <alignment horizontal="center" vertical="center" wrapText="1"/>
    </xf>
    <xf numFmtId="3" fontId="3" fillId="43" borderId="44" xfId="0" applyNumberFormat="1" applyFont="1" applyFill="1" applyBorder="1" applyAlignment="1">
      <alignment horizontal="center" vertical="center" wrapText="1"/>
    </xf>
    <xf numFmtId="3" fontId="3" fillId="43" borderId="5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66" fontId="13" fillId="0" borderId="1" xfId="1" applyNumberFormat="1" applyFont="1" applyFill="1" applyBorder="1" applyAlignment="1">
      <alignment horizontal="center" vertical="center" wrapText="1"/>
    </xf>
    <xf numFmtId="166" fontId="13" fillId="0" borderId="2" xfId="1" applyNumberFormat="1" applyFont="1" applyFill="1" applyBorder="1" applyAlignment="1">
      <alignment horizontal="center" vertical="center" wrapText="1"/>
    </xf>
    <xf numFmtId="166" fontId="13" fillId="0" borderId="3" xfId="1" applyNumberFormat="1" applyFont="1" applyFill="1" applyBorder="1" applyAlignment="1">
      <alignment horizontal="center" vertical="center" wrapText="1"/>
    </xf>
    <xf numFmtId="166" fontId="11" fillId="3" borderId="1" xfId="1" applyNumberFormat="1" applyFont="1" applyFill="1" applyBorder="1" applyAlignment="1">
      <alignment horizontal="center" wrapText="1"/>
    </xf>
    <xf numFmtId="166" fontId="11" fillId="3" borderId="2" xfId="1" applyNumberFormat="1" applyFont="1" applyFill="1" applyBorder="1" applyAlignment="1">
      <alignment horizontal="center" wrapText="1"/>
    </xf>
    <xf numFmtId="166" fontId="11" fillId="3" borderId="3" xfId="1" applyNumberFormat="1" applyFont="1" applyFill="1" applyBorder="1" applyAlignment="1">
      <alignment horizontal="center" wrapText="1"/>
    </xf>
    <xf numFmtId="166" fontId="11" fillId="0" borderId="10" xfId="1" applyNumberFormat="1" applyFont="1" applyFill="1" applyBorder="1" applyAlignment="1">
      <alignment horizontal="left" wrapText="1"/>
    </xf>
    <xf numFmtId="166" fontId="11" fillId="0" borderId="11" xfId="1" applyNumberFormat="1" applyFont="1" applyFill="1" applyBorder="1" applyAlignment="1">
      <alignment horizontal="left" wrapText="1"/>
    </xf>
    <xf numFmtId="166" fontId="14" fillId="0" borderId="0" xfId="1" applyNumberFormat="1" applyFont="1" applyFill="1" applyBorder="1" applyAlignment="1">
      <alignment horizontal="left" wrapText="1"/>
    </xf>
    <xf numFmtId="167" fontId="12" fillId="2" borderId="1" xfId="1" applyNumberFormat="1" applyFont="1" applyFill="1" applyBorder="1" applyAlignment="1">
      <alignment horizontal="center" wrapText="1"/>
    </xf>
    <xf numFmtId="167" fontId="12" fillId="2" borderId="2" xfId="1" applyNumberFormat="1" applyFont="1" applyFill="1" applyBorder="1" applyAlignment="1">
      <alignment horizontal="center" wrapText="1"/>
    </xf>
    <xf numFmtId="167" fontId="12" fillId="2" borderId="3" xfId="1" applyNumberFormat="1" applyFont="1" applyFill="1" applyBorder="1" applyAlignment="1">
      <alignment horizontal="center" wrapText="1"/>
    </xf>
    <xf numFmtId="166" fontId="12" fillId="3" borderId="1" xfId="1" applyNumberFormat="1" applyFont="1" applyFill="1" applyBorder="1" applyAlignment="1">
      <alignment horizontal="center"/>
    </xf>
    <xf numFmtId="166" fontId="12" fillId="3" borderId="2" xfId="1" applyNumberFormat="1" applyFont="1" applyFill="1" applyBorder="1" applyAlignment="1">
      <alignment horizontal="center"/>
    </xf>
    <xf numFmtId="166" fontId="12" fillId="3" borderId="3" xfId="1" applyNumberFormat="1" applyFont="1" applyFill="1" applyBorder="1" applyAlignment="1">
      <alignment horizontal="center"/>
    </xf>
    <xf numFmtId="166" fontId="11" fillId="0" borderId="7" xfId="1" applyNumberFormat="1" applyFont="1" applyFill="1" applyBorder="1" applyAlignment="1">
      <alignment horizontal="center" wrapText="1"/>
    </xf>
    <xf numFmtId="166" fontId="11" fillId="0" borderId="8" xfId="1" applyNumberFormat="1" applyFont="1" applyFill="1" applyBorder="1" applyAlignment="1">
      <alignment horizontal="center" wrapText="1"/>
    </xf>
    <xf numFmtId="166" fontId="11" fillId="0" borderId="9" xfId="1" applyNumberFormat="1" applyFont="1" applyFill="1" applyBorder="1" applyAlignment="1">
      <alignment horizontal="center" wrapText="1"/>
    </xf>
    <xf numFmtId="166" fontId="13" fillId="0" borderId="7" xfId="1" applyNumberFormat="1" applyFont="1" applyFill="1" applyBorder="1" applyAlignment="1">
      <alignment horizontal="center" vertical="center" wrapText="1"/>
    </xf>
    <xf numFmtId="166" fontId="13" fillId="0" borderId="8" xfId="1" applyNumberFormat="1" applyFont="1" applyFill="1" applyBorder="1" applyAlignment="1">
      <alignment horizontal="center" vertical="center" wrapText="1"/>
    </xf>
    <xf numFmtId="166" fontId="13" fillId="0" borderId="9" xfId="1" applyNumberFormat="1" applyFont="1" applyFill="1" applyBorder="1" applyAlignment="1">
      <alignment horizontal="center" vertical="center" wrapText="1"/>
    </xf>
  </cellXfs>
  <cellStyles count="4186">
    <cellStyle name="_(관계사명) 총괄손익요약 (03_02월)" xfId="4"/>
    <cellStyle name="_▲ATM090223" xfId="5"/>
    <cellStyle name="_09下展開計画0902" xfId="6"/>
    <cellStyle name="_①新規提携（銀行）" xfId="7"/>
    <cellStyle name="_2004년3월 손익총괄(동화씨마)" xfId="8"/>
    <cellStyle name="_2004년3월 손익총괄(동화씨마)_ABCP Interest July 09 to Feb 2010" xfId="9"/>
    <cellStyle name="_2004년3월 손익총괄(동화씨마)_CUOPON INT CP MTN" xfId="10"/>
    <cellStyle name="_②ネットバンク" xfId="11"/>
    <cellStyle name="_2月（日次）" xfId="12"/>
    <cellStyle name="_③新規提携（ノンバンク）" xfId="13"/>
    <cellStyle name="_④ＡＣＳキャンペーン" xfId="14"/>
    <cellStyle name="_⑤ノンバンクキャンペーン" xfId="15"/>
    <cellStyle name="_ACS共同施策" xfId="16"/>
    <cellStyle name="_ＡＴＭ・Ｇ営業部" xfId="17"/>
    <cellStyle name="_ＡＴＭ計画_090223（従量制マージ）" xfId="18"/>
    <cellStyle name="_Book2" xfId="19"/>
    <cellStyle name="_Book4" xfId="20"/>
    <cellStyle name="_Book4_ABCP Interest July 09 to Feb 2010" xfId="21"/>
    <cellStyle name="_Book4_CUOPON INT CP MTN" xfId="22"/>
    <cellStyle name="_ET_STYLE_NoName_00_" xfId="23"/>
    <cellStyle name="_OUTPUT" xfId="24"/>
    <cellStyle name="_Sheet1" xfId="25"/>
    <cellStyle name="_Sheet1_1" xfId="26"/>
    <cellStyle name="_Sheet2" xfId="27"/>
    <cellStyle name="_Sheet3" xfId="28"/>
    <cellStyle name="_イオン提示件数シナリオ" xfId="29"/>
    <cellStyle name="_サマリ資料" xfId="30"/>
    <cellStyle name="_データ" xfId="31"/>
    <cellStyle name="_テーブル" xfId="32"/>
    <cellStyle name="_テーブル_1" xfId="33"/>
    <cellStyle name="_テーブル2" xfId="34"/>
    <cellStyle name="_동화씨마 매출보고(2003년)" xfId="35"/>
    <cellStyle name="_동화씨마 요약손익보고_경영관리(2004.4월)" xfId="36"/>
    <cellStyle name="_동화씨마 요약손익보고_경영관리(2004.4월)_ABCP Interest July 09 to Feb 2010" xfId="37"/>
    <cellStyle name="_동화씨마 요약손익보고_경영관리(2004.4월)_CUOPON INT CP MTN" xfId="38"/>
    <cellStyle name="_동화씨마 재고현황(12월분)" xfId="39"/>
    <cellStyle name="_동화씨마 재고현황(12월분)_ABCP Interest July 09 to Feb 2010" xfId="40"/>
    <cellStyle name="_동화씨마 재고현황(12월분)_CUOPON INT CP MTN" xfId="41"/>
    <cellStyle name="_동화씨마_재고보고(04_01월)" xfId="42"/>
    <cellStyle name="_동화씨마_재고보고(04_01월)_ABCP Interest July 09 to Feb 2010" xfId="43"/>
    <cellStyle name="_동화씨마_재고보고(04_01월)_CUOPON INT CP MTN" xfId="44"/>
    <cellStyle name="_동화씨마_재고보고(04_01월)02" xfId="45"/>
    <cellStyle name="_동화씨마_재고보고(04_01월)02_ABCP Interest July 09 to Feb 2010" xfId="46"/>
    <cellStyle name="_동화씨마_재고보고(04_01월)02_CUOPON INT CP MTN" xfId="47"/>
    <cellStyle name="_사본 - 003 동화테크우드04월" xfId="48"/>
    <cellStyle name="_사본 - 005 동화TIS04월" xfId="49"/>
    <cellStyle name="_외주시공비 보고내역(2003)_수정분" xfId="50"/>
    <cellStyle name="_월간보고_2003년1월 손익자료" xfId="51"/>
    <cellStyle name="_월간보고_2003년1월 손익자료_ABCP Interest July 09 to Feb 2010" xfId="52"/>
    <cellStyle name="_월간보고_2003년1월 손익자료_CUOPON INT CP MTN" xfId="53"/>
    <cellStyle name="_월간보고_2003년2월 손익자료(보고용3.17)" xfId="54"/>
    <cellStyle name="_월간보고_2003년2월 손익자료(보고용3.17)_ABCP Interest July 09 to Feb 2010" xfId="55"/>
    <cellStyle name="_월간보고_2003년2월 손익자료(보고용3.17)_CUOPON INT CP MTN" xfId="56"/>
    <cellStyle name="_인물건비" xfId="57"/>
    <cellStyle name="_인물건비(동화씨마)" xfId="58"/>
    <cellStyle name="_인물건비_ABCP Interest July 09 to Feb 2010" xfId="59"/>
    <cellStyle name="_인물건비_CUOPON INT CP MTN" xfId="60"/>
    <cellStyle name="_총괄손익요약(동화씨마)_200404" xfId="61"/>
    <cellStyle name="_총괄손익요약_동화씨마(04_04월)" xfId="62"/>
    <cellStyle name="_총괄손익요약_동화씨마(04_04월)_ABCP Interest July 09 to Feb 2010" xfId="63"/>
    <cellStyle name="_총괄손익요약_동화씨마(04_04월)_CUOPON INT CP MTN" xfId="64"/>
    <cellStyle name="_총괄손익요약양식" xfId="65"/>
    <cellStyle name="_件数シナリオ&amp;適用テーブル" xfId="66"/>
    <cellStyle name="_月次サマリ" xfId="67"/>
    <cellStyle name="_月次展開（大本）" xfId="68"/>
    <cellStyle name="_減価償却費" xfId="69"/>
    <cellStyle name="_計画" xfId="70"/>
    <cellStyle name="_設置計画" xfId="71"/>
    <cellStyle name="_費用使用サマリ" xfId="72"/>
    <cellStyle name="_運用費用final" xfId="73"/>
    <cellStyle name="| のバックアップ" xfId="74"/>
    <cellStyle name="=E:\WINNT\SYSTEM32\COMMAND.COM" xfId="75"/>
    <cellStyle name="‡" xfId="76"/>
    <cellStyle name="‡_060304" xfId="77"/>
    <cellStyle name="‡_0805a " xfId="78"/>
    <cellStyle name="‡_0805a _ABCP Interest July 09 to Feb 2010" xfId="79"/>
    <cellStyle name="‡_0805a _CUOPON INT CP MTN" xfId="80"/>
    <cellStyle name="‡_Accounts 040504" xfId="81"/>
    <cellStyle name="‡_Accounts 040504_07_DGI(04_09월)_03" xfId="82"/>
    <cellStyle name="‡_Accounts 040504_07_DGI(04_09월)_04" xfId="83"/>
    <cellStyle name="‡_Accounts 040504_6.자금운영계획" xfId="84"/>
    <cellStyle name="‡_Accounts 040504A" xfId="85"/>
    <cellStyle name="‡_Accounts 040504A_07_DGI(04_09월)_03" xfId="86"/>
    <cellStyle name="‡_Accounts 040504A_07_DGI(04_09월)_04" xfId="87"/>
    <cellStyle name="‡_Accounts 040504A_6.자금운영계획" xfId="88"/>
    <cellStyle name="‡_Accounts 060404" xfId="89"/>
    <cellStyle name="‡_Accounts 060404_07_DGI(04_09월)_03" xfId="90"/>
    <cellStyle name="‡_Accounts 060404_07_DGI(04_09월)_04" xfId="91"/>
    <cellStyle name="‡_Accounts 060404_6.자금운영계획" xfId="92"/>
    <cellStyle name="‡_Analysis - Direct  Selling Expenses" xfId="93"/>
    <cellStyle name="‡_Analysis - Direct  Selling Expenses_DFB Org" xfId="94"/>
    <cellStyle name="‡_Book1" xfId="95"/>
    <cellStyle name="‡_Book1_0805a " xfId="96"/>
    <cellStyle name="‡_Book1_MDF - 040905" xfId="97"/>
    <cellStyle name="‡_Book1_MDF 081105" xfId="98"/>
    <cellStyle name="‡_Book1_MRU - 041005" xfId="99"/>
    <cellStyle name="‡_Book1_MRU 040805" xfId="100"/>
    <cellStyle name="‡_Book1_MRU 040905" xfId="101"/>
    <cellStyle name="‡_Book1_MRU 071105" xfId="102"/>
    <cellStyle name="‡_Book1_MRU Acc - 040705" xfId="103"/>
    <cellStyle name="‡_Book1_sum con 2005" xfId="104"/>
    <cellStyle name="‡_Book27" xfId="105"/>
    <cellStyle name="‡_Budget 2004 Capital (1)" xfId="106"/>
    <cellStyle name="‡_Budget 2004 Capital (1)_DFB Org" xfId="107"/>
    <cellStyle name="‡_Cash Flow Revised 040213" xfId="108"/>
    <cellStyle name="‡_Cash Flow Revised 040213_appendix 9 06041" xfId="109"/>
    <cellStyle name="‡_Cash Flow Revised 040213_Book1" xfId="110"/>
    <cellStyle name="‡_Cash Flow Revised 040213_Book16" xfId="111"/>
    <cellStyle name="‡_Cash Flow Revised 040213_Book22" xfId="112"/>
    <cellStyle name="‡_Cash Flow Revised 040213_DFB (가동,원가,원재료April 04)" xfId="113"/>
    <cellStyle name="‡_Cash Flow Revised 040213_DFB 040608" xfId="114"/>
    <cellStyle name="‡_Cash Flow Revised 040213_DFB 040609" xfId="115"/>
    <cellStyle name="‡_Cash Flow Revised 040213_DFB 040614" xfId="116"/>
    <cellStyle name="‡_Cash Flow Revised 040213_June '04" xfId="117"/>
    <cellStyle name="‡_Cash Flow Revised 040213_June '04_DFB Org" xfId="118"/>
    <cellStyle name="‡_Cash Flow Revised 040213_LOG ANALYSIS 0504" xfId="119"/>
    <cellStyle name="‡_Cash Flow Revised 040213_LOG ANALYSIS 0504_DFB Org" xfId="120"/>
    <cellStyle name="‡_Cash Flow Revised 040213_LOG ANALYSIS 0504_Monthly report Pro(May 04)" xfId="121"/>
    <cellStyle name="‡_Cash Flow Revised 040213_LOG ANALYSIS 0504_Production(04.06)" xfId="122"/>
    <cellStyle name="‡_Cash Flow Revised 040213_LOG ANALYSIS 0504_Production(04.07)" xfId="123"/>
    <cellStyle name="‡_Cash Flow Revised 040213_LOG ANALYSIS 0504_Production(04.07)1" xfId="124"/>
    <cellStyle name="‡_Cash Flow Revised 040213_LOG ANALYSIS 0604" xfId="125"/>
    <cellStyle name="‡_Cash Flow Revised 040213_LOG ANALYSIS 0604_DFB Org" xfId="126"/>
    <cellStyle name="‡_Cash Flow Revised 040213_Manpower report Aug04" xfId="127"/>
    <cellStyle name="‡_Cash Flow Revised 040213_Manpower report Jul04" xfId="128"/>
    <cellStyle name="‡_Cash Flow Revised 040213_Manpower report Jun04" xfId="129"/>
    <cellStyle name="‡_Cash Flow Revised 040213_Market Monthly Report - Jun 04" xfId="130"/>
    <cellStyle name="‡_Cash Flow Revised 040213_May '04" xfId="131"/>
    <cellStyle name="‡_Cash Flow Revised 040213_May '04_DFB Org" xfId="132"/>
    <cellStyle name="‡_Cash Flow Revised 040213_May '04_Monthly report Pro(May 04)" xfId="133"/>
    <cellStyle name="‡_Cash Flow Revised 040213_May '04_Production(04.06)" xfId="134"/>
    <cellStyle name="‡_Cash Flow Revised 040213_May '04_Production(04.07)" xfId="135"/>
    <cellStyle name="‡_Cash Flow Revised 040213_May '04_Production(04.07)1" xfId="136"/>
    <cellStyle name="‡_Cash Flow Revised 040213_Monthly report Pro(May 04)" xfId="137"/>
    <cellStyle name="‡_Cash Flow Revised 040213_MRU LOG ANALYSIS 0604 - FINAL" xfId="138"/>
    <cellStyle name="‡_Cash Flow Revised 040213_MRU LOG ANALYSIS 0604 - FINAL_DFB Org" xfId="139"/>
    <cellStyle name="‡_Cash Flow Revised 040213_MRU LOG ANALYSIS 0704" xfId="140"/>
    <cellStyle name="‡_Cash Flow Revised 040213_MRU LOG ANALYSIS 0704_DFB Org" xfId="141"/>
    <cellStyle name="‡_Cash Flow Revised 040213_Production(04.06)" xfId="142"/>
    <cellStyle name="‡_Cash Flow Revised 040213_Production(04.07)" xfId="143"/>
    <cellStyle name="‡_Cash Flow Revised 040213_Production(04.07)1" xfId="144"/>
    <cellStyle name="‡_Cash Flow Revised 040213_Sales deduction - July'04" xfId="145"/>
    <cellStyle name="‡_Cash Flow Revised 040213_Sheet1" xfId="146"/>
    <cellStyle name="‡_COST (2)" xfId="147"/>
    <cellStyle name="‡_COST (2)_appendix 9 06041" xfId="148"/>
    <cellStyle name="‡_COST (2)_Book16" xfId="149"/>
    <cellStyle name="‡_COST (2)_Book22" xfId="150"/>
    <cellStyle name="‡_COST (2)_DFB (가동,원가,원재료April 04)" xfId="151"/>
    <cellStyle name="‡_COST (2)_DFB 040608" xfId="152"/>
    <cellStyle name="‡_COST (2)_DFB 040609" xfId="153"/>
    <cellStyle name="‡_COST (2)_DFB 040614" xfId="154"/>
    <cellStyle name="‡_COST (2)_LOG ANALYSIS 0604" xfId="155"/>
    <cellStyle name="‡_COST (2)_Manpower report Aug04" xfId="156"/>
    <cellStyle name="‡_COST (2)_Manpower report Jul04" xfId="157"/>
    <cellStyle name="‡_COST (2)_Manpower report Jun04" xfId="158"/>
    <cellStyle name="‡_COST (2)_Market Monthly Report - Jun 04" xfId="159"/>
    <cellStyle name="‡_COST (2)_Monthly report Pro(May 04)" xfId="160"/>
    <cellStyle name="‡_COST (2)_MRU LOG ANALYSIS 0604 - FINAL" xfId="161"/>
    <cellStyle name="‡_COST (2)_MRU LOG ANALYSIS 0704" xfId="162"/>
    <cellStyle name="‡_COST (2)_Production(04.06)" xfId="163"/>
    <cellStyle name="‡_COST (2)_Production(04.07)" xfId="164"/>
    <cellStyle name="‡_COST (2)_Production(04.07)1" xfId="165"/>
    <cellStyle name="‡_COST (2)_Sales deduction - July'04" xfId="166"/>
    <cellStyle name="‡_COST (2)_Sheet1" xfId="167"/>
    <cellStyle name="‡_Cost Sheet" xfId="168"/>
    <cellStyle name="‡_Cost Sheet_0805a " xfId="169"/>
    <cellStyle name="‡_Cost Sheet_0805a _ABCP Interest July 09 to Feb 2010" xfId="170"/>
    <cellStyle name="‡_Cost Sheet_0805a _CUOPON INT CP MTN" xfId="171"/>
    <cellStyle name="‡_Cost Sheet_Analysis - Direct  Selling Expenses" xfId="172"/>
    <cellStyle name="‡_Cost Sheet_Analysis - Direct  Selling Expenses_DFB Org" xfId="173"/>
    <cellStyle name="‡_Cost Sheet_appendix 9 06041" xfId="174"/>
    <cellStyle name="‡_Cost Sheet_Book1" xfId="175"/>
    <cellStyle name="‡_Cost Sheet_Book16" xfId="176"/>
    <cellStyle name="‡_Cost Sheet_Book16_1" xfId="177"/>
    <cellStyle name="‡_Cost Sheet_Book16_DFB Org" xfId="178"/>
    <cellStyle name="‡_Cost Sheet_Book16_Monthly report Pro(May 04)" xfId="179"/>
    <cellStyle name="‡_Cost Sheet_Book16_Production(04.06)" xfId="180"/>
    <cellStyle name="‡_Cost Sheet_Book16_Production(04.07)" xfId="181"/>
    <cellStyle name="‡_Cost Sheet_Book16_Production(04.07)1" xfId="182"/>
    <cellStyle name="‡_Cost Sheet_Book22" xfId="183"/>
    <cellStyle name="‡_Cost Sheet_Book27" xfId="184"/>
    <cellStyle name="‡_Cost Sheet_DFB (가동,원가,원재료April 04)" xfId="185"/>
    <cellStyle name="‡_Cost Sheet_DFB 040608" xfId="186"/>
    <cellStyle name="‡_Cost Sheet_DFB 040609" xfId="187"/>
    <cellStyle name="‡_Cost Sheet_DFB 040614" xfId="188"/>
    <cellStyle name="‡_Cost Sheet_DFB Org" xfId="189"/>
    <cellStyle name="‡_Cost Sheet_FUND FLOW JULY 2004" xfId="190"/>
    <cellStyle name="‡_Cost Sheet_FUND FLOW JULY 2004_DFB Org" xfId="191"/>
    <cellStyle name="‡_Cost Sheet_JULY 2004" xfId="192"/>
    <cellStyle name="‡_Cost Sheet_JULY 2004_DFB Org" xfId="193"/>
    <cellStyle name="‡_Cost Sheet_June '04" xfId="194"/>
    <cellStyle name="‡_Cost Sheet_June '04_DFB Org" xfId="195"/>
    <cellStyle name="‡_Cost Sheet_JUNE 2004" xfId="196"/>
    <cellStyle name="‡_Cost Sheet_JUNE 2004_DFB Org" xfId="197"/>
    <cellStyle name="‡_Cost Sheet_LOG ANALYSIS 0504" xfId="198"/>
    <cellStyle name="‡_Cost Sheet_LOG ANALYSIS 0504_DFB Org" xfId="199"/>
    <cellStyle name="‡_Cost Sheet_LOG ANALYSIS 0504_Monthly report Pro(May 04)" xfId="200"/>
    <cellStyle name="‡_Cost Sheet_LOG ANALYSIS 0504_Production(04.06)" xfId="201"/>
    <cellStyle name="‡_Cost Sheet_LOG ANALYSIS 0504_Production(04.07)" xfId="202"/>
    <cellStyle name="‡_Cost Sheet_LOG ANALYSIS 0504_Production(04.07)1" xfId="203"/>
    <cellStyle name="‡_Cost Sheet_LOG ANALYSIS 0604" xfId="204"/>
    <cellStyle name="‡_Cost Sheet_LOG ANALYSIS 0604_DFB Org" xfId="205"/>
    <cellStyle name="‡_Cost Sheet_Manpower report Aug04" xfId="206"/>
    <cellStyle name="‡_Cost Sheet_Manpower report Jul04" xfId="207"/>
    <cellStyle name="‡_Cost Sheet_Manpower report Jun04" xfId="208"/>
    <cellStyle name="‡_Cost Sheet_Market Monthly Report - Jun 04" xfId="209"/>
    <cellStyle name="‡_Cost Sheet_May '04" xfId="210"/>
    <cellStyle name="‡_Cost Sheet_May '04_DFB Org" xfId="211"/>
    <cellStyle name="‡_Cost Sheet_May '04_Monthly report Pro(May 04)" xfId="212"/>
    <cellStyle name="‡_Cost Sheet_May '04_Production(04.06)" xfId="213"/>
    <cellStyle name="‡_Cost Sheet_May '04_Production(04.07)" xfId="214"/>
    <cellStyle name="‡_Cost Sheet_May '04_Production(04.07)1" xfId="215"/>
    <cellStyle name="‡_Cost Sheet_MDF - 040905" xfId="216"/>
    <cellStyle name="‡_Cost Sheet_MDF - 040905_ABCP Interest July 09 to Feb 2010" xfId="217"/>
    <cellStyle name="‡_Cost Sheet_MDF - 040905_CUOPON INT CP MTN" xfId="218"/>
    <cellStyle name="‡_Cost Sheet_MDF 081105" xfId="219"/>
    <cellStyle name="‡_Cost Sheet_MDF 081105_ABCP Interest July 09 to Feb 2010" xfId="220"/>
    <cellStyle name="‡_Cost Sheet_MDF 081105_CUOPON INT CP MTN" xfId="221"/>
    <cellStyle name="‡_Cost Sheet_Monthly report Pro(May 04)" xfId="222"/>
    <cellStyle name="‡_Cost Sheet_MRU - 041005" xfId="223"/>
    <cellStyle name="‡_Cost Sheet_MRU - 041005_ABCP Interest July 09 to Feb 2010" xfId="224"/>
    <cellStyle name="‡_Cost Sheet_MRU - 041005_CUOPON INT CP MTN" xfId="225"/>
    <cellStyle name="‡_Cost Sheet_MRU 040805" xfId="226"/>
    <cellStyle name="‡_Cost Sheet_MRU 040805_ABCP Interest July 09 to Feb 2010" xfId="227"/>
    <cellStyle name="‡_Cost Sheet_MRU 040805_CUOPON INT CP MTN" xfId="228"/>
    <cellStyle name="‡_Cost Sheet_MRU 040905" xfId="229"/>
    <cellStyle name="‡_Cost Sheet_MRU 040905_ABCP Interest July 09 to Feb 2010" xfId="230"/>
    <cellStyle name="‡_Cost Sheet_MRU 040905_CUOPON INT CP MTN" xfId="231"/>
    <cellStyle name="‡_Cost Sheet_MRU 071105" xfId="232"/>
    <cellStyle name="‡_Cost Sheet_MRU 071105_ABCP Interest July 09 to Feb 2010" xfId="233"/>
    <cellStyle name="‡_Cost Sheet_MRU 071105_CUOPON INT CP MTN" xfId="234"/>
    <cellStyle name="‡_Cost Sheet_MRU Acc - 040705" xfId="235"/>
    <cellStyle name="‡_Cost Sheet_MRU Acc - 040705_ABCP Interest July 09 to Feb 2010" xfId="236"/>
    <cellStyle name="‡_Cost Sheet_MRU Acc - 040705_CUOPON INT CP MTN" xfId="237"/>
    <cellStyle name="‡_Cost Sheet_MRU LOG ANALYSIS 0604 - FINAL" xfId="238"/>
    <cellStyle name="‡_Cost Sheet_MRU LOG ANALYSIS 0604 - FINAL_DFB Org" xfId="239"/>
    <cellStyle name="‡_Cost Sheet_MRU LOG ANALYSIS 0704" xfId="240"/>
    <cellStyle name="‡_Cost Sheet_MRU LOG ANALYSIS 0704_DFB Org" xfId="241"/>
    <cellStyle name="‡_Cost Sheet_Production(04.06)" xfId="242"/>
    <cellStyle name="‡_Cost Sheet_Production(04.07)" xfId="243"/>
    <cellStyle name="‡_Cost Sheet_Production(04.07)1" xfId="244"/>
    <cellStyle name="‡_Cost Sheet_Sales deduction - July'04" xfId="245"/>
    <cellStyle name="‡_Cost Sheet_Sheet1" xfId="246"/>
    <cellStyle name="‡_Cost Sheet_sum con 2005" xfId="247"/>
    <cellStyle name="‡_Cost Sheet_sum con 2005_ABCP Interest July 09 to Feb 2010" xfId="248"/>
    <cellStyle name="‡_Cost Sheet_sum con 2005_CUOPON INT CP MTN" xfId="249"/>
    <cellStyle name="‡_DFB 040213" xfId="250"/>
    <cellStyle name="‡_DFB 040213_0805a " xfId="251"/>
    <cellStyle name="‡_DFB 040213_MDF - 040905" xfId="252"/>
    <cellStyle name="‡_DFB 040213_MDF 081105" xfId="253"/>
    <cellStyle name="‡_DFB 040213_MRU - 041005" xfId="254"/>
    <cellStyle name="‡_DFB 040213_MRU 040805" xfId="255"/>
    <cellStyle name="‡_DFB 040213_MRU 040905" xfId="256"/>
    <cellStyle name="‡_DFB 040213_MRU 071105" xfId="257"/>
    <cellStyle name="‡_DFB 040213_MRU Acc - 040705" xfId="258"/>
    <cellStyle name="‡_DFB Org" xfId="259"/>
    <cellStyle name="‡_MDF - 040905" xfId="260"/>
    <cellStyle name="‡_MDF - 040905_ABCP Interest July 09 to Feb 2010" xfId="261"/>
    <cellStyle name="‡_MDF - 040905_CUOPON INT CP MTN" xfId="262"/>
    <cellStyle name="‡_MDF 081105" xfId="263"/>
    <cellStyle name="‡_MDF 081105_ABCP Interest July 09 to Feb 2010" xfId="264"/>
    <cellStyle name="‡_MDF 081105_CUOPON INT CP MTN" xfId="265"/>
    <cellStyle name="‡_MRU - 041005" xfId="266"/>
    <cellStyle name="‡_MRU - 041005_ABCP Interest July 09 to Feb 2010" xfId="267"/>
    <cellStyle name="‡_MRU - 041005_CUOPON INT CP MTN" xfId="268"/>
    <cellStyle name="‡_MRU 040805" xfId="269"/>
    <cellStyle name="‡_MRU 040805_ABCP Interest July 09 to Feb 2010" xfId="270"/>
    <cellStyle name="‡_MRU 040805_CUOPON INT CP MTN" xfId="271"/>
    <cellStyle name="‡_MRU 040905" xfId="272"/>
    <cellStyle name="‡_MRU 040905_ABCP Interest July 09 to Feb 2010" xfId="273"/>
    <cellStyle name="‡_MRU 040905_CUOPON INT CP MTN" xfId="274"/>
    <cellStyle name="‡_MRU 071105" xfId="275"/>
    <cellStyle name="‡_MRU 071105_ABCP Interest July 09 to Feb 2010" xfId="276"/>
    <cellStyle name="‡_MRU 071105_CUOPON INT CP MTN" xfId="277"/>
    <cellStyle name="‡_MRU Acc - 040705" xfId="278"/>
    <cellStyle name="‡_MRU Acc - 040705_ABCP Interest July 09 to Feb 2010" xfId="279"/>
    <cellStyle name="‡_MRU Acc - 040705_CUOPON INT CP MTN" xfId="280"/>
    <cellStyle name="‡_Sales forecast nov04" xfId="281"/>
    <cellStyle name="‡_Sales forecast nov04_ABCP Interest July 09 to Feb 2010" xfId="282"/>
    <cellStyle name="‡_Sales forecast nov04_CUOPON INT CP MTN" xfId="283"/>
    <cellStyle name="‡_sum con 2005" xfId="284"/>
    <cellStyle name="" xfId="285"/>
    <cellStyle name="_060304" xfId="286"/>
    <cellStyle name="_0805a " xfId="287"/>
    <cellStyle name="_Accounts 040504" xfId="288"/>
    <cellStyle name="_Accounts 040504_07_DGI(04_09월)_03" xfId="289"/>
    <cellStyle name="_Accounts 040504_07_DGI(04_09월)_04" xfId="290"/>
    <cellStyle name="_Accounts 040504_6.자금운영계획" xfId="291"/>
    <cellStyle name="_Accounts 040504A" xfId="292"/>
    <cellStyle name="_Accounts 040504A_07_DGI(04_09월)_03" xfId="293"/>
    <cellStyle name="_Accounts 040504A_07_DGI(04_09월)_04" xfId="294"/>
    <cellStyle name="_Accounts 040504A_6.자금운영계획" xfId="295"/>
    <cellStyle name="_Accounts 060404" xfId="296"/>
    <cellStyle name="_Accounts 060404_07_DGI(04_09월)_03" xfId="297"/>
    <cellStyle name="_Accounts 060404_07_DGI(04_09월)_04" xfId="298"/>
    <cellStyle name="_Accounts 060404_6.자금운영계획" xfId="299"/>
    <cellStyle name="_COST (2)" xfId="300"/>
    <cellStyle name="_COST (2)_appendix 9 06041" xfId="301"/>
    <cellStyle name="_COST (2)_Book16" xfId="302"/>
    <cellStyle name="_COST (2)_Book22" xfId="303"/>
    <cellStyle name="_COST (2)_DFB (가동,원가,원재료April 04)" xfId="304"/>
    <cellStyle name="_COST (2)_DFB 040608" xfId="305"/>
    <cellStyle name="_COST (2)_DFB 040609" xfId="306"/>
    <cellStyle name="_COST (2)_DFB 040614" xfId="307"/>
    <cellStyle name="_COST (2)_LOG ANALYSIS 0604" xfId="308"/>
    <cellStyle name="_COST (2)_Manpower report Aug04" xfId="309"/>
    <cellStyle name="_COST (2)_Manpower report Jul04" xfId="310"/>
    <cellStyle name="_COST (2)_Manpower report Jun04" xfId="311"/>
    <cellStyle name="_COST (2)_Market Monthly Report - Jun 04" xfId="312"/>
    <cellStyle name="_COST (2)_Monthly report Pro(May 04)" xfId="313"/>
    <cellStyle name="_COST (2)_MRU LOG ANALYSIS 0604 - FINAL" xfId="314"/>
    <cellStyle name="_COST (2)_MRU LOG ANALYSIS 0704" xfId="315"/>
    <cellStyle name="_COST (2)_Production(04.06)" xfId="316"/>
    <cellStyle name="_COST (2)_Production(04.07)" xfId="317"/>
    <cellStyle name="_COST (2)_Production(04.07)1" xfId="318"/>
    <cellStyle name="_COST (2)_Sales deduction - July'04" xfId="319"/>
    <cellStyle name="_COST (2)_Sheet1" xfId="320"/>
    <cellStyle name="_MDF - 040905" xfId="321"/>
    <cellStyle name="_MDF 081105" xfId="322"/>
    <cellStyle name="_MRU - 041005" xfId="323"/>
    <cellStyle name="_MRU 040805" xfId="324"/>
    <cellStyle name="_MRU 040905" xfId="325"/>
    <cellStyle name="_MRU 071105" xfId="326"/>
    <cellStyle name="_MRU Acc - 040705" xfId="327"/>
    <cellStyle name="_sum con 2005" xfId="328"/>
    <cellStyle name="0,0_x000d__x000a_NA_x000d__x000a_" xfId="329"/>
    <cellStyle name="20% - アクセント 1" xfId="330"/>
    <cellStyle name="20% - アクセント 2" xfId="331"/>
    <cellStyle name="20% - アクセント 3" xfId="332"/>
    <cellStyle name="20% - アクセント 4" xfId="333"/>
    <cellStyle name="20% - アクセント 5" xfId="334"/>
    <cellStyle name="20% - アクセント 6" xfId="335"/>
    <cellStyle name="40% - アクセント 1" xfId="336"/>
    <cellStyle name="40% - アクセント 2" xfId="337"/>
    <cellStyle name="40% - アクセント 3" xfId="338"/>
    <cellStyle name="40% - アクセント 4" xfId="339"/>
    <cellStyle name="40% - アクセント 5" xfId="340"/>
    <cellStyle name="40% - アクセント 6" xfId="341"/>
    <cellStyle name="60% - アクセント 1" xfId="342"/>
    <cellStyle name="60% - アクセント 2" xfId="343"/>
    <cellStyle name="60% - アクセント 3" xfId="344"/>
    <cellStyle name="60% - アクセント 4" xfId="345"/>
    <cellStyle name="60% - アクセント 5" xfId="346"/>
    <cellStyle name="60% - アクセント 6" xfId="347"/>
    <cellStyle name="A¨­???? [0]_2000¨?OER " xfId="348"/>
    <cellStyle name="A¨­????_2000¨?OER " xfId="349"/>
    <cellStyle name="A¨­￠￢￠O [0]_2000¨uOER " xfId="350"/>
    <cellStyle name="A¨­¢¬¢Ò [0]_2000¨ùOER " xfId="351"/>
    <cellStyle name="A¨­￠￢￠O_2000¨uOER " xfId="352"/>
    <cellStyle name="A¨­¢¬¢Ò_2000¨ùOER " xfId="353"/>
    <cellStyle name="AeE¡? [0]_2000¨?OER " xfId="354"/>
    <cellStyle name="AeE¡?_2000¨?OER " xfId="355"/>
    <cellStyle name="AeE¡© [0]_2000¨ùOER " xfId="356"/>
    <cellStyle name="AeE¡©_2000¨ùOER " xfId="357"/>
    <cellStyle name="AeE¡ⓒ [0]_2000¨uOER " xfId="358"/>
    <cellStyle name="AeE¡ⓒ_2000¨uOER " xfId="359"/>
    <cellStyle name="args.style" xfId="360"/>
    <cellStyle name="ÄÞ¸¶ [0]_11.27(´©°è)" xfId="361"/>
    <cellStyle name="BKUP |" xfId="362"/>
    <cellStyle name="C¡?A¨ª_2000¨?OER " xfId="363"/>
    <cellStyle name="C¡IA¨ª_2000¨uOER " xfId="364"/>
    <cellStyle name="C¡ÍA¨ª_2000¨ùOER " xfId="365"/>
    <cellStyle name="C¡IA¨ª_2000¨uOER _1월채권" xfId="366"/>
    <cellStyle name="Ç¥ÁØ_11.27(´©°è)" xfId="367"/>
    <cellStyle name="Calc Currency (0)" xfId="368"/>
    <cellStyle name="category" xfId="369"/>
    <cellStyle name="ColLevel_0" xfId="370"/>
    <cellStyle name="Comma" xfId="1" builtinId="3"/>
    <cellStyle name="Comma  - Style1" xfId="371"/>
    <cellStyle name="Comma  - Style2" xfId="372"/>
    <cellStyle name="Comma  - Style3" xfId="373"/>
    <cellStyle name="Comma  - Style4" xfId="374"/>
    <cellStyle name="Comma  - Style5" xfId="375"/>
    <cellStyle name="Comma  - Style6" xfId="376"/>
    <cellStyle name="Comma  - Style7" xfId="377"/>
    <cellStyle name="Comma  - Style8" xfId="378"/>
    <cellStyle name="Comma [0] 2" xfId="379"/>
    <cellStyle name="Comma [0] 2 2" xfId="380"/>
    <cellStyle name="Comma [0] 2 3" xfId="381"/>
    <cellStyle name="Comma [0] 2 4" xfId="382"/>
    <cellStyle name="Comma [0] 2 5" xfId="383"/>
    <cellStyle name="Comma [0] 3" xfId="384"/>
    <cellStyle name="Comma [0] 3 2" xfId="385"/>
    <cellStyle name="Comma [0] 4" xfId="386"/>
    <cellStyle name="Comma [0] 4 2" xfId="387"/>
    <cellStyle name="Comma [0] 5" xfId="388"/>
    <cellStyle name="Comma 10" xfId="389"/>
    <cellStyle name="Comma 10 2" xfId="390"/>
    <cellStyle name="Comma 11" xfId="391"/>
    <cellStyle name="Comma 11 2" xfId="392"/>
    <cellStyle name="Comma 11 3" xfId="393"/>
    <cellStyle name="Comma 11 4" xfId="394"/>
    <cellStyle name="Comma 11 5" xfId="395"/>
    <cellStyle name="Comma 11 6" xfId="396"/>
    <cellStyle name="Comma 11 7" xfId="397"/>
    <cellStyle name="Comma 11 8" xfId="398"/>
    <cellStyle name="Comma 12" xfId="399"/>
    <cellStyle name="Comma 12 2" xfId="400"/>
    <cellStyle name="Comma 12 3" xfId="401"/>
    <cellStyle name="Comma 12 4" xfId="402"/>
    <cellStyle name="Comma 13" xfId="403"/>
    <cellStyle name="Comma 14 2" xfId="404"/>
    <cellStyle name="Comma 14 3" xfId="405"/>
    <cellStyle name="Comma 14 4" xfId="406"/>
    <cellStyle name="Comma 14 5" xfId="407"/>
    <cellStyle name="Comma 14 6" xfId="408"/>
    <cellStyle name="Comma 14 7" xfId="409"/>
    <cellStyle name="Comma 14 8" xfId="410"/>
    <cellStyle name="Comma 2" xfId="411"/>
    <cellStyle name="Comma 2 10" xfId="412"/>
    <cellStyle name="Comma 2 11" xfId="413"/>
    <cellStyle name="Comma 2 12" xfId="414"/>
    <cellStyle name="Comma 2 13" xfId="415"/>
    <cellStyle name="Comma 2 14" xfId="416"/>
    <cellStyle name="Comma 2 15" xfId="417"/>
    <cellStyle name="Comma 2 16" xfId="418"/>
    <cellStyle name="Comma 2 2" xfId="419"/>
    <cellStyle name="Comma 2 3" xfId="420"/>
    <cellStyle name="Comma 2 4" xfId="421"/>
    <cellStyle name="Comma 2 5" xfId="422"/>
    <cellStyle name="Comma 2 6" xfId="423"/>
    <cellStyle name="Comma 2 7" xfId="424"/>
    <cellStyle name="Comma 2 8" xfId="425"/>
    <cellStyle name="Comma 2 9" xfId="426"/>
    <cellStyle name="Comma 2_【ﾏﾚｰｼｱ】海外責任者会議6月度0629 1200" xfId="427"/>
    <cellStyle name="Comma 21 2" xfId="428"/>
    <cellStyle name="Comma 21 3" xfId="429"/>
    <cellStyle name="Comma 21 4" xfId="430"/>
    <cellStyle name="Comma 21 5" xfId="431"/>
    <cellStyle name="Comma 22 2" xfId="432"/>
    <cellStyle name="Comma 22 3" xfId="433"/>
    <cellStyle name="Comma 22 4" xfId="434"/>
    <cellStyle name="Comma 22 5" xfId="435"/>
    <cellStyle name="Comma 22 6" xfId="436"/>
    <cellStyle name="Comma 22 7" xfId="437"/>
    <cellStyle name="Comma 22 8" xfId="438"/>
    <cellStyle name="Comma 25 2" xfId="439"/>
    <cellStyle name="Comma 25 3" xfId="440"/>
    <cellStyle name="Comma 25 4" xfId="441"/>
    <cellStyle name="Comma 25 5" xfId="442"/>
    <cellStyle name="Comma 3" xfId="443"/>
    <cellStyle name="Comma 3 10" xfId="444"/>
    <cellStyle name="Comma 3 2" xfId="445"/>
    <cellStyle name="Comma 3 3" xfId="446"/>
    <cellStyle name="Comma 3 4" xfId="447"/>
    <cellStyle name="Comma 3 5" xfId="448"/>
    <cellStyle name="Comma 3 6" xfId="449"/>
    <cellStyle name="Comma 3 7" xfId="450"/>
    <cellStyle name="Comma 3 8" xfId="451"/>
    <cellStyle name="Comma 3 9" xfId="452"/>
    <cellStyle name="Comma 4" xfId="453"/>
    <cellStyle name="Comma 4 2" xfId="454"/>
    <cellStyle name="Comma 4 3" xfId="455"/>
    <cellStyle name="Comma 4 4" xfId="456"/>
    <cellStyle name="Comma 4 5" xfId="457"/>
    <cellStyle name="Comma 4 6" xfId="458"/>
    <cellStyle name="Comma 41 2" xfId="3"/>
    <cellStyle name="Comma 41 3" xfId="459"/>
    <cellStyle name="Comma 41 4" xfId="460"/>
    <cellStyle name="Comma 42 2" xfId="461"/>
    <cellStyle name="Comma 42 3" xfId="462"/>
    <cellStyle name="Comma 42 4" xfId="463"/>
    <cellStyle name="Comma 48 2" xfId="464"/>
    <cellStyle name="Comma 48 3" xfId="465"/>
    <cellStyle name="Comma 48 4" xfId="466"/>
    <cellStyle name="Comma 5" xfId="467"/>
    <cellStyle name="Comma 5 2" xfId="468"/>
    <cellStyle name="Comma 5 3" xfId="469"/>
    <cellStyle name="Comma 5 4" xfId="470"/>
    <cellStyle name="Comma 5 5" xfId="471"/>
    <cellStyle name="Comma 5 6" xfId="472"/>
    <cellStyle name="Comma 5 7" xfId="473"/>
    <cellStyle name="Comma 5 8" xfId="474"/>
    <cellStyle name="Comma 54 2" xfId="475"/>
    <cellStyle name="Comma 54 3" xfId="476"/>
    <cellStyle name="Comma 54 4" xfId="477"/>
    <cellStyle name="Comma 56 2" xfId="478"/>
    <cellStyle name="Comma 6" xfId="479"/>
    <cellStyle name="Comma 7" xfId="480"/>
    <cellStyle name="Comma 7 2" xfId="481"/>
    <cellStyle name="Comma 7 3" xfId="482"/>
    <cellStyle name="Comma 7 4" xfId="483"/>
    <cellStyle name="Comma 7 5" xfId="484"/>
    <cellStyle name="Comma 7 6" xfId="485"/>
    <cellStyle name="Comma 7 7" xfId="486"/>
    <cellStyle name="Comma 7 8" xfId="487"/>
    <cellStyle name="Comma 8" xfId="488"/>
    <cellStyle name="Comma 8 2" xfId="489"/>
    <cellStyle name="Comma 8 3" xfId="490"/>
    <cellStyle name="Comma 8 4" xfId="491"/>
    <cellStyle name="Comma 8 5" xfId="492"/>
    <cellStyle name="Comma 8 6" xfId="493"/>
    <cellStyle name="Comma 8 7" xfId="494"/>
    <cellStyle name="Comma 8 8" xfId="495"/>
    <cellStyle name="Comma 9" xfId="496"/>
    <cellStyle name="Comma 9 2" xfId="497"/>
    <cellStyle name="Comma 9 3" xfId="498"/>
    <cellStyle name="Comma 9 4" xfId="499"/>
    <cellStyle name="Comma 9 5" xfId="500"/>
    <cellStyle name="Comma 9 6" xfId="501"/>
    <cellStyle name="Comma 9 7" xfId="502"/>
    <cellStyle name="Comma 9 8" xfId="503"/>
    <cellStyle name="Comma h0]_MATERAL2" xfId="504"/>
    <cellStyle name="comma zerodec" xfId="505"/>
    <cellStyle name="command" xfId="506"/>
    <cellStyle name="Currency [0] 2" xfId="507"/>
    <cellStyle name="Currency1" xfId="508"/>
    <cellStyle name="Date" xfId="509"/>
    <cellStyle name="ddeexec" xfId="510"/>
    <cellStyle name="Dollar (zero dec)" xfId="511"/>
    <cellStyle name="Fixed" xfId="512"/>
    <cellStyle name="fuji" xfId="513"/>
    <cellStyle name="GalleryPath" xfId="514"/>
    <cellStyle name="Grey" xfId="515"/>
    <cellStyle name="Grey 2" xfId="516"/>
    <cellStyle name="Grey 3" xfId="517"/>
    <cellStyle name="Grey 4" xfId="518"/>
    <cellStyle name="Grey 5" xfId="519"/>
    <cellStyle name="Grey 6" xfId="520"/>
    <cellStyle name="Grey 7" xfId="521"/>
    <cellStyle name="Grey 8" xfId="522"/>
    <cellStyle name="Grey 9" xfId="523"/>
    <cellStyle name="HEADER" xfId="524"/>
    <cellStyle name="Header1" xfId="525"/>
    <cellStyle name="Header2" xfId="526"/>
    <cellStyle name="HEADING1" xfId="527"/>
    <cellStyle name="HEADING2" xfId="528"/>
    <cellStyle name="Hyperlink 2" xfId="529"/>
    <cellStyle name="Input [yellow]" xfId="530"/>
    <cellStyle name="Input [yellow] 2" xfId="531"/>
    <cellStyle name="Input [yellow] 3" xfId="532"/>
    <cellStyle name="Input [yellow] 4" xfId="533"/>
    <cellStyle name="Input [yellow] 5" xfId="534"/>
    <cellStyle name="Input [yellow] 6" xfId="535"/>
    <cellStyle name="Input [yellow] 7" xfId="536"/>
    <cellStyle name="Input [yellow] 8" xfId="537"/>
    <cellStyle name="Input [yellow] 9" xfId="538"/>
    <cellStyle name="KWE標準" xfId="539"/>
    <cellStyle name="lcp" xfId="540"/>
    <cellStyle name="Microsoft Excel ｸﾞﾗﾌ" xfId="541"/>
    <cellStyle name="Microsoft Excel ｼｰﾄ" xfId="542"/>
    <cellStyle name="Milliers [0]_AR1194" xfId="543"/>
    <cellStyle name="Milliers_AR1194" xfId="544"/>
    <cellStyle name="Model" xfId="545"/>
    <cellStyle name="Mon騁aire [0]_AR1194" xfId="546"/>
    <cellStyle name="Mon騁aire_AR1194" xfId="547"/>
    <cellStyle name="ms明朝9" xfId="548"/>
    <cellStyle name="no dec" xfId="549"/>
    <cellStyle name="Normal" xfId="0" builtinId="0"/>
    <cellStyle name="Normal - Style1" xfId="550"/>
    <cellStyle name="Normal - Style2" xfId="551"/>
    <cellStyle name="Normal - Style3" xfId="552"/>
    <cellStyle name="Normal - Style4" xfId="553"/>
    <cellStyle name="Normal - Style5" xfId="554"/>
    <cellStyle name="Normal - Style6" xfId="555"/>
    <cellStyle name="Normal - Style7" xfId="556"/>
    <cellStyle name="Normal - Style8" xfId="557"/>
    <cellStyle name="Normal 10" xfId="558"/>
    <cellStyle name="Normal 10 10" xfId="559"/>
    <cellStyle name="Normal 10 11" xfId="560"/>
    <cellStyle name="Normal 10 12" xfId="561"/>
    <cellStyle name="Normal 10 13" xfId="562"/>
    <cellStyle name="Normal 10 14" xfId="563"/>
    <cellStyle name="Normal 10 15" xfId="564"/>
    <cellStyle name="Normal 10 16" xfId="565"/>
    <cellStyle name="Normal 10 17" xfId="566"/>
    <cellStyle name="Normal 10 18" xfId="567"/>
    <cellStyle name="Normal 10 19" xfId="568"/>
    <cellStyle name="Normal 10 2" xfId="569"/>
    <cellStyle name="Normal 10 20" xfId="570"/>
    <cellStyle name="Normal 10 21" xfId="571"/>
    <cellStyle name="Normal 10 22" xfId="572"/>
    <cellStyle name="Normal 10 23" xfId="573"/>
    <cellStyle name="Normal 10 24" xfId="574"/>
    <cellStyle name="Normal 10 25" xfId="575"/>
    <cellStyle name="Normal 10 26" xfId="576"/>
    <cellStyle name="Normal 10 27" xfId="577"/>
    <cellStyle name="Normal 10 28" xfId="578"/>
    <cellStyle name="Normal 10 29" xfId="579"/>
    <cellStyle name="Normal 10 3" xfId="580"/>
    <cellStyle name="Normal 10 30" xfId="581"/>
    <cellStyle name="Normal 10 31" xfId="582"/>
    <cellStyle name="Normal 10 32" xfId="583"/>
    <cellStyle name="Normal 10 33" xfId="584"/>
    <cellStyle name="Normal 10 34" xfId="585"/>
    <cellStyle name="Normal 10 35" xfId="586"/>
    <cellStyle name="Normal 10 36" xfId="587"/>
    <cellStyle name="Normal 10 4" xfId="588"/>
    <cellStyle name="Normal 10 5" xfId="589"/>
    <cellStyle name="Normal 10 6" xfId="590"/>
    <cellStyle name="Normal 10 7" xfId="591"/>
    <cellStyle name="Normal 10 8" xfId="592"/>
    <cellStyle name="Normal 10 9" xfId="593"/>
    <cellStyle name="Normal 100 2" xfId="594"/>
    <cellStyle name="Normal 100 3" xfId="595"/>
    <cellStyle name="Normal 101 2" xfId="596"/>
    <cellStyle name="Normal 102 2" xfId="597"/>
    <cellStyle name="Normal 102 3" xfId="598"/>
    <cellStyle name="Normal 103 2" xfId="599"/>
    <cellStyle name="Normal 104 2" xfId="600"/>
    <cellStyle name="Normal 105 2" xfId="601"/>
    <cellStyle name="Normal 106 2" xfId="602"/>
    <cellStyle name="Normal 107 2" xfId="603"/>
    <cellStyle name="Normal 108 2" xfId="604"/>
    <cellStyle name="Normal 108 3" xfId="605"/>
    <cellStyle name="Normal 109 2" xfId="606"/>
    <cellStyle name="Normal 109 3" xfId="607"/>
    <cellStyle name="Normal 11" xfId="608"/>
    <cellStyle name="Normal 11 10" xfId="609"/>
    <cellStyle name="Normal 11 11" xfId="610"/>
    <cellStyle name="Normal 11 12" xfId="611"/>
    <cellStyle name="Normal 11 13" xfId="612"/>
    <cellStyle name="Normal 11 14" xfId="613"/>
    <cellStyle name="Normal 11 15" xfId="614"/>
    <cellStyle name="Normal 11 16" xfId="615"/>
    <cellStyle name="Normal 11 17" xfId="616"/>
    <cellStyle name="Normal 11 18" xfId="617"/>
    <cellStyle name="Normal 11 19" xfId="618"/>
    <cellStyle name="Normal 11 2" xfId="619"/>
    <cellStyle name="Normal 11 20" xfId="620"/>
    <cellStyle name="Normal 11 21" xfId="621"/>
    <cellStyle name="Normal 11 22" xfId="622"/>
    <cellStyle name="Normal 11 23" xfId="623"/>
    <cellStyle name="Normal 11 24" xfId="624"/>
    <cellStyle name="Normal 11 25" xfId="625"/>
    <cellStyle name="Normal 11 26" xfId="626"/>
    <cellStyle name="Normal 11 27" xfId="627"/>
    <cellStyle name="Normal 11 28" xfId="628"/>
    <cellStyle name="Normal 11 29" xfId="629"/>
    <cellStyle name="Normal 11 3" xfId="630"/>
    <cellStyle name="Normal 11 30" xfId="631"/>
    <cellStyle name="Normal 11 31" xfId="632"/>
    <cellStyle name="Normal 11 32" xfId="633"/>
    <cellStyle name="Normal 11 33" xfId="634"/>
    <cellStyle name="Normal 11 34" xfId="635"/>
    <cellStyle name="Normal 11 35" xfId="636"/>
    <cellStyle name="Normal 11 36" xfId="637"/>
    <cellStyle name="Normal 11 4" xfId="638"/>
    <cellStyle name="Normal 11 5" xfId="639"/>
    <cellStyle name="Normal 11 6" xfId="640"/>
    <cellStyle name="Normal 11 7" xfId="641"/>
    <cellStyle name="Normal 11 8" xfId="642"/>
    <cellStyle name="Normal 11 9" xfId="643"/>
    <cellStyle name="Normal 110 2" xfId="644"/>
    <cellStyle name="Normal 111" xfId="645"/>
    <cellStyle name="Normal 111 10" xfId="646"/>
    <cellStyle name="Normal 111 11" xfId="647"/>
    <cellStyle name="Normal 111 12" xfId="648"/>
    <cellStyle name="Normal 111 13" xfId="649"/>
    <cellStyle name="Normal 111 2" xfId="650"/>
    <cellStyle name="Normal 111 2 2" xfId="651"/>
    <cellStyle name="Normal 111 2 3" xfId="652"/>
    <cellStyle name="Normal 111 2 4" xfId="653"/>
    <cellStyle name="Normal 111 2 5" xfId="654"/>
    <cellStyle name="Normal 111 2 6" xfId="655"/>
    <cellStyle name="Normal 111 2 7" xfId="656"/>
    <cellStyle name="Normal 111 2 8" xfId="657"/>
    <cellStyle name="Normal 111 2 9" xfId="658"/>
    <cellStyle name="Normal 111 3" xfId="659"/>
    <cellStyle name="Normal 111 4" xfId="660"/>
    <cellStyle name="Normal 111 5" xfId="661"/>
    <cellStyle name="Normal 111 6" xfId="662"/>
    <cellStyle name="Normal 111 7" xfId="663"/>
    <cellStyle name="Normal 111 8" xfId="664"/>
    <cellStyle name="Normal 111 9" xfId="665"/>
    <cellStyle name="Normal 113 2" xfId="666"/>
    <cellStyle name="Normal 114 10" xfId="667"/>
    <cellStyle name="Normal 114 11" xfId="668"/>
    <cellStyle name="Normal 114 12" xfId="669"/>
    <cellStyle name="Normal 114 13" xfId="670"/>
    <cellStyle name="Normal 114 2" xfId="671"/>
    <cellStyle name="Normal 114 3" xfId="672"/>
    <cellStyle name="Normal 114 4" xfId="673"/>
    <cellStyle name="Normal 114 5" xfId="674"/>
    <cellStyle name="Normal 114 6" xfId="675"/>
    <cellStyle name="Normal 114 7" xfId="676"/>
    <cellStyle name="Normal 114 8" xfId="677"/>
    <cellStyle name="Normal 114 9" xfId="678"/>
    <cellStyle name="Normal 115 2" xfId="679"/>
    <cellStyle name="Normal 115 2 2" xfId="680"/>
    <cellStyle name="Normal 115 2 3" xfId="681"/>
    <cellStyle name="Normal 115 2 4" xfId="682"/>
    <cellStyle name="Normal 115 2 5" xfId="683"/>
    <cellStyle name="Normal 115 2 6" xfId="684"/>
    <cellStyle name="Normal 115 2 7" xfId="685"/>
    <cellStyle name="Normal 115 2 8" xfId="686"/>
    <cellStyle name="Normal 115 2 9" xfId="687"/>
    <cellStyle name="Normal 115 3" xfId="688"/>
    <cellStyle name="Normal 115 4" xfId="689"/>
    <cellStyle name="Normal 115 5" xfId="690"/>
    <cellStyle name="Normal 115 6" xfId="691"/>
    <cellStyle name="Normal 116 2" xfId="692"/>
    <cellStyle name="Normal 117 2" xfId="693"/>
    <cellStyle name="Normal 117 2 2" xfId="694"/>
    <cellStyle name="Normal 117 2 3" xfId="695"/>
    <cellStyle name="Normal 117 2 4" xfId="696"/>
    <cellStyle name="Normal 117 2 5" xfId="697"/>
    <cellStyle name="Normal 117 2 6" xfId="698"/>
    <cellStyle name="Normal 117 2 7" xfId="699"/>
    <cellStyle name="Normal 117 2 8" xfId="700"/>
    <cellStyle name="Normal 117 2 9" xfId="701"/>
    <cellStyle name="Normal 117 3" xfId="702"/>
    <cellStyle name="Normal 117 4" xfId="703"/>
    <cellStyle name="Normal 117 5" xfId="704"/>
    <cellStyle name="Normal 117 6" xfId="705"/>
    <cellStyle name="Normal 119 10" xfId="706"/>
    <cellStyle name="Normal 119 2" xfId="707"/>
    <cellStyle name="Normal 119 3" xfId="708"/>
    <cellStyle name="Normal 119 4" xfId="709"/>
    <cellStyle name="Normal 119 5" xfId="710"/>
    <cellStyle name="Normal 119 6" xfId="711"/>
    <cellStyle name="Normal 119 7" xfId="712"/>
    <cellStyle name="Normal 119 8" xfId="713"/>
    <cellStyle name="Normal 119 9" xfId="714"/>
    <cellStyle name="Normal 12" xfId="715"/>
    <cellStyle name="Normal 120 2" xfId="716"/>
    <cellStyle name="Normal 120 3" xfId="717"/>
    <cellStyle name="Normal 120 4" xfId="718"/>
    <cellStyle name="Normal 120 5" xfId="719"/>
    <cellStyle name="Normal 120 6" xfId="720"/>
    <cellStyle name="Normal 120 7" xfId="721"/>
    <cellStyle name="Normal 120 8" xfId="722"/>
    <cellStyle name="Normal 120 9" xfId="723"/>
    <cellStyle name="Normal 121 2" xfId="724"/>
    <cellStyle name="Normal 122" xfId="725"/>
    <cellStyle name="Normal 122 2" xfId="726"/>
    <cellStyle name="Normal 122 3" xfId="727"/>
    <cellStyle name="Normal 122 4" xfId="728"/>
    <cellStyle name="Normal 122 5" xfId="729"/>
    <cellStyle name="Normal 122 6" xfId="730"/>
    <cellStyle name="Normal 122 7" xfId="731"/>
    <cellStyle name="Normal 122 8" xfId="732"/>
    <cellStyle name="Normal 122 9" xfId="733"/>
    <cellStyle name="Normal 123" xfId="734"/>
    <cellStyle name="Normal 123 10" xfId="735"/>
    <cellStyle name="Normal 123 2" xfId="736"/>
    <cellStyle name="Normal 123 3" xfId="737"/>
    <cellStyle name="Normal 123 4" xfId="738"/>
    <cellStyle name="Normal 123 5" xfId="739"/>
    <cellStyle name="Normal 123 6" xfId="740"/>
    <cellStyle name="Normal 123 7" xfId="741"/>
    <cellStyle name="Normal 123 8" xfId="742"/>
    <cellStyle name="Normal 123 9" xfId="743"/>
    <cellStyle name="Normal 124" xfId="744"/>
    <cellStyle name="Normal 124 2" xfId="745"/>
    <cellStyle name="Normal 124 3" xfId="746"/>
    <cellStyle name="Normal 124 4" xfId="747"/>
    <cellStyle name="Normal 124 5" xfId="748"/>
    <cellStyle name="Normal 124 6" xfId="749"/>
    <cellStyle name="Normal 124 7" xfId="750"/>
    <cellStyle name="Normal 124 8" xfId="751"/>
    <cellStyle name="Normal 124 9" xfId="752"/>
    <cellStyle name="Normal 125" xfId="753"/>
    <cellStyle name="Normal 125 10" xfId="754"/>
    <cellStyle name="Normal 125 2" xfId="755"/>
    <cellStyle name="Normal 125 3" xfId="756"/>
    <cellStyle name="Normal 125 4" xfId="757"/>
    <cellStyle name="Normal 125 5" xfId="758"/>
    <cellStyle name="Normal 125 6" xfId="759"/>
    <cellStyle name="Normal 125 7" xfId="760"/>
    <cellStyle name="Normal 125 8" xfId="761"/>
    <cellStyle name="Normal 125 9" xfId="762"/>
    <cellStyle name="Normal 126 2" xfId="763"/>
    <cellStyle name="Normal 126 3" xfId="764"/>
    <cellStyle name="Normal 127" xfId="765"/>
    <cellStyle name="Normal 127 10" xfId="766"/>
    <cellStyle name="Normal 127 2" xfId="767"/>
    <cellStyle name="Normal 127 3" xfId="768"/>
    <cellStyle name="Normal 127 4" xfId="769"/>
    <cellStyle name="Normal 127 5" xfId="770"/>
    <cellStyle name="Normal 127 6" xfId="771"/>
    <cellStyle name="Normal 127 7" xfId="772"/>
    <cellStyle name="Normal 127 8" xfId="773"/>
    <cellStyle name="Normal 127 9" xfId="774"/>
    <cellStyle name="Normal 128 2" xfId="775"/>
    <cellStyle name="Normal 128 3" xfId="776"/>
    <cellStyle name="Normal 129 2" xfId="777"/>
    <cellStyle name="Normal 129 3" xfId="778"/>
    <cellStyle name="Normal 129 4" xfId="779"/>
    <cellStyle name="Normal 129 5" xfId="780"/>
    <cellStyle name="Normal 129 6" xfId="781"/>
    <cellStyle name="Normal 129 7" xfId="782"/>
    <cellStyle name="Normal 129 8" xfId="783"/>
    <cellStyle name="Normal 13" xfId="784"/>
    <cellStyle name="Normal 13 10" xfId="785"/>
    <cellStyle name="Normal 13 11" xfId="786"/>
    <cellStyle name="Normal 13 12" xfId="787"/>
    <cellStyle name="Normal 13 13" xfId="788"/>
    <cellStyle name="Normal 13 14" xfId="789"/>
    <cellStyle name="Normal 13 15" xfId="790"/>
    <cellStyle name="Normal 13 16" xfId="791"/>
    <cellStyle name="Normal 13 17" xfId="792"/>
    <cellStyle name="Normal 13 18" xfId="793"/>
    <cellStyle name="Normal 13 19" xfId="794"/>
    <cellStyle name="Normal 13 2" xfId="795"/>
    <cellStyle name="Normal 13 20" xfId="796"/>
    <cellStyle name="Normal 13 21" xfId="797"/>
    <cellStyle name="Normal 13 22" xfId="798"/>
    <cellStyle name="Normal 13 23" xfId="799"/>
    <cellStyle name="Normal 13 24" xfId="800"/>
    <cellStyle name="Normal 13 25" xfId="801"/>
    <cellStyle name="Normal 13 26" xfId="802"/>
    <cellStyle name="Normal 13 27" xfId="803"/>
    <cellStyle name="Normal 13 28" xfId="804"/>
    <cellStyle name="Normal 13 29" xfId="805"/>
    <cellStyle name="Normal 13 3" xfId="806"/>
    <cellStyle name="Normal 13 30" xfId="807"/>
    <cellStyle name="Normal 13 31" xfId="808"/>
    <cellStyle name="Normal 13 32" xfId="809"/>
    <cellStyle name="Normal 13 33" xfId="810"/>
    <cellStyle name="Normal 13 34" xfId="811"/>
    <cellStyle name="Normal 13 35" xfId="812"/>
    <cellStyle name="Normal 13 36" xfId="813"/>
    <cellStyle name="Normal 13 4" xfId="814"/>
    <cellStyle name="Normal 13 5" xfId="815"/>
    <cellStyle name="Normal 13 6" xfId="816"/>
    <cellStyle name="Normal 13 7" xfId="817"/>
    <cellStyle name="Normal 13 8" xfId="818"/>
    <cellStyle name="Normal 13 9" xfId="819"/>
    <cellStyle name="Normal 130 2" xfId="820"/>
    <cellStyle name="Normal 130 3" xfId="821"/>
    <cellStyle name="Normal 131 2" xfId="822"/>
    <cellStyle name="Normal 131 3" xfId="823"/>
    <cellStyle name="Normal 132 2" xfId="824"/>
    <cellStyle name="Normal 132 3" xfId="825"/>
    <cellStyle name="Normal 132 4" xfId="826"/>
    <cellStyle name="Normal 133 2" xfId="827"/>
    <cellStyle name="Normal 133 3" xfId="828"/>
    <cellStyle name="Normal 133 4" xfId="829"/>
    <cellStyle name="Normal 133 5" xfId="830"/>
    <cellStyle name="Normal 133 6" xfId="831"/>
    <cellStyle name="Normal 134 2" xfId="832"/>
    <cellStyle name="Normal 135" xfId="833"/>
    <cellStyle name="Normal 135 2" xfId="834"/>
    <cellStyle name="Normal 137 2" xfId="835"/>
    <cellStyle name="Normal 14" xfId="836"/>
    <cellStyle name="Normal 14 10" xfId="837"/>
    <cellStyle name="Normal 14 11" xfId="838"/>
    <cellStyle name="Normal 14 12" xfId="839"/>
    <cellStyle name="Normal 14 13" xfId="840"/>
    <cellStyle name="Normal 14 14" xfId="841"/>
    <cellStyle name="Normal 14 15" xfId="842"/>
    <cellStyle name="Normal 14 16" xfId="843"/>
    <cellStyle name="Normal 14 17" xfId="844"/>
    <cellStyle name="Normal 14 18" xfId="845"/>
    <cellStyle name="Normal 14 19" xfId="846"/>
    <cellStyle name="Normal 14 2" xfId="847"/>
    <cellStyle name="Normal 14 20" xfId="848"/>
    <cellStyle name="Normal 14 21" xfId="849"/>
    <cellStyle name="Normal 14 22" xfId="850"/>
    <cellStyle name="Normal 14 23" xfId="851"/>
    <cellStyle name="Normal 14 24" xfId="852"/>
    <cellStyle name="Normal 14 25" xfId="853"/>
    <cellStyle name="Normal 14 26" xfId="854"/>
    <cellStyle name="Normal 14 27" xfId="855"/>
    <cellStyle name="Normal 14 28" xfId="856"/>
    <cellStyle name="Normal 14 29" xfId="857"/>
    <cellStyle name="Normal 14 3" xfId="858"/>
    <cellStyle name="Normal 14 30" xfId="859"/>
    <cellStyle name="Normal 14 31" xfId="860"/>
    <cellStyle name="Normal 14 32" xfId="861"/>
    <cellStyle name="Normal 14 33" xfId="862"/>
    <cellStyle name="Normal 14 34" xfId="863"/>
    <cellStyle name="Normal 14 35" xfId="864"/>
    <cellStyle name="Normal 14 36" xfId="865"/>
    <cellStyle name="Normal 14 4" xfId="866"/>
    <cellStyle name="Normal 14 5" xfId="867"/>
    <cellStyle name="Normal 14 6" xfId="868"/>
    <cellStyle name="Normal 14 7" xfId="869"/>
    <cellStyle name="Normal 14 8" xfId="870"/>
    <cellStyle name="Normal 14 9" xfId="871"/>
    <cellStyle name="Normal 140 2" xfId="872"/>
    <cellStyle name="Normal 142 2" xfId="873"/>
    <cellStyle name="Normal 15" xfId="874"/>
    <cellStyle name="Normal 15 2" xfId="875"/>
    <cellStyle name="Normal 15 3" xfId="876"/>
    <cellStyle name="Normal 15 4" xfId="877"/>
    <cellStyle name="Normal 15 5" xfId="878"/>
    <cellStyle name="Normal 15 6" xfId="879"/>
    <cellStyle name="Normal 15 7" xfId="880"/>
    <cellStyle name="Normal 15 8" xfId="881"/>
    <cellStyle name="Normal 159 2" xfId="882"/>
    <cellStyle name="Normal 159 3" xfId="883"/>
    <cellStyle name="Normal 159 4" xfId="884"/>
    <cellStyle name="Normal 16" xfId="885"/>
    <cellStyle name="Normal 160 2" xfId="886"/>
    <cellStyle name="Normal 160 3" xfId="887"/>
    <cellStyle name="Normal 160 4" xfId="888"/>
    <cellStyle name="Normal 166 2" xfId="889"/>
    <cellStyle name="Normal 166 3" xfId="890"/>
    <cellStyle name="Normal 166 4" xfId="891"/>
    <cellStyle name="Normal 17" xfId="892"/>
    <cellStyle name="Normal 18" xfId="893"/>
    <cellStyle name="Normal 18 10" xfId="894"/>
    <cellStyle name="Normal 18 11" xfId="895"/>
    <cellStyle name="Normal 18 12" xfId="896"/>
    <cellStyle name="Normal 18 13" xfId="897"/>
    <cellStyle name="Normal 18 14" xfId="898"/>
    <cellStyle name="Normal 18 15" xfId="899"/>
    <cellStyle name="Normal 18 16" xfId="900"/>
    <cellStyle name="Normal 18 17" xfId="901"/>
    <cellStyle name="Normal 18 18" xfId="902"/>
    <cellStyle name="Normal 18 19" xfId="903"/>
    <cellStyle name="Normal 18 2" xfId="904"/>
    <cellStyle name="Normal 18 20" xfId="905"/>
    <cellStyle name="Normal 18 21" xfId="906"/>
    <cellStyle name="Normal 18 22" xfId="907"/>
    <cellStyle name="Normal 18 23" xfId="908"/>
    <cellStyle name="Normal 18 24" xfId="909"/>
    <cellStyle name="Normal 18 25" xfId="910"/>
    <cellStyle name="Normal 18 26" xfId="911"/>
    <cellStyle name="Normal 18 27" xfId="912"/>
    <cellStyle name="Normal 18 28" xfId="913"/>
    <cellStyle name="Normal 18 29" xfId="914"/>
    <cellStyle name="Normal 18 3" xfId="915"/>
    <cellStyle name="Normal 18 30" xfId="916"/>
    <cellStyle name="Normal 18 31" xfId="917"/>
    <cellStyle name="Normal 18 32" xfId="918"/>
    <cellStyle name="Normal 18 33" xfId="919"/>
    <cellStyle name="Normal 18 34" xfId="920"/>
    <cellStyle name="Normal 18 35" xfId="921"/>
    <cellStyle name="Normal 18 36" xfId="922"/>
    <cellStyle name="Normal 18 4" xfId="923"/>
    <cellStyle name="Normal 18 5" xfId="924"/>
    <cellStyle name="Normal 18 6" xfId="925"/>
    <cellStyle name="Normal 18 7" xfId="926"/>
    <cellStyle name="Normal 18 8" xfId="927"/>
    <cellStyle name="Normal 18 9" xfId="928"/>
    <cellStyle name="Normal 19" xfId="929"/>
    <cellStyle name="Normal 19 10" xfId="930"/>
    <cellStyle name="Normal 19 11" xfId="931"/>
    <cellStyle name="Normal 19 12" xfId="932"/>
    <cellStyle name="Normal 19 13" xfId="933"/>
    <cellStyle name="Normal 19 14" xfId="934"/>
    <cellStyle name="Normal 19 15" xfId="935"/>
    <cellStyle name="Normal 19 16" xfId="936"/>
    <cellStyle name="Normal 19 17" xfId="937"/>
    <cellStyle name="Normal 19 18" xfId="938"/>
    <cellStyle name="Normal 19 19" xfId="939"/>
    <cellStyle name="Normal 19 2" xfId="940"/>
    <cellStyle name="Normal 19 20" xfId="941"/>
    <cellStyle name="Normal 19 21" xfId="942"/>
    <cellStyle name="Normal 19 22" xfId="943"/>
    <cellStyle name="Normal 19 23" xfId="944"/>
    <cellStyle name="Normal 19 24" xfId="945"/>
    <cellStyle name="Normal 19 25" xfId="946"/>
    <cellStyle name="Normal 19 26" xfId="947"/>
    <cellStyle name="Normal 19 27" xfId="948"/>
    <cellStyle name="Normal 19 28" xfId="949"/>
    <cellStyle name="Normal 19 29" xfId="950"/>
    <cellStyle name="Normal 19 3" xfId="951"/>
    <cellStyle name="Normal 19 4" xfId="952"/>
    <cellStyle name="Normal 19 5" xfId="953"/>
    <cellStyle name="Normal 19 6" xfId="954"/>
    <cellStyle name="Normal 19 7" xfId="955"/>
    <cellStyle name="Normal 19 8" xfId="956"/>
    <cellStyle name="Normal 19 9" xfId="957"/>
    <cellStyle name="Normal 2" xfId="958"/>
    <cellStyle name="Normal 2 10" xfId="959"/>
    <cellStyle name="Normal 2 10 10" xfId="960"/>
    <cellStyle name="Normal 2 10 10 2" xfId="961"/>
    <cellStyle name="Normal 2 10 11" xfId="962"/>
    <cellStyle name="Normal 2 10 11 2" xfId="963"/>
    <cellStyle name="Normal 2 10 12" xfId="964"/>
    <cellStyle name="Normal 2 10 12 2" xfId="965"/>
    <cellStyle name="Normal 2 10 13" xfId="966"/>
    <cellStyle name="Normal 2 10 13 2" xfId="967"/>
    <cellStyle name="Normal 2 10 14" xfId="968"/>
    <cellStyle name="Normal 2 10 14 2" xfId="969"/>
    <cellStyle name="Normal 2 10 15" xfId="970"/>
    <cellStyle name="Normal 2 10 15 2" xfId="971"/>
    <cellStyle name="Normal 2 10 16" xfId="972"/>
    <cellStyle name="Normal 2 10 17" xfId="973"/>
    <cellStyle name="Normal 2 10 18" xfId="974"/>
    <cellStyle name="Normal 2 10 19" xfId="975"/>
    <cellStyle name="Normal 2 10 2" xfId="976"/>
    <cellStyle name="Normal 2 10 20" xfId="977"/>
    <cellStyle name="Normal 2 10 21" xfId="978"/>
    <cellStyle name="Normal 2 10 22" xfId="979"/>
    <cellStyle name="Normal 2 10 23" xfId="980"/>
    <cellStyle name="Normal 2 10 24" xfId="981"/>
    <cellStyle name="Normal 2 10 25" xfId="982"/>
    <cellStyle name="Normal 2 10 26" xfId="983"/>
    <cellStyle name="Normal 2 10 27" xfId="984"/>
    <cellStyle name="Normal 2 10 28" xfId="985"/>
    <cellStyle name="Normal 2 10 29" xfId="986"/>
    <cellStyle name="Normal 2 10 3" xfId="987"/>
    <cellStyle name="Normal 2 10 30" xfId="988"/>
    <cellStyle name="Normal 2 10 31" xfId="989"/>
    <cellStyle name="Normal 2 10 32" xfId="990"/>
    <cellStyle name="Normal 2 10 33" xfId="991"/>
    <cellStyle name="Normal 2 10 34" xfId="992"/>
    <cellStyle name="Normal 2 10 35" xfId="993"/>
    <cellStyle name="Normal 2 10 36" xfId="994"/>
    <cellStyle name="Normal 2 10 37" xfId="995"/>
    <cellStyle name="Normal 2 10 38" xfId="996"/>
    <cellStyle name="Normal 2 10 39" xfId="997"/>
    <cellStyle name="Normal 2 10 4" xfId="998"/>
    <cellStyle name="Normal 2 10 5" xfId="999"/>
    <cellStyle name="Normal 2 10 6" xfId="1000"/>
    <cellStyle name="Normal 2 10 7" xfId="1001"/>
    <cellStyle name="Normal 2 10 8" xfId="1002"/>
    <cellStyle name="Normal 2 10 9" xfId="1003"/>
    <cellStyle name="Normal 2 10 9 2" xfId="1004"/>
    <cellStyle name="Normal 2 11" xfId="1005"/>
    <cellStyle name="Normal 2 11 10" xfId="1006"/>
    <cellStyle name="Normal 2 11 10 2" xfId="1007"/>
    <cellStyle name="Normal 2 11 11" xfId="1008"/>
    <cellStyle name="Normal 2 11 11 2" xfId="1009"/>
    <cellStyle name="Normal 2 11 12" xfId="1010"/>
    <cellStyle name="Normal 2 11 12 2" xfId="1011"/>
    <cellStyle name="Normal 2 11 13" xfId="1012"/>
    <cellStyle name="Normal 2 11 13 2" xfId="1013"/>
    <cellStyle name="Normal 2 11 14" xfId="1014"/>
    <cellStyle name="Normal 2 11 14 2" xfId="1015"/>
    <cellStyle name="Normal 2 11 15" xfId="1016"/>
    <cellStyle name="Normal 2 11 15 2" xfId="1017"/>
    <cellStyle name="Normal 2 11 16" xfId="1018"/>
    <cellStyle name="Normal 2 11 17" xfId="1019"/>
    <cellStyle name="Normal 2 11 18" xfId="1020"/>
    <cellStyle name="Normal 2 11 19" xfId="1021"/>
    <cellStyle name="Normal 2 11 2" xfId="1022"/>
    <cellStyle name="Normal 2 11 20" xfId="1023"/>
    <cellStyle name="Normal 2 11 21" xfId="1024"/>
    <cellStyle name="Normal 2 11 22" xfId="1025"/>
    <cellStyle name="Normal 2 11 23" xfId="1026"/>
    <cellStyle name="Normal 2 11 24" xfId="1027"/>
    <cellStyle name="Normal 2 11 25" xfId="1028"/>
    <cellStyle name="Normal 2 11 26" xfId="1029"/>
    <cellStyle name="Normal 2 11 27" xfId="1030"/>
    <cellStyle name="Normal 2 11 28" xfId="1031"/>
    <cellStyle name="Normal 2 11 29" xfId="1032"/>
    <cellStyle name="Normal 2 11 3" xfId="1033"/>
    <cellStyle name="Normal 2 11 30" xfId="1034"/>
    <cellStyle name="Normal 2 11 31" xfId="1035"/>
    <cellStyle name="Normal 2 11 32" xfId="1036"/>
    <cellStyle name="Normal 2 11 33" xfId="1037"/>
    <cellStyle name="Normal 2 11 34" xfId="1038"/>
    <cellStyle name="Normal 2 11 35" xfId="1039"/>
    <cellStyle name="Normal 2 11 36" xfId="1040"/>
    <cellStyle name="Normal 2 11 37" xfId="1041"/>
    <cellStyle name="Normal 2 11 38" xfId="1042"/>
    <cellStyle name="Normal 2 11 39" xfId="1043"/>
    <cellStyle name="Normal 2 11 4" xfId="1044"/>
    <cellStyle name="Normal 2 11 5" xfId="1045"/>
    <cellStyle name="Normal 2 11 6" xfId="1046"/>
    <cellStyle name="Normal 2 11 7" xfId="1047"/>
    <cellStyle name="Normal 2 11 8" xfId="1048"/>
    <cellStyle name="Normal 2 11 9" xfId="1049"/>
    <cellStyle name="Normal 2 11 9 2" xfId="1050"/>
    <cellStyle name="Normal 2 12" xfId="1051"/>
    <cellStyle name="Normal 2 12 10" xfId="1052"/>
    <cellStyle name="Normal 2 12 10 2" xfId="1053"/>
    <cellStyle name="Normal 2 12 11" xfId="1054"/>
    <cellStyle name="Normal 2 12 11 2" xfId="1055"/>
    <cellStyle name="Normal 2 12 12" xfId="1056"/>
    <cellStyle name="Normal 2 12 12 2" xfId="1057"/>
    <cellStyle name="Normal 2 12 13" xfId="1058"/>
    <cellStyle name="Normal 2 12 13 2" xfId="1059"/>
    <cellStyle name="Normal 2 12 14" xfId="1060"/>
    <cellStyle name="Normal 2 12 14 2" xfId="1061"/>
    <cellStyle name="Normal 2 12 15" xfId="1062"/>
    <cellStyle name="Normal 2 12 15 2" xfId="1063"/>
    <cellStyle name="Normal 2 12 16" xfId="1064"/>
    <cellStyle name="Normal 2 12 17" xfId="1065"/>
    <cellStyle name="Normal 2 12 18" xfId="1066"/>
    <cellStyle name="Normal 2 12 19" xfId="1067"/>
    <cellStyle name="Normal 2 12 2" xfId="1068"/>
    <cellStyle name="Normal 2 12 20" xfId="1069"/>
    <cellStyle name="Normal 2 12 21" xfId="1070"/>
    <cellStyle name="Normal 2 12 22" xfId="1071"/>
    <cellStyle name="Normal 2 12 23" xfId="1072"/>
    <cellStyle name="Normal 2 12 24" xfId="1073"/>
    <cellStyle name="Normal 2 12 25" xfId="1074"/>
    <cellStyle name="Normal 2 12 26" xfId="1075"/>
    <cellStyle name="Normal 2 12 27" xfId="1076"/>
    <cellStyle name="Normal 2 12 28" xfId="1077"/>
    <cellStyle name="Normal 2 12 29" xfId="1078"/>
    <cellStyle name="Normal 2 12 3" xfId="1079"/>
    <cellStyle name="Normal 2 12 30" xfId="1080"/>
    <cellStyle name="Normal 2 12 31" xfId="1081"/>
    <cellStyle name="Normal 2 12 32" xfId="1082"/>
    <cellStyle name="Normal 2 12 33" xfId="1083"/>
    <cellStyle name="Normal 2 12 34" xfId="1084"/>
    <cellStyle name="Normal 2 12 35" xfId="1085"/>
    <cellStyle name="Normal 2 12 36" xfId="1086"/>
    <cellStyle name="Normal 2 12 37" xfId="1087"/>
    <cellStyle name="Normal 2 12 38" xfId="1088"/>
    <cellStyle name="Normal 2 12 39" xfId="1089"/>
    <cellStyle name="Normal 2 12 4" xfId="1090"/>
    <cellStyle name="Normal 2 12 5" xfId="1091"/>
    <cellStyle name="Normal 2 12 6" xfId="1092"/>
    <cellStyle name="Normal 2 12 7" xfId="1093"/>
    <cellStyle name="Normal 2 12 8" xfId="1094"/>
    <cellStyle name="Normal 2 12 9" xfId="1095"/>
    <cellStyle name="Normal 2 12 9 2" xfId="1096"/>
    <cellStyle name="Normal 2 13" xfId="1097"/>
    <cellStyle name="Normal 2 13 10" xfId="1098"/>
    <cellStyle name="Normal 2 13 10 2" xfId="1099"/>
    <cellStyle name="Normal 2 13 11" xfId="1100"/>
    <cellStyle name="Normal 2 13 11 2" xfId="1101"/>
    <cellStyle name="Normal 2 13 12" xfId="1102"/>
    <cellStyle name="Normal 2 13 12 2" xfId="1103"/>
    <cellStyle name="Normal 2 13 13" xfId="1104"/>
    <cellStyle name="Normal 2 13 13 2" xfId="1105"/>
    <cellStyle name="Normal 2 13 14" xfId="1106"/>
    <cellStyle name="Normal 2 13 14 2" xfId="1107"/>
    <cellStyle name="Normal 2 13 15" xfId="1108"/>
    <cellStyle name="Normal 2 13 15 2" xfId="1109"/>
    <cellStyle name="Normal 2 13 16" xfId="1110"/>
    <cellStyle name="Normal 2 13 17" xfId="1111"/>
    <cellStyle name="Normal 2 13 18" xfId="1112"/>
    <cellStyle name="Normal 2 13 19" xfId="1113"/>
    <cellStyle name="Normal 2 13 2" xfId="1114"/>
    <cellStyle name="Normal 2 13 20" xfId="1115"/>
    <cellStyle name="Normal 2 13 21" xfId="1116"/>
    <cellStyle name="Normal 2 13 22" xfId="1117"/>
    <cellStyle name="Normal 2 13 23" xfId="1118"/>
    <cellStyle name="Normal 2 13 24" xfId="1119"/>
    <cellStyle name="Normal 2 13 25" xfId="1120"/>
    <cellStyle name="Normal 2 13 26" xfId="1121"/>
    <cellStyle name="Normal 2 13 27" xfId="1122"/>
    <cellStyle name="Normal 2 13 28" xfId="1123"/>
    <cellStyle name="Normal 2 13 29" xfId="1124"/>
    <cellStyle name="Normal 2 13 3" xfId="1125"/>
    <cellStyle name="Normal 2 13 30" xfId="1126"/>
    <cellStyle name="Normal 2 13 31" xfId="1127"/>
    <cellStyle name="Normal 2 13 32" xfId="1128"/>
    <cellStyle name="Normal 2 13 33" xfId="1129"/>
    <cellStyle name="Normal 2 13 34" xfId="1130"/>
    <cellStyle name="Normal 2 13 35" xfId="1131"/>
    <cellStyle name="Normal 2 13 36" xfId="1132"/>
    <cellStyle name="Normal 2 13 37" xfId="1133"/>
    <cellStyle name="Normal 2 13 38" xfId="1134"/>
    <cellStyle name="Normal 2 13 39" xfId="1135"/>
    <cellStyle name="Normal 2 13 4" xfId="1136"/>
    <cellStyle name="Normal 2 13 5" xfId="1137"/>
    <cellStyle name="Normal 2 13 6" xfId="1138"/>
    <cellStyle name="Normal 2 13 7" xfId="1139"/>
    <cellStyle name="Normal 2 13 8" xfId="1140"/>
    <cellStyle name="Normal 2 13 9" xfId="1141"/>
    <cellStyle name="Normal 2 13 9 2" xfId="1142"/>
    <cellStyle name="Normal 2 14" xfId="1143"/>
    <cellStyle name="Normal 2 14 10" xfId="1144"/>
    <cellStyle name="Normal 2 14 10 2" xfId="1145"/>
    <cellStyle name="Normal 2 14 11" xfId="1146"/>
    <cellStyle name="Normal 2 14 11 2" xfId="1147"/>
    <cellStyle name="Normal 2 14 12" xfId="1148"/>
    <cellStyle name="Normal 2 14 12 2" xfId="1149"/>
    <cellStyle name="Normal 2 14 13" xfId="1150"/>
    <cellStyle name="Normal 2 14 13 2" xfId="1151"/>
    <cellStyle name="Normal 2 14 14" xfId="1152"/>
    <cellStyle name="Normal 2 14 14 2" xfId="1153"/>
    <cellStyle name="Normal 2 14 15" xfId="1154"/>
    <cellStyle name="Normal 2 14 15 2" xfId="1155"/>
    <cellStyle name="Normal 2 14 16" xfId="1156"/>
    <cellStyle name="Normal 2 14 17" xfId="1157"/>
    <cellStyle name="Normal 2 14 18" xfId="1158"/>
    <cellStyle name="Normal 2 14 19" xfId="1159"/>
    <cellStyle name="Normal 2 14 2" xfId="1160"/>
    <cellStyle name="Normal 2 14 20" xfId="1161"/>
    <cellStyle name="Normal 2 14 21" xfId="1162"/>
    <cellStyle name="Normal 2 14 22" xfId="1163"/>
    <cellStyle name="Normal 2 14 23" xfId="1164"/>
    <cellStyle name="Normal 2 14 24" xfId="1165"/>
    <cellStyle name="Normal 2 14 25" xfId="1166"/>
    <cellStyle name="Normal 2 14 26" xfId="1167"/>
    <cellStyle name="Normal 2 14 27" xfId="1168"/>
    <cellStyle name="Normal 2 14 28" xfId="1169"/>
    <cellStyle name="Normal 2 14 29" xfId="1170"/>
    <cellStyle name="Normal 2 14 3" xfId="1171"/>
    <cellStyle name="Normal 2 14 30" xfId="1172"/>
    <cellStyle name="Normal 2 14 31" xfId="1173"/>
    <cellStyle name="Normal 2 14 32" xfId="1174"/>
    <cellStyle name="Normal 2 14 33" xfId="1175"/>
    <cellStyle name="Normal 2 14 34" xfId="1176"/>
    <cellStyle name="Normal 2 14 35" xfId="1177"/>
    <cellStyle name="Normal 2 14 36" xfId="1178"/>
    <cellStyle name="Normal 2 14 37" xfId="1179"/>
    <cellStyle name="Normal 2 14 38" xfId="1180"/>
    <cellStyle name="Normal 2 14 39" xfId="1181"/>
    <cellStyle name="Normal 2 14 4" xfId="1182"/>
    <cellStyle name="Normal 2 14 5" xfId="1183"/>
    <cellStyle name="Normal 2 14 6" xfId="1184"/>
    <cellStyle name="Normal 2 14 7" xfId="1185"/>
    <cellStyle name="Normal 2 14 8" xfId="1186"/>
    <cellStyle name="Normal 2 14 9" xfId="1187"/>
    <cellStyle name="Normal 2 14 9 2" xfId="1188"/>
    <cellStyle name="Normal 2 15" xfId="1189"/>
    <cellStyle name="Normal 2 15 10" xfId="1190"/>
    <cellStyle name="Normal 2 15 10 2" xfId="1191"/>
    <cellStyle name="Normal 2 15 11" xfId="1192"/>
    <cellStyle name="Normal 2 15 11 2" xfId="1193"/>
    <cellStyle name="Normal 2 15 12" xfId="1194"/>
    <cellStyle name="Normal 2 15 12 2" xfId="1195"/>
    <cellStyle name="Normal 2 15 13" xfId="1196"/>
    <cellStyle name="Normal 2 15 13 2" xfId="1197"/>
    <cellStyle name="Normal 2 15 14" xfId="1198"/>
    <cellStyle name="Normal 2 15 14 2" xfId="1199"/>
    <cellStyle name="Normal 2 15 15" xfId="1200"/>
    <cellStyle name="Normal 2 15 15 2" xfId="1201"/>
    <cellStyle name="Normal 2 15 16" xfId="1202"/>
    <cellStyle name="Normal 2 15 17" xfId="1203"/>
    <cellStyle name="Normal 2 15 18" xfId="1204"/>
    <cellStyle name="Normal 2 15 19" xfId="1205"/>
    <cellStyle name="Normal 2 15 2" xfId="1206"/>
    <cellStyle name="Normal 2 15 20" xfId="1207"/>
    <cellStyle name="Normal 2 15 21" xfId="1208"/>
    <cellStyle name="Normal 2 15 22" xfId="1209"/>
    <cellStyle name="Normal 2 15 23" xfId="1210"/>
    <cellStyle name="Normal 2 15 24" xfId="1211"/>
    <cellStyle name="Normal 2 15 25" xfId="1212"/>
    <cellStyle name="Normal 2 15 26" xfId="1213"/>
    <cellStyle name="Normal 2 15 27" xfId="1214"/>
    <cellStyle name="Normal 2 15 28" xfId="1215"/>
    <cellStyle name="Normal 2 15 29" xfId="1216"/>
    <cellStyle name="Normal 2 15 3" xfId="1217"/>
    <cellStyle name="Normal 2 15 30" xfId="1218"/>
    <cellStyle name="Normal 2 15 31" xfId="1219"/>
    <cellStyle name="Normal 2 15 32" xfId="1220"/>
    <cellStyle name="Normal 2 15 33" xfId="1221"/>
    <cellStyle name="Normal 2 15 34" xfId="1222"/>
    <cellStyle name="Normal 2 15 35" xfId="1223"/>
    <cellStyle name="Normal 2 15 36" xfId="1224"/>
    <cellStyle name="Normal 2 15 37" xfId="1225"/>
    <cellStyle name="Normal 2 15 38" xfId="1226"/>
    <cellStyle name="Normal 2 15 39" xfId="1227"/>
    <cellStyle name="Normal 2 15 4" xfId="1228"/>
    <cellStyle name="Normal 2 15 5" xfId="1229"/>
    <cellStyle name="Normal 2 15 6" xfId="1230"/>
    <cellStyle name="Normal 2 15 7" xfId="1231"/>
    <cellStyle name="Normal 2 15 8" xfId="1232"/>
    <cellStyle name="Normal 2 15 9" xfId="1233"/>
    <cellStyle name="Normal 2 15 9 2" xfId="1234"/>
    <cellStyle name="Normal 2 16" xfId="1235"/>
    <cellStyle name="Normal 2 16 10" xfId="1236"/>
    <cellStyle name="Normal 2 16 10 2" xfId="1237"/>
    <cellStyle name="Normal 2 16 11" xfId="1238"/>
    <cellStyle name="Normal 2 16 11 2" xfId="1239"/>
    <cellStyle name="Normal 2 16 12" xfId="1240"/>
    <cellStyle name="Normal 2 16 12 2" xfId="1241"/>
    <cellStyle name="Normal 2 16 13" xfId="1242"/>
    <cellStyle name="Normal 2 16 13 2" xfId="1243"/>
    <cellStyle name="Normal 2 16 14" xfId="1244"/>
    <cellStyle name="Normal 2 16 14 2" xfId="1245"/>
    <cellStyle name="Normal 2 16 15" xfId="1246"/>
    <cellStyle name="Normal 2 16 15 2" xfId="1247"/>
    <cellStyle name="Normal 2 16 16" xfId="1248"/>
    <cellStyle name="Normal 2 16 17" xfId="1249"/>
    <cellStyle name="Normal 2 16 18" xfId="1250"/>
    <cellStyle name="Normal 2 16 19" xfId="1251"/>
    <cellStyle name="Normal 2 16 2" xfId="1252"/>
    <cellStyle name="Normal 2 16 20" xfId="1253"/>
    <cellStyle name="Normal 2 16 21" xfId="1254"/>
    <cellStyle name="Normal 2 16 22" xfId="1255"/>
    <cellStyle name="Normal 2 16 23" xfId="1256"/>
    <cellStyle name="Normal 2 16 24" xfId="1257"/>
    <cellStyle name="Normal 2 16 25" xfId="1258"/>
    <cellStyle name="Normal 2 16 26" xfId="1259"/>
    <cellStyle name="Normal 2 16 27" xfId="1260"/>
    <cellStyle name="Normal 2 16 28" xfId="1261"/>
    <cellStyle name="Normal 2 16 29" xfId="1262"/>
    <cellStyle name="Normal 2 16 3" xfId="1263"/>
    <cellStyle name="Normal 2 16 30" xfId="1264"/>
    <cellStyle name="Normal 2 16 31" xfId="1265"/>
    <cellStyle name="Normal 2 16 32" xfId="1266"/>
    <cellStyle name="Normal 2 16 33" xfId="1267"/>
    <cellStyle name="Normal 2 16 34" xfId="1268"/>
    <cellStyle name="Normal 2 16 35" xfId="1269"/>
    <cellStyle name="Normal 2 16 36" xfId="1270"/>
    <cellStyle name="Normal 2 16 37" xfId="1271"/>
    <cellStyle name="Normal 2 16 38" xfId="1272"/>
    <cellStyle name="Normal 2 16 39" xfId="1273"/>
    <cellStyle name="Normal 2 16 4" xfId="1274"/>
    <cellStyle name="Normal 2 16 5" xfId="1275"/>
    <cellStyle name="Normal 2 16 6" xfId="1276"/>
    <cellStyle name="Normal 2 16 7" xfId="1277"/>
    <cellStyle name="Normal 2 16 8" xfId="1278"/>
    <cellStyle name="Normal 2 16 9" xfId="1279"/>
    <cellStyle name="Normal 2 16 9 2" xfId="1280"/>
    <cellStyle name="Normal 2 17" xfId="1281"/>
    <cellStyle name="Normal 2 17 10" xfId="1282"/>
    <cellStyle name="Normal 2 17 10 2" xfId="1283"/>
    <cellStyle name="Normal 2 17 11" xfId="1284"/>
    <cellStyle name="Normal 2 17 11 2" xfId="1285"/>
    <cellStyle name="Normal 2 17 12" xfId="1286"/>
    <cellStyle name="Normal 2 17 12 2" xfId="1287"/>
    <cellStyle name="Normal 2 17 13" xfId="1288"/>
    <cellStyle name="Normal 2 17 13 2" xfId="1289"/>
    <cellStyle name="Normal 2 17 14" xfId="1290"/>
    <cellStyle name="Normal 2 17 14 2" xfId="1291"/>
    <cellStyle name="Normal 2 17 15" xfId="1292"/>
    <cellStyle name="Normal 2 17 15 2" xfId="1293"/>
    <cellStyle name="Normal 2 17 16" xfId="1294"/>
    <cellStyle name="Normal 2 17 17" xfId="1295"/>
    <cellStyle name="Normal 2 17 18" xfId="1296"/>
    <cellStyle name="Normal 2 17 19" xfId="1297"/>
    <cellStyle name="Normal 2 17 2" xfId="1298"/>
    <cellStyle name="Normal 2 17 20" xfId="1299"/>
    <cellStyle name="Normal 2 17 21" xfId="1300"/>
    <cellStyle name="Normal 2 17 22" xfId="1301"/>
    <cellStyle name="Normal 2 17 23" xfId="1302"/>
    <cellStyle name="Normal 2 17 24" xfId="1303"/>
    <cellStyle name="Normal 2 17 25" xfId="1304"/>
    <cellStyle name="Normal 2 17 26" xfId="1305"/>
    <cellStyle name="Normal 2 17 27" xfId="1306"/>
    <cellStyle name="Normal 2 17 28" xfId="1307"/>
    <cellStyle name="Normal 2 17 29" xfId="1308"/>
    <cellStyle name="Normal 2 17 3" xfId="1309"/>
    <cellStyle name="Normal 2 17 30" xfId="1310"/>
    <cellStyle name="Normal 2 17 31" xfId="1311"/>
    <cellStyle name="Normal 2 17 32" xfId="1312"/>
    <cellStyle name="Normal 2 17 33" xfId="1313"/>
    <cellStyle name="Normal 2 17 34" xfId="1314"/>
    <cellStyle name="Normal 2 17 35" xfId="1315"/>
    <cellStyle name="Normal 2 17 36" xfId="1316"/>
    <cellStyle name="Normal 2 17 37" xfId="1317"/>
    <cellStyle name="Normal 2 17 38" xfId="1318"/>
    <cellStyle name="Normal 2 17 39" xfId="1319"/>
    <cellStyle name="Normal 2 17 4" xfId="1320"/>
    <cellStyle name="Normal 2 17 5" xfId="1321"/>
    <cellStyle name="Normal 2 17 6" xfId="1322"/>
    <cellStyle name="Normal 2 17 7" xfId="1323"/>
    <cellStyle name="Normal 2 17 8" xfId="1324"/>
    <cellStyle name="Normal 2 17 9" xfId="1325"/>
    <cellStyle name="Normal 2 17 9 2" xfId="1326"/>
    <cellStyle name="Normal 2 18" xfId="1327"/>
    <cellStyle name="Normal 2 18 10" xfId="1328"/>
    <cellStyle name="Normal 2 18 10 2" xfId="1329"/>
    <cellStyle name="Normal 2 18 11" xfId="1330"/>
    <cellStyle name="Normal 2 18 11 2" xfId="1331"/>
    <cellStyle name="Normal 2 18 12" xfId="1332"/>
    <cellStyle name="Normal 2 18 12 2" xfId="1333"/>
    <cellStyle name="Normal 2 18 13" xfId="1334"/>
    <cellStyle name="Normal 2 18 13 2" xfId="1335"/>
    <cellStyle name="Normal 2 18 14" xfId="1336"/>
    <cellStyle name="Normal 2 18 14 2" xfId="1337"/>
    <cellStyle name="Normal 2 18 15" xfId="1338"/>
    <cellStyle name="Normal 2 18 15 2" xfId="1339"/>
    <cellStyle name="Normal 2 18 16" xfId="1340"/>
    <cellStyle name="Normal 2 18 17" xfId="1341"/>
    <cellStyle name="Normal 2 18 18" xfId="1342"/>
    <cellStyle name="Normal 2 18 19" xfId="1343"/>
    <cellStyle name="Normal 2 18 2" xfId="1344"/>
    <cellStyle name="Normal 2 18 20" xfId="1345"/>
    <cellStyle name="Normal 2 18 21" xfId="1346"/>
    <cellStyle name="Normal 2 18 22" xfId="1347"/>
    <cellStyle name="Normal 2 18 23" xfId="1348"/>
    <cellStyle name="Normal 2 18 24" xfId="1349"/>
    <cellStyle name="Normal 2 18 25" xfId="1350"/>
    <cellStyle name="Normal 2 18 26" xfId="1351"/>
    <cellStyle name="Normal 2 18 27" xfId="1352"/>
    <cellStyle name="Normal 2 18 28" xfId="1353"/>
    <cellStyle name="Normal 2 18 29" xfId="1354"/>
    <cellStyle name="Normal 2 18 3" xfId="1355"/>
    <cellStyle name="Normal 2 18 30" xfId="1356"/>
    <cellStyle name="Normal 2 18 31" xfId="1357"/>
    <cellStyle name="Normal 2 18 32" xfId="1358"/>
    <cellStyle name="Normal 2 18 33" xfId="1359"/>
    <cellStyle name="Normal 2 18 34" xfId="1360"/>
    <cellStyle name="Normal 2 18 35" xfId="1361"/>
    <cellStyle name="Normal 2 18 36" xfId="1362"/>
    <cellStyle name="Normal 2 18 37" xfId="1363"/>
    <cellStyle name="Normal 2 18 38" xfId="1364"/>
    <cellStyle name="Normal 2 18 39" xfId="1365"/>
    <cellStyle name="Normal 2 18 4" xfId="1366"/>
    <cellStyle name="Normal 2 18 5" xfId="1367"/>
    <cellStyle name="Normal 2 18 6" xfId="1368"/>
    <cellStyle name="Normal 2 18 7" xfId="1369"/>
    <cellStyle name="Normal 2 18 8" xfId="1370"/>
    <cellStyle name="Normal 2 18 9" xfId="1371"/>
    <cellStyle name="Normal 2 18 9 2" xfId="1372"/>
    <cellStyle name="Normal 2 19" xfId="1373"/>
    <cellStyle name="Normal 2 19 10" xfId="1374"/>
    <cellStyle name="Normal 2 19 10 2" xfId="1375"/>
    <cellStyle name="Normal 2 19 11" xfId="1376"/>
    <cellStyle name="Normal 2 19 11 2" xfId="1377"/>
    <cellStyle name="Normal 2 19 12" xfId="1378"/>
    <cellStyle name="Normal 2 19 12 2" xfId="1379"/>
    <cellStyle name="Normal 2 19 13" xfId="1380"/>
    <cellStyle name="Normal 2 19 13 2" xfId="1381"/>
    <cellStyle name="Normal 2 19 14" xfId="1382"/>
    <cellStyle name="Normal 2 19 14 2" xfId="1383"/>
    <cellStyle name="Normal 2 19 15" xfId="1384"/>
    <cellStyle name="Normal 2 19 15 2" xfId="1385"/>
    <cellStyle name="Normal 2 19 16" xfId="1386"/>
    <cellStyle name="Normal 2 19 17" xfId="1387"/>
    <cellStyle name="Normal 2 19 18" xfId="1388"/>
    <cellStyle name="Normal 2 19 19" xfId="1389"/>
    <cellStyle name="Normal 2 19 2" xfId="1390"/>
    <cellStyle name="Normal 2 19 20" xfId="1391"/>
    <cellStyle name="Normal 2 19 21" xfId="1392"/>
    <cellStyle name="Normal 2 19 22" xfId="1393"/>
    <cellStyle name="Normal 2 19 23" xfId="1394"/>
    <cellStyle name="Normal 2 19 24" xfId="1395"/>
    <cellStyle name="Normal 2 19 25" xfId="1396"/>
    <cellStyle name="Normal 2 19 26" xfId="1397"/>
    <cellStyle name="Normal 2 19 27" xfId="1398"/>
    <cellStyle name="Normal 2 19 28" xfId="1399"/>
    <cellStyle name="Normal 2 19 29" xfId="1400"/>
    <cellStyle name="Normal 2 19 3" xfId="1401"/>
    <cellStyle name="Normal 2 19 30" xfId="1402"/>
    <cellStyle name="Normal 2 19 31" xfId="1403"/>
    <cellStyle name="Normal 2 19 32" xfId="1404"/>
    <cellStyle name="Normal 2 19 33" xfId="1405"/>
    <cellStyle name="Normal 2 19 34" xfId="1406"/>
    <cellStyle name="Normal 2 19 35" xfId="1407"/>
    <cellStyle name="Normal 2 19 36" xfId="1408"/>
    <cellStyle name="Normal 2 19 37" xfId="1409"/>
    <cellStyle name="Normal 2 19 38" xfId="1410"/>
    <cellStyle name="Normal 2 19 39" xfId="1411"/>
    <cellStyle name="Normal 2 19 4" xfId="1412"/>
    <cellStyle name="Normal 2 19 5" xfId="1413"/>
    <cellStyle name="Normal 2 19 6" xfId="1414"/>
    <cellStyle name="Normal 2 19 7" xfId="1415"/>
    <cellStyle name="Normal 2 19 8" xfId="1416"/>
    <cellStyle name="Normal 2 19 9" xfId="1417"/>
    <cellStyle name="Normal 2 19 9 2" xfId="1418"/>
    <cellStyle name="Normal 2 2" xfId="1419"/>
    <cellStyle name="Normal 2 2 10" xfId="1420"/>
    <cellStyle name="Normal 2 2 11" xfId="1421"/>
    <cellStyle name="Normal 2 2 12" xfId="1422"/>
    <cellStyle name="Normal 2 2 13" xfId="1423"/>
    <cellStyle name="Normal 2 2 14" xfId="1424"/>
    <cellStyle name="Normal 2 2 15" xfId="1425"/>
    <cellStyle name="Normal 2 2 16" xfId="1426"/>
    <cellStyle name="Normal 2 2 17" xfId="1427"/>
    <cellStyle name="Normal 2 2 18" xfId="1428"/>
    <cellStyle name="Normal 2 2 19" xfId="1429"/>
    <cellStyle name="Normal 2 2 2" xfId="1430"/>
    <cellStyle name="Normal 2 2 2 10" xfId="1431"/>
    <cellStyle name="Normal 2 2 2 10 2" xfId="1432"/>
    <cellStyle name="Normal 2 2 2 10 3" xfId="1433"/>
    <cellStyle name="Normal 2 2 2 10 4" xfId="1434"/>
    <cellStyle name="Normal 2 2 2 10 5" xfId="1435"/>
    <cellStyle name="Normal 2 2 2 10 6" xfId="1436"/>
    <cellStyle name="Normal 2 2 2 11" xfId="1437"/>
    <cellStyle name="Normal 2 2 2 12" xfId="1438"/>
    <cellStyle name="Normal 2 2 2 13" xfId="1439"/>
    <cellStyle name="Normal 2 2 2 14" xfId="1440"/>
    <cellStyle name="Normal 2 2 2 14 2" xfId="1441"/>
    <cellStyle name="Normal 2 2 2 14 3" xfId="1442"/>
    <cellStyle name="Normal 2 2 2 14 4" xfId="1443"/>
    <cellStyle name="Normal 2 2 2 14 5" xfId="1444"/>
    <cellStyle name="Normal 2 2 2 14 6" xfId="1445"/>
    <cellStyle name="Normal 2 2 2 14 7" xfId="1446"/>
    <cellStyle name="Normal 2 2 2 14 8" xfId="1447"/>
    <cellStyle name="Normal 2 2 2 14 9" xfId="1448"/>
    <cellStyle name="Normal 2 2 2 15" xfId="1449"/>
    <cellStyle name="Normal 2 2 2 15 2" xfId="1450"/>
    <cellStyle name="Normal 2 2 2 15 3" xfId="1451"/>
    <cellStyle name="Normal 2 2 2 15 4" xfId="1452"/>
    <cellStyle name="Normal 2 2 2 15 5" xfId="1453"/>
    <cellStyle name="Normal 2 2 2 15 6" xfId="1454"/>
    <cellStyle name="Normal 2 2 2 15 7" xfId="1455"/>
    <cellStyle name="Normal 2 2 2 15 8" xfId="1456"/>
    <cellStyle name="Normal 2 2 2 15 9" xfId="1457"/>
    <cellStyle name="Normal 2 2 2 16" xfId="1458"/>
    <cellStyle name="Normal 2 2 2 17" xfId="1459"/>
    <cellStyle name="Normal 2 2 2 18" xfId="1460"/>
    <cellStyle name="Normal 2 2 2 19" xfId="1461"/>
    <cellStyle name="Normal 2 2 2 2" xfId="1462"/>
    <cellStyle name="Normal 2 2 2 2 10" xfId="1463"/>
    <cellStyle name="Normal 2 2 2 2 10 2" xfId="1464"/>
    <cellStyle name="Normal 2 2 2 2 10 3" xfId="1465"/>
    <cellStyle name="Normal 2 2 2 2 10 4" xfId="1466"/>
    <cellStyle name="Normal 2 2 2 2 10 5" xfId="1467"/>
    <cellStyle name="Normal 2 2 2 2 10 6" xfId="1468"/>
    <cellStyle name="Normal 2 2 2 2 10 7" xfId="1469"/>
    <cellStyle name="Normal 2 2 2 2 10 8" xfId="1470"/>
    <cellStyle name="Normal 2 2 2 2 10 9" xfId="1471"/>
    <cellStyle name="Normal 2 2 2 2 11" xfId="1472"/>
    <cellStyle name="Normal 2 2 2 2 11 2" xfId="1473"/>
    <cellStyle name="Normal 2 2 2 2 11 3" xfId="1474"/>
    <cellStyle name="Normal 2 2 2 2 11 4" xfId="1475"/>
    <cellStyle name="Normal 2 2 2 2 11 5" xfId="1476"/>
    <cellStyle name="Normal 2 2 2 2 11 6" xfId="1477"/>
    <cellStyle name="Normal 2 2 2 2 11 7" xfId="1478"/>
    <cellStyle name="Normal 2 2 2 2 11 8" xfId="1479"/>
    <cellStyle name="Normal 2 2 2 2 11 9" xfId="1480"/>
    <cellStyle name="Normal 2 2 2 2 12" xfId="1481"/>
    <cellStyle name="Normal 2 2 2 2 12 2" xfId="1482"/>
    <cellStyle name="Normal 2 2 2 2 12 3" xfId="1483"/>
    <cellStyle name="Normal 2 2 2 2 12 4" xfId="1484"/>
    <cellStyle name="Normal 2 2 2 2 12 5" xfId="1485"/>
    <cellStyle name="Normal 2 2 2 2 12 6" xfId="1486"/>
    <cellStyle name="Normal 2 2 2 2 12 7" xfId="1487"/>
    <cellStyle name="Normal 2 2 2 2 12 8" xfId="1488"/>
    <cellStyle name="Normal 2 2 2 2 12 9" xfId="1489"/>
    <cellStyle name="Normal 2 2 2 2 13" xfId="1490"/>
    <cellStyle name="Normal 2 2 2 2 13 2" xfId="1491"/>
    <cellStyle name="Normal 2 2 2 2 13 3" xfId="1492"/>
    <cellStyle name="Normal 2 2 2 2 13 4" xfId="1493"/>
    <cellStyle name="Normal 2 2 2 2 13 5" xfId="1494"/>
    <cellStyle name="Normal 2 2 2 2 13 6" xfId="1495"/>
    <cellStyle name="Normal 2 2 2 2 13 7" xfId="1496"/>
    <cellStyle name="Normal 2 2 2 2 13 8" xfId="1497"/>
    <cellStyle name="Normal 2 2 2 2 13 9" xfId="1498"/>
    <cellStyle name="Normal 2 2 2 2 14" xfId="1499"/>
    <cellStyle name="Normal 2 2 2 2 14 2" xfId="1500"/>
    <cellStyle name="Normal 2 2 2 2 14 3" xfId="1501"/>
    <cellStyle name="Normal 2 2 2 2 14 4" xfId="1502"/>
    <cellStyle name="Normal 2 2 2 2 14 5" xfId="1503"/>
    <cellStyle name="Normal 2 2 2 2 14 6" xfId="1504"/>
    <cellStyle name="Normal 2 2 2 2 14 7" xfId="1505"/>
    <cellStyle name="Normal 2 2 2 2 14 8" xfId="1506"/>
    <cellStyle name="Normal 2 2 2 2 14 9" xfId="1507"/>
    <cellStyle name="Normal 2 2 2 2 15" xfId="1508"/>
    <cellStyle name="Normal 2 2 2 2 16" xfId="1509"/>
    <cellStyle name="Normal 2 2 2 2 17" xfId="1510"/>
    <cellStyle name="Normal 2 2 2 2 18" xfId="1511"/>
    <cellStyle name="Normal 2 2 2 2 19" xfId="1512"/>
    <cellStyle name="Normal 2 2 2 2 2" xfId="1513"/>
    <cellStyle name="Normal 2 2 2 2 2 10" xfId="1514"/>
    <cellStyle name="Normal 2 2 2 2 2 10 2" xfId="1515"/>
    <cellStyle name="Normal 2 2 2 2 2 10 3" xfId="1516"/>
    <cellStyle name="Normal 2 2 2 2 2 10 4" xfId="1517"/>
    <cellStyle name="Normal 2 2 2 2 2 10 5" xfId="1518"/>
    <cellStyle name="Normal 2 2 2 2 2 10 6" xfId="1519"/>
    <cellStyle name="Normal 2 2 2 2 2 10 7" xfId="1520"/>
    <cellStyle name="Normal 2 2 2 2 2 10 8" xfId="1521"/>
    <cellStyle name="Normal 2 2 2 2 2 10 9" xfId="1522"/>
    <cellStyle name="Normal 2 2 2 2 2 11" xfId="1523"/>
    <cellStyle name="Normal 2 2 2 2 2 11 2" xfId="1524"/>
    <cellStyle name="Normal 2 2 2 2 2 11 3" xfId="1525"/>
    <cellStyle name="Normal 2 2 2 2 2 11 4" xfId="1526"/>
    <cellStyle name="Normal 2 2 2 2 2 11 5" xfId="1527"/>
    <cellStyle name="Normal 2 2 2 2 2 11 6" xfId="1528"/>
    <cellStyle name="Normal 2 2 2 2 2 11 7" xfId="1529"/>
    <cellStyle name="Normal 2 2 2 2 2 11 8" xfId="1530"/>
    <cellStyle name="Normal 2 2 2 2 2 11 9" xfId="1531"/>
    <cellStyle name="Normal 2 2 2 2 2 12" xfId="1532"/>
    <cellStyle name="Normal 2 2 2 2 2 12 2" xfId="1533"/>
    <cellStyle name="Normal 2 2 2 2 2 12 3" xfId="1534"/>
    <cellStyle name="Normal 2 2 2 2 2 12 4" xfId="1535"/>
    <cellStyle name="Normal 2 2 2 2 2 12 5" xfId="1536"/>
    <cellStyle name="Normal 2 2 2 2 2 12 6" xfId="1537"/>
    <cellStyle name="Normal 2 2 2 2 2 12 7" xfId="1538"/>
    <cellStyle name="Normal 2 2 2 2 2 12 8" xfId="1539"/>
    <cellStyle name="Normal 2 2 2 2 2 12 9" xfId="1540"/>
    <cellStyle name="Normal 2 2 2 2 2 13" xfId="1541"/>
    <cellStyle name="Normal 2 2 2 2 2 14" xfId="1542"/>
    <cellStyle name="Normal 2 2 2 2 2 15" xfId="1543"/>
    <cellStyle name="Normal 2 2 2 2 2 16" xfId="1544"/>
    <cellStyle name="Normal 2 2 2 2 2 17" xfId="1545"/>
    <cellStyle name="Normal 2 2 2 2 2 18" xfId="1546"/>
    <cellStyle name="Normal 2 2 2 2 2 19" xfId="1547"/>
    <cellStyle name="Normal 2 2 2 2 2 2" xfId="1548"/>
    <cellStyle name="Normal 2 2 2 2 2 2 10" xfId="1549"/>
    <cellStyle name="Normal 2 2 2 2 2 2 10 2" xfId="1550"/>
    <cellStyle name="Normal 2 2 2 2 2 2 10 3" xfId="1551"/>
    <cellStyle name="Normal 2 2 2 2 2 2 10 4" xfId="1552"/>
    <cellStyle name="Normal 2 2 2 2 2 2 10 5" xfId="1553"/>
    <cellStyle name="Normal 2 2 2 2 2 2 10 6" xfId="1554"/>
    <cellStyle name="Normal 2 2 2 2 2 2 10 7" xfId="1555"/>
    <cellStyle name="Normal 2 2 2 2 2 2 10 8" xfId="1556"/>
    <cellStyle name="Normal 2 2 2 2 2 2 10 9" xfId="1557"/>
    <cellStyle name="Normal 2 2 2 2 2 2 11" xfId="1558"/>
    <cellStyle name="Normal 2 2 2 2 2 2 11 2" xfId="1559"/>
    <cellStyle name="Normal 2 2 2 2 2 2 11 3" xfId="1560"/>
    <cellStyle name="Normal 2 2 2 2 2 2 11 4" xfId="1561"/>
    <cellStyle name="Normal 2 2 2 2 2 2 11 5" xfId="1562"/>
    <cellStyle name="Normal 2 2 2 2 2 2 11 6" xfId="1563"/>
    <cellStyle name="Normal 2 2 2 2 2 2 11 7" xfId="1564"/>
    <cellStyle name="Normal 2 2 2 2 2 2 11 8" xfId="1565"/>
    <cellStyle name="Normal 2 2 2 2 2 2 11 9" xfId="1566"/>
    <cellStyle name="Normal 2 2 2 2 2 2 12" xfId="1567"/>
    <cellStyle name="Normal 2 2 2 2 2 2 12 2" xfId="1568"/>
    <cellStyle name="Normal 2 2 2 2 2 2 12 3" xfId="1569"/>
    <cellStyle name="Normal 2 2 2 2 2 2 12 4" xfId="1570"/>
    <cellStyle name="Normal 2 2 2 2 2 2 12 5" xfId="1571"/>
    <cellStyle name="Normal 2 2 2 2 2 2 12 6" xfId="1572"/>
    <cellStyle name="Normal 2 2 2 2 2 2 12 7" xfId="1573"/>
    <cellStyle name="Normal 2 2 2 2 2 2 12 8" xfId="1574"/>
    <cellStyle name="Normal 2 2 2 2 2 2 12 9" xfId="1575"/>
    <cellStyle name="Normal 2 2 2 2 2 2 13" xfId="1576"/>
    <cellStyle name="Normal 2 2 2 2 2 2 14" xfId="1577"/>
    <cellStyle name="Normal 2 2 2 2 2 2 15" xfId="1578"/>
    <cellStyle name="Normal 2 2 2 2 2 2 16" xfId="1579"/>
    <cellStyle name="Normal 2 2 2 2 2 2 17" xfId="1580"/>
    <cellStyle name="Normal 2 2 2 2 2 2 18" xfId="1581"/>
    <cellStyle name="Normal 2 2 2 2 2 2 19" xfId="1582"/>
    <cellStyle name="Normal 2 2 2 2 2 2 2" xfId="1583"/>
    <cellStyle name="Normal 2 2 2 2 2 2 2 10" xfId="1584"/>
    <cellStyle name="Normal 2 2 2 2 2 2 2 11" xfId="1585"/>
    <cellStyle name="Normal 2 2 2 2 2 2 2 12" xfId="1586"/>
    <cellStyle name="Normal 2 2 2 2 2 2 2 13" xfId="1587"/>
    <cellStyle name="Normal 2 2 2 2 2 2 2 14" xfId="1588"/>
    <cellStyle name="Normal 2 2 2 2 2 2 2 15" xfId="1589"/>
    <cellStyle name="Normal 2 2 2 2 2 2 2 16" xfId="1590"/>
    <cellStyle name="Normal 2 2 2 2 2 2 2 17" xfId="1591"/>
    <cellStyle name="Normal 2 2 2 2 2 2 2 18" xfId="1592"/>
    <cellStyle name="Normal 2 2 2 2 2 2 2 19" xfId="1593"/>
    <cellStyle name="Normal 2 2 2 2 2 2 2 2" xfId="1594"/>
    <cellStyle name="Normal 2 2 2 2 2 2 2 2 10" xfId="1595"/>
    <cellStyle name="Normal 2 2 2 2 2 2 2 2 11" xfId="1596"/>
    <cellStyle name="Normal 2 2 2 2 2 2 2 2 12" xfId="1597"/>
    <cellStyle name="Normal 2 2 2 2 2 2 2 2 13" xfId="1598"/>
    <cellStyle name="Normal 2 2 2 2 2 2 2 2 2" xfId="1599"/>
    <cellStyle name="Normal 2 2 2 2 2 2 2 2 2 2" xfId="1600"/>
    <cellStyle name="Normal 2 2 2 2 2 2 2 2 2 3" xfId="1601"/>
    <cellStyle name="Normal 2 2 2 2 2 2 2 2 2 4" xfId="1602"/>
    <cellStyle name="Normal 2 2 2 2 2 2 2 2 2 5" xfId="1603"/>
    <cellStyle name="Normal 2 2 2 2 2 2 2 2 2 6" xfId="1604"/>
    <cellStyle name="Normal 2 2 2 2 2 2 2 2 2 7" xfId="1605"/>
    <cellStyle name="Normal 2 2 2 2 2 2 2 2 2 8" xfId="1606"/>
    <cellStyle name="Normal 2 2 2 2 2 2 2 2 2 9" xfId="1607"/>
    <cellStyle name="Normal 2 2 2 2 2 2 2 2 3" xfId="1608"/>
    <cellStyle name="Normal 2 2 2 2 2 2 2 2 4" xfId="1609"/>
    <cellStyle name="Normal 2 2 2 2 2 2 2 2 5" xfId="1610"/>
    <cellStyle name="Normal 2 2 2 2 2 2 2 2 6" xfId="1611"/>
    <cellStyle name="Normal 2 2 2 2 2 2 2 2 7" xfId="1612"/>
    <cellStyle name="Normal 2 2 2 2 2 2 2 2 8" xfId="1613"/>
    <cellStyle name="Normal 2 2 2 2 2 2 2 2 9" xfId="1614"/>
    <cellStyle name="Normal 2 2 2 2 2 2 2 20" xfId="1615"/>
    <cellStyle name="Normal 2 2 2 2 2 2 2 21" xfId="1616"/>
    <cellStyle name="Normal 2 2 2 2 2 2 2 22" xfId="1617"/>
    <cellStyle name="Normal 2 2 2 2 2 2 2 3" xfId="1618"/>
    <cellStyle name="Normal 2 2 2 2 2 2 2 3 2" xfId="1619"/>
    <cellStyle name="Normal 2 2 2 2 2 2 2 3 3" xfId="1620"/>
    <cellStyle name="Normal 2 2 2 2 2 2 2 3 4" xfId="1621"/>
    <cellStyle name="Normal 2 2 2 2 2 2 2 3 5" xfId="1622"/>
    <cellStyle name="Normal 2 2 2 2 2 2 2 3 6" xfId="1623"/>
    <cellStyle name="Normal 2 2 2 2 2 2 2 3 7" xfId="1624"/>
    <cellStyle name="Normal 2 2 2 2 2 2 2 3 8" xfId="1625"/>
    <cellStyle name="Normal 2 2 2 2 2 2 2 3 9" xfId="1626"/>
    <cellStyle name="Normal 2 2 2 2 2 2 2 4" xfId="1627"/>
    <cellStyle name="Normal 2 2 2 2 2 2 2 4 2" xfId="1628"/>
    <cellStyle name="Normal 2 2 2 2 2 2 2 4 3" xfId="1629"/>
    <cellStyle name="Normal 2 2 2 2 2 2 2 4 4" xfId="1630"/>
    <cellStyle name="Normal 2 2 2 2 2 2 2 4 5" xfId="1631"/>
    <cellStyle name="Normal 2 2 2 2 2 2 2 4 6" xfId="1632"/>
    <cellStyle name="Normal 2 2 2 2 2 2 2 4 7" xfId="1633"/>
    <cellStyle name="Normal 2 2 2 2 2 2 2 4 8" xfId="1634"/>
    <cellStyle name="Normal 2 2 2 2 2 2 2 4 9" xfId="1635"/>
    <cellStyle name="Normal 2 2 2 2 2 2 2 5" xfId="1636"/>
    <cellStyle name="Normal 2 2 2 2 2 2 2 5 2" xfId="1637"/>
    <cellStyle name="Normal 2 2 2 2 2 2 2 5 3" xfId="1638"/>
    <cellStyle name="Normal 2 2 2 2 2 2 2 5 4" xfId="1639"/>
    <cellStyle name="Normal 2 2 2 2 2 2 2 5 5" xfId="1640"/>
    <cellStyle name="Normal 2 2 2 2 2 2 2 5 6" xfId="1641"/>
    <cellStyle name="Normal 2 2 2 2 2 2 2 5 7" xfId="1642"/>
    <cellStyle name="Normal 2 2 2 2 2 2 2 5 8" xfId="1643"/>
    <cellStyle name="Normal 2 2 2 2 2 2 2 5 9" xfId="1644"/>
    <cellStyle name="Normal 2 2 2 2 2 2 2 6" xfId="1645"/>
    <cellStyle name="Normal 2 2 2 2 2 2 2 6 2" xfId="1646"/>
    <cellStyle name="Normal 2 2 2 2 2 2 2 6 3" xfId="1647"/>
    <cellStyle name="Normal 2 2 2 2 2 2 2 6 4" xfId="1648"/>
    <cellStyle name="Normal 2 2 2 2 2 2 2 6 5" xfId="1649"/>
    <cellStyle name="Normal 2 2 2 2 2 2 2 6 6" xfId="1650"/>
    <cellStyle name="Normal 2 2 2 2 2 2 2 6 7" xfId="1651"/>
    <cellStyle name="Normal 2 2 2 2 2 2 2 6 8" xfId="1652"/>
    <cellStyle name="Normal 2 2 2 2 2 2 2 6 9" xfId="1653"/>
    <cellStyle name="Normal 2 2 2 2 2 2 2 7" xfId="1654"/>
    <cellStyle name="Normal 2 2 2 2 2 2 2 8" xfId="1655"/>
    <cellStyle name="Normal 2 2 2 2 2 2 2 9" xfId="1656"/>
    <cellStyle name="Normal 2 2 2 2 2 2 20" xfId="1657"/>
    <cellStyle name="Normal 2 2 2 2 2 2 21" xfId="1658"/>
    <cellStyle name="Normal 2 2 2 2 2 2 22" xfId="1659"/>
    <cellStyle name="Normal 2 2 2 2 2 2 23" xfId="1660"/>
    <cellStyle name="Normal 2 2 2 2 2 2 24" xfId="1661"/>
    <cellStyle name="Normal 2 2 2 2 2 2 25" xfId="1662"/>
    <cellStyle name="Normal 2 2 2 2 2 2 26" xfId="1663"/>
    <cellStyle name="Normal 2 2 2 2 2 2 27" xfId="1664"/>
    <cellStyle name="Normal 2 2 2 2 2 2 3" xfId="1665"/>
    <cellStyle name="Normal 2 2 2 2 2 2 4" xfId="1666"/>
    <cellStyle name="Normal 2 2 2 2 2 2 5" xfId="1667"/>
    <cellStyle name="Normal 2 2 2 2 2 2 6" xfId="1668"/>
    <cellStyle name="Normal 2 2 2 2 2 2 7" xfId="1669"/>
    <cellStyle name="Normal 2 2 2 2 2 2 8" xfId="1670"/>
    <cellStyle name="Normal 2 2 2 2 2 2 8 2" xfId="1671"/>
    <cellStyle name="Normal 2 2 2 2 2 2 8 3" xfId="1672"/>
    <cellStyle name="Normal 2 2 2 2 2 2 8 4" xfId="1673"/>
    <cellStyle name="Normal 2 2 2 2 2 2 8 5" xfId="1674"/>
    <cellStyle name="Normal 2 2 2 2 2 2 8 6" xfId="1675"/>
    <cellStyle name="Normal 2 2 2 2 2 2 8 7" xfId="1676"/>
    <cellStyle name="Normal 2 2 2 2 2 2 8 8" xfId="1677"/>
    <cellStyle name="Normal 2 2 2 2 2 2 8 9" xfId="1678"/>
    <cellStyle name="Normal 2 2 2 2 2 2 9" xfId="1679"/>
    <cellStyle name="Normal 2 2 2 2 2 2 9 2" xfId="1680"/>
    <cellStyle name="Normal 2 2 2 2 2 2 9 3" xfId="1681"/>
    <cellStyle name="Normal 2 2 2 2 2 2 9 4" xfId="1682"/>
    <cellStyle name="Normal 2 2 2 2 2 2 9 5" xfId="1683"/>
    <cellStyle name="Normal 2 2 2 2 2 2 9 6" xfId="1684"/>
    <cellStyle name="Normal 2 2 2 2 2 2 9 7" xfId="1685"/>
    <cellStyle name="Normal 2 2 2 2 2 2 9 8" xfId="1686"/>
    <cellStyle name="Normal 2 2 2 2 2 2 9 9" xfId="1687"/>
    <cellStyle name="Normal 2 2 2 2 2 20" xfId="1688"/>
    <cellStyle name="Normal 2 2 2 2 2 21" xfId="1689"/>
    <cellStyle name="Normal 2 2 2 2 2 22" xfId="1690"/>
    <cellStyle name="Normal 2 2 2 2 2 23" xfId="1691"/>
    <cellStyle name="Normal 2 2 2 2 2 24" xfId="1692"/>
    <cellStyle name="Normal 2 2 2 2 2 25" xfId="1693"/>
    <cellStyle name="Normal 2 2 2 2 2 26" xfId="1694"/>
    <cellStyle name="Normal 2 2 2 2 2 27" xfId="1695"/>
    <cellStyle name="Normal 2 2 2 2 2 3" xfId="1696"/>
    <cellStyle name="Normal 2 2 2 2 2 3 2" xfId="1697"/>
    <cellStyle name="Normal 2 2 2 2 2 3 3" xfId="1698"/>
    <cellStyle name="Normal 2 2 2 2 2 3 4" xfId="1699"/>
    <cellStyle name="Normal 2 2 2 2 2 3 5" xfId="1700"/>
    <cellStyle name="Normal 2 2 2 2 2 3 6" xfId="1701"/>
    <cellStyle name="Normal 2 2 2 2 2 4" xfId="1702"/>
    <cellStyle name="Normal 2 2 2 2 2 4 2" xfId="1703"/>
    <cellStyle name="Normal 2 2 2 2 2 4 3" xfId="1704"/>
    <cellStyle name="Normal 2 2 2 2 2 4 4" xfId="1705"/>
    <cellStyle name="Normal 2 2 2 2 2 4 5" xfId="1706"/>
    <cellStyle name="Normal 2 2 2 2 2 4 6" xfId="1707"/>
    <cellStyle name="Normal 2 2 2 2 2 5" xfId="1708"/>
    <cellStyle name="Normal 2 2 2 2 2 5 2" xfId="1709"/>
    <cellStyle name="Normal 2 2 2 2 2 5 3" xfId="1710"/>
    <cellStyle name="Normal 2 2 2 2 2 5 4" xfId="1711"/>
    <cellStyle name="Normal 2 2 2 2 2 5 5" xfId="1712"/>
    <cellStyle name="Normal 2 2 2 2 2 5 6" xfId="1713"/>
    <cellStyle name="Normal 2 2 2 2 2 6" xfId="1714"/>
    <cellStyle name="Normal 2 2 2 2 2 6 2" xfId="1715"/>
    <cellStyle name="Normal 2 2 2 2 2 6 3" xfId="1716"/>
    <cellStyle name="Normal 2 2 2 2 2 6 4" xfId="1717"/>
    <cellStyle name="Normal 2 2 2 2 2 6 5" xfId="1718"/>
    <cellStyle name="Normal 2 2 2 2 2 6 6" xfId="1719"/>
    <cellStyle name="Normal 2 2 2 2 2 7" xfId="1720"/>
    <cellStyle name="Normal 2 2 2 2 2 7 2" xfId="1721"/>
    <cellStyle name="Normal 2 2 2 2 2 7 3" xfId="1722"/>
    <cellStyle name="Normal 2 2 2 2 2 7 4" xfId="1723"/>
    <cellStyle name="Normal 2 2 2 2 2 7 5" xfId="1724"/>
    <cellStyle name="Normal 2 2 2 2 2 7 6" xfId="1725"/>
    <cellStyle name="Normal 2 2 2 2 2 8" xfId="1726"/>
    <cellStyle name="Normal 2 2 2 2 2 8 2" xfId="1727"/>
    <cellStyle name="Normal 2 2 2 2 2 8 3" xfId="1728"/>
    <cellStyle name="Normal 2 2 2 2 2 8 4" xfId="1729"/>
    <cellStyle name="Normal 2 2 2 2 2 8 5" xfId="1730"/>
    <cellStyle name="Normal 2 2 2 2 2 8 6" xfId="1731"/>
    <cellStyle name="Normal 2 2 2 2 2 8 7" xfId="1732"/>
    <cellStyle name="Normal 2 2 2 2 2 8 8" xfId="1733"/>
    <cellStyle name="Normal 2 2 2 2 2 8 9" xfId="1734"/>
    <cellStyle name="Normal 2 2 2 2 2 9" xfId="1735"/>
    <cellStyle name="Normal 2 2 2 2 2 9 2" xfId="1736"/>
    <cellStyle name="Normal 2 2 2 2 2 9 3" xfId="1737"/>
    <cellStyle name="Normal 2 2 2 2 2 9 4" xfId="1738"/>
    <cellStyle name="Normal 2 2 2 2 2 9 5" xfId="1739"/>
    <cellStyle name="Normal 2 2 2 2 2 9 6" xfId="1740"/>
    <cellStyle name="Normal 2 2 2 2 2 9 7" xfId="1741"/>
    <cellStyle name="Normal 2 2 2 2 2 9 8" xfId="1742"/>
    <cellStyle name="Normal 2 2 2 2 2 9 9" xfId="1743"/>
    <cellStyle name="Normal 2 2 2 2 20" xfId="1744"/>
    <cellStyle name="Normal 2 2 2 2 21" xfId="1745"/>
    <cellStyle name="Normal 2 2 2 2 22" xfId="1746"/>
    <cellStyle name="Normal 2 2 2 2 23" xfId="1747"/>
    <cellStyle name="Normal 2 2 2 2 24" xfId="1748"/>
    <cellStyle name="Normal 2 2 2 2 25" xfId="1749"/>
    <cellStyle name="Normal 2 2 2 2 26" xfId="1750"/>
    <cellStyle name="Normal 2 2 2 2 27" xfId="1751"/>
    <cellStyle name="Normal 2 2 2 2 28" xfId="1752"/>
    <cellStyle name="Normal 2 2 2 2 29" xfId="1753"/>
    <cellStyle name="Normal 2 2 2 2 3" xfId="1754"/>
    <cellStyle name="Normal 2 2 2 2 4" xfId="1755"/>
    <cellStyle name="Normal 2 2 2 2 5" xfId="1756"/>
    <cellStyle name="Normal 2 2 2 2 6" xfId="1757"/>
    <cellStyle name="Normal 2 2 2 2 7" xfId="1758"/>
    <cellStyle name="Normal 2 2 2 2 8" xfId="1759"/>
    <cellStyle name="Normal 2 2 2 2 9" xfId="1760"/>
    <cellStyle name="Normal 2 2 2 20" xfId="1761"/>
    <cellStyle name="Normal 2 2 2 21" xfId="1762"/>
    <cellStyle name="Normal 2 2 2 22" xfId="1763"/>
    <cellStyle name="Normal 2 2 2 23" xfId="1764"/>
    <cellStyle name="Normal 2 2 2 24" xfId="1765"/>
    <cellStyle name="Normal 2 2 2 25" xfId="1766"/>
    <cellStyle name="Normal 2 2 2 26" xfId="1767"/>
    <cellStyle name="Normal 2 2 2 27" xfId="1768"/>
    <cellStyle name="Normal 2 2 2 28" xfId="1769"/>
    <cellStyle name="Normal 2 2 2 29" xfId="1770"/>
    <cellStyle name="Normal 2 2 2 3" xfId="1771"/>
    <cellStyle name="Normal 2 2 2 30" xfId="1772"/>
    <cellStyle name="Normal 2 2 2 31" xfId="1773"/>
    <cellStyle name="Normal 2 2 2 32" xfId="1774"/>
    <cellStyle name="Normal 2 2 2 33" xfId="1775"/>
    <cellStyle name="Normal 2 2 2 34" xfId="1776"/>
    <cellStyle name="Normal 2 2 2 35" xfId="1777"/>
    <cellStyle name="Normal 2 2 2 36" xfId="1778"/>
    <cellStyle name="Normal 2 2 2 37" xfId="1779"/>
    <cellStyle name="Normal 2 2 2 38" xfId="1780"/>
    <cellStyle name="Normal 2 2 2 39" xfId="1781"/>
    <cellStyle name="Normal 2 2 2 4" xfId="1782"/>
    <cellStyle name="Normal 2 2 2 4 10" xfId="1783"/>
    <cellStyle name="Normal 2 2 2 4 11" xfId="1784"/>
    <cellStyle name="Normal 2 2 2 4 12" xfId="1785"/>
    <cellStyle name="Normal 2 2 2 4 13" xfId="1786"/>
    <cellStyle name="Normal 2 2 2 4 14" xfId="1787"/>
    <cellStyle name="Normal 2 2 2 4 15" xfId="1788"/>
    <cellStyle name="Normal 2 2 2 4 16" xfId="1789"/>
    <cellStyle name="Normal 2 2 2 4 17" xfId="1790"/>
    <cellStyle name="Normal 2 2 2 4 18" xfId="1791"/>
    <cellStyle name="Normal 2 2 2 4 19" xfId="1792"/>
    <cellStyle name="Normal 2 2 2 4 2" xfId="1793"/>
    <cellStyle name="Normal 2 2 2 4 20" xfId="1794"/>
    <cellStyle name="Normal 2 2 2 4 21" xfId="1795"/>
    <cellStyle name="Normal 2 2 2 4 22" xfId="1796"/>
    <cellStyle name="Normal 2 2 2 4 3" xfId="1797"/>
    <cellStyle name="Normal 2 2 2 4 4" xfId="1798"/>
    <cellStyle name="Normal 2 2 2 4 5" xfId="1799"/>
    <cellStyle name="Normal 2 2 2 4 6" xfId="1800"/>
    <cellStyle name="Normal 2 2 2 4 7" xfId="1801"/>
    <cellStyle name="Normal 2 2 2 4 8" xfId="1802"/>
    <cellStyle name="Normal 2 2 2 4 9" xfId="1803"/>
    <cellStyle name="Normal 2 2 2 40" xfId="1804"/>
    <cellStyle name="Normal 2 2 2 41" xfId="1805"/>
    <cellStyle name="Normal 2 2 2 42" xfId="1806"/>
    <cellStyle name="Normal 2 2 2 43" xfId="1807"/>
    <cellStyle name="Normal 2 2 2 44" xfId="1808"/>
    <cellStyle name="Normal 2 2 2 5" xfId="1809"/>
    <cellStyle name="Normal 2 2 2 5 10" xfId="1810"/>
    <cellStyle name="Normal 2 2 2 5 11" xfId="1811"/>
    <cellStyle name="Normal 2 2 2 5 12" xfId="1812"/>
    <cellStyle name="Normal 2 2 2 5 13" xfId="1813"/>
    <cellStyle name="Normal 2 2 2 5 14" xfId="1814"/>
    <cellStyle name="Normal 2 2 2 5 15" xfId="1815"/>
    <cellStyle name="Normal 2 2 2 5 16" xfId="1816"/>
    <cellStyle name="Normal 2 2 2 5 17" xfId="1817"/>
    <cellStyle name="Normal 2 2 2 5 18" xfId="1818"/>
    <cellStyle name="Normal 2 2 2 5 19" xfId="1819"/>
    <cellStyle name="Normal 2 2 2 5 2" xfId="1820"/>
    <cellStyle name="Normal 2 2 2 5 20" xfId="1821"/>
    <cellStyle name="Normal 2 2 2 5 21" xfId="1822"/>
    <cellStyle name="Normal 2 2 2 5 22" xfId="1823"/>
    <cellStyle name="Normal 2 2 2 5 3" xfId="1824"/>
    <cellStyle name="Normal 2 2 2 5 4" xfId="1825"/>
    <cellStyle name="Normal 2 2 2 5 5" xfId="1826"/>
    <cellStyle name="Normal 2 2 2 5 6" xfId="1827"/>
    <cellStyle name="Normal 2 2 2 5 7" xfId="1828"/>
    <cellStyle name="Normal 2 2 2 5 8" xfId="1829"/>
    <cellStyle name="Normal 2 2 2 5 9" xfId="1830"/>
    <cellStyle name="Normal 2 2 2 6" xfId="1831"/>
    <cellStyle name="Normal 2 2 2 6 10" xfId="1832"/>
    <cellStyle name="Normal 2 2 2 6 11" xfId="1833"/>
    <cellStyle name="Normal 2 2 2 6 12" xfId="1834"/>
    <cellStyle name="Normal 2 2 2 6 13" xfId="1835"/>
    <cellStyle name="Normal 2 2 2 6 14" xfId="1836"/>
    <cellStyle name="Normal 2 2 2 6 15" xfId="1837"/>
    <cellStyle name="Normal 2 2 2 6 16" xfId="1838"/>
    <cellStyle name="Normal 2 2 2 6 17" xfId="1839"/>
    <cellStyle name="Normal 2 2 2 6 18" xfId="1840"/>
    <cellStyle name="Normal 2 2 2 6 19" xfId="1841"/>
    <cellStyle name="Normal 2 2 2 6 2" xfId="1842"/>
    <cellStyle name="Normal 2 2 2 6 20" xfId="1843"/>
    <cellStyle name="Normal 2 2 2 6 21" xfId="1844"/>
    <cellStyle name="Normal 2 2 2 6 22" xfId="1845"/>
    <cellStyle name="Normal 2 2 2 6 3" xfId="1846"/>
    <cellStyle name="Normal 2 2 2 6 4" xfId="1847"/>
    <cellStyle name="Normal 2 2 2 6 5" xfId="1848"/>
    <cellStyle name="Normal 2 2 2 6 6" xfId="1849"/>
    <cellStyle name="Normal 2 2 2 6 7" xfId="1850"/>
    <cellStyle name="Normal 2 2 2 6 8" xfId="1851"/>
    <cellStyle name="Normal 2 2 2 6 9" xfId="1852"/>
    <cellStyle name="Normal 2 2 2 7" xfId="1853"/>
    <cellStyle name="Normal 2 2 2 7 10" xfId="1854"/>
    <cellStyle name="Normal 2 2 2 7 11" xfId="1855"/>
    <cellStyle name="Normal 2 2 2 7 12" xfId="1856"/>
    <cellStyle name="Normal 2 2 2 7 13" xfId="1857"/>
    <cellStyle name="Normal 2 2 2 7 14" xfId="1858"/>
    <cellStyle name="Normal 2 2 2 7 15" xfId="1859"/>
    <cellStyle name="Normal 2 2 2 7 16" xfId="1860"/>
    <cellStyle name="Normal 2 2 2 7 17" xfId="1861"/>
    <cellStyle name="Normal 2 2 2 7 18" xfId="1862"/>
    <cellStyle name="Normal 2 2 2 7 19" xfId="1863"/>
    <cellStyle name="Normal 2 2 2 7 2" xfId="1864"/>
    <cellStyle name="Normal 2 2 2 7 20" xfId="1865"/>
    <cellStyle name="Normal 2 2 2 7 21" xfId="1866"/>
    <cellStyle name="Normal 2 2 2 7 22" xfId="1867"/>
    <cellStyle name="Normal 2 2 2 7 3" xfId="1868"/>
    <cellStyle name="Normal 2 2 2 7 4" xfId="1869"/>
    <cellStyle name="Normal 2 2 2 7 5" xfId="1870"/>
    <cellStyle name="Normal 2 2 2 7 6" xfId="1871"/>
    <cellStyle name="Normal 2 2 2 7 7" xfId="1872"/>
    <cellStyle name="Normal 2 2 2 7 8" xfId="1873"/>
    <cellStyle name="Normal 2 2 2 7 9" xfId="1874"/>
    <cellStyle name="Normal 2 2 2 8" xfId="1875"/>
    <cellStyle name="Normal 2 2 2 8 10" xfId="1876"/>
    <cellStyle name="Normal 2 2 2 8 11" xfId="1877"/>
    <cellStyle name="Normal 2 2 2 8 12" xfId="1878"/>
    <cellStyle name="Normal 2 2 2 8 13" xfId="1879"/>
    <cellStyle name="Normal 2 2 2 8 14" xfId="1880"/>
    <cellStyle name="Normal 2 2 2 8 15" xfId="1881"/>
    <cellStyle name="Normal 2 2 2 8 16" xfId="1882"/>
    <cellStyle name="Normal 2 2 2 8 17" xfId="1883"/>
    <cellStyle name="Normal 2 2 2 8 18" xfId="1884"/>
    <cellStyle name="Normal 2 2 2 8 19" xfId="1885"/>
    <cellStyle name="Normal 2 2 2 8 2" xfId="1886"/>
    <cellStyle name="Normal 2 2 2 8 20" xfId="1887"/>
    <cellStyle name="Normal 2 2 2 8 21" xfId="1888"/>
    <cellStyle name="Normal 2 2 2 8 22" xfId="1889"/>
    <cellStyle name="Normal 2 2 2 8 3" xfId="1890"/>
    <cellStyle name="Normal 2 2 2 8 4" xfId="1891"/>
    <cellStyle name="Normal 2 2 2 8 5" xfId="1892"/>
    <cellStyle name="Normal 2 2 2 8 6" xfId="1893"/>
    <cellStyle name="Normal 2 2 2 8 7" xfId="1894"/>
    <cellStyle name="Normal 2 2 2 8 8" xfId="1895"/>
    <cellStyle name="Normal 2 2 2 8 9" xfId="1896"/>
    <cellStyle name="Normal 2 2 2 9" xfId="1897"/>
    <cellStyle name="Normal 2 2 2 9 10" xfId="1898"/>
    <cellStyle name="Normal 2 2 2 9 11" xfId="1899"/>
    <cellStyle name="Normal 2 2 2 9 12" xfId="1900"/>
    <cellStyle name="Normal 2 2 2 9 13" xfId="1901"/>
    <cellStyle name="Normal 2 2 2 9 14" xfId="1902"/>
    <cellStyle name="Normal 2 2 2 9 15" xfId="1903"/>
    <cellStyle name="Normal 2 2 2 9 16" xfId="1904"/>
    <cellStyle name="Normal 2 2 2 9 17" xfId="1905"/>
    <cellStyle name="Normal 2 2 2 9 18" xfId="1906"/>
    <cellStyle name="Normal 2 2 2 9 19" xfId="1907"/>
    <cellStyle name="Normal 2 2 2 9 2" xfId="1908"/>
    <cellStyle name="Normal 2 2 2 9 20" xfId="1909"/>
    <cellStyle name="Normal 2 2 2 9 21" xfId="1910"/>
    <cellStyle name="Normal 2 2 2 9 22" xfId="1911"/>
    <cellStyle name="Normal 2 2 2 9 3" xfId="1912"/>
    <cellStyle name="Normal 2 2 2 9 4" xfId="1913"/>
    <cellStyle name="Normal 2 2 2 9 5" xfId="1914"/>
    <cellStyle name="Normal 2 2 2 9 6" xfId="1915"/>
    <cellStyle name="Normal 2 2 2 9 7" xfId="1916"/>
    <cellStyle name="Normal 2 2 2 9 8" xfId="1917"/>
    <cellStyle name="Normal 2 2 2 9 9" xfId="1918"/>
    <cellStyle name="Normal 2 2 20" xfId="1919"/>
    <cellStyle name="Normal 2 2 21" xfId="1920"/>
    <cellStyle name="Normal 2 2 22" xfId="1921"/>
    <cellStyle name="Normal 2 2 22 10" xfId="1922"/>
    <cellStyle name="Normal 2 2 22 11" xfId="1923"/>
    <cellStyle name="Normal 2 2 22 12" xfId="1924"/>
    <cellStyle name="Normal 2 2 22 13" xfId="1925"/>
    <cellStyle name="Normal 2 2 22 14" xfId="1926"/>
    <cellStyle name="Normal 2 2 22 15" xfId="1927"/>
    <cellStyle name="Normal 2 2 22 16" xfId="1928"/>
    <cellStyle name="Normal 2 2 22 17" xfId="1929"/>
    <cellStyle name="Normal 2 2 22 18" xfId="1930"/>
    <cellStyle name="Normal 2 2 22 19" xfId="1931"/>
    <cellStyle name="Normal 2 2 22 2" xfId="1932"/>
    <cellStyle name="Normal 2 2 22 20" xfId="1933"/>
    <cellStyle name="Normal 2 2 22 21" xfId="1934"/>
    <cellStyle name="Normal 2 2 22 22" xfId="1935"/>
    <cellStyle name="Normal 2 2 22 23" xfId="1936"/>
    <cellStyle name="Normal 2 2 22 24" xfId="1937"/>
    <cellStyle name="Normal 2 2 22 25" xfId="1938"/>
    <cellStyle name="Normal 2 2 22 26" xfId="1939"/>
    <cellStyle name="Normal 2 2 22 27" xfId="1940"/>
    <cellStyle name="Normal 2 2 22 28" xfId="1941"/>
    <cellStyle name="Normal 2 2 22 29" xfId="1942"/>
    <cellStyle name="Normal 2 2 22 3" xfId="1943"/>
    <cellStyle name="Normal 2 2 22 30" xfId="1944"/>
    <cellStyle name="Normal 2 2 22 31" xfId="1945"/>
    <cellStyle name="Normal 2 2 22 32" xfId="1946"/>
    <cellStyle name="Normal 2 2 22 4" xfId="1947"/>
    <cellStyle name="Normal 2 2 22 5" xfId="1948"/>
    <cellStyle name="Normal 2 2 22 6" xfId="1949"/>
    <cellStyle name="Normal 2 2 22 7" xfId="1950"/>
    <cellStyle name="Normal 2 2 22 8" xfId="1951"/>
    <cellStyle name="Normal 2 2 22 9" xfId="1952"/>
    <cellStyle name="Normal 2 2 23" xfId="1953"/>
    <cellStyle name="Normal 2 2 23 10" xfId="1954"/>
    <cellStyle name="Normal 2 2 23 11" xfId="1955"/>
    <cellStyle name="Normal 2 2 23 12" xfId="1956"/>
    <cellStyle name="Normal 2 2 23 13" xfId="1957"/>
    <cellStyle name="Normal 2 2 23 14" xfId="1958"/>
    <cellStyle name="Normal 2 2 23 15" xfId="1959"/>
    <cellStyle name="Normal 2 2 23 16" xfId="1960"/>
    <cellStyle name="Normal 2 2 23 17" xfId="1961"/>
    <cellStyle name="Normal 2 2 23 18" xfId="1962"/>
    <cellStyle name="Normal 2 2 23 19" xfId="1963"/>
    <cellStyle name="Normal 2 2 23 2" xfId="1964"/>
    <cellStyle name="Normal 2 2 23 20" xfId="1965"/>
    <cellStyle name="Normal 2 2 23 21" xfId="1966"/>
    <cellStyle name="Normal 2 2 23 22" xfId="1967"/>
    <cellStyle name="Normal 2 2 23 23" xfId="1968"/>
    <cellStyle name="Normal 2 2 23 24" xfId="1969"/>
    <cellStyle name="Normal 2 2 23 25" xfId="1970"/>
    <cellStyle name="Normal 2 2 23 26" xfId="1971"/>
    <cellStyle name="Normal 2 2 23 27" xfId="1972"/>
    <cellStyle name="Normal 2 2 23 28" xfId="1973"/>
    <cellStyle name="Normal 2 2 23 29" xfId="1974"/>
    <cellStyle name="Normal 2 2 23 3" xfId="1975"/>
    <cellStyle name="Normal 2 2 23 30" xfId="1976"/>
    <cellStyle name="Normal 2 2 23 31" xfId="1977"/>
    <cellStyle name="Normal 2 2 23 32" xfId="1978"/>
    <cellStyle name="Normal 2 2 23 4" xfId="1979"/>
    <cellStyle name="Normal 2 2 23 5" xfId="1980"/>
    <cellStyle name="Normal 2 2 23 6" xfId="1981"/>
    <cellStyle name="Normal 2 2 23 7" xfId="1982"/>
    <cellStyle name="Normal 2 2 23 8" xfId="1983"/>
    <cellStyle name="Normal 2 2 23 9" xfId="1984"/>
    <cellStyle name="Normal 2 2 24" xfId="1985"/>
    <cellStyle name="Normal 2 2 24 10" xfId="1986"/>
    <cellStyle name="Normal 2 2 24 11" xfId="1987"/>
    <cellStyle name="Normal 2 2 24 12" xfId="1988"/>
    <cellStyle name="Normal 2 2 24 13" xfId="1989"/>
    <cellStyle name="Normal 2 2 24 14" xfId="1990"/>
    <cellStyle name="Normal 2 2 24 15" xfId="1991"/>
    <cellStyle name="Normal 2 2 24 16" xfId="1992"/>
    <cellStyle name="Normal 2 2 24 17" xfId="1993"/>
    <cellStyle name="Normal 2 2 24 18" xfId="1994"/>
    <cellStyle name="Normal 2 2 24 19" xfId="1995"/>
    <cellStyle name="Normal 2 2 24 2" xfId="1996"/>
    <cellStyle name="Normal 2 2 24 2 2" xfId="1997"/>
    <cellStyle name="Normal 2 2 24 2 3" xfId="1998"/>
    <cellStyle name="Normal 2 2 24 2 4" xfId="1999"/>
    <cellStyle name="Normal 2 2 24 2 5" xfId="2000"/>
    <cellStyle name="Normal 2 2 24 2 6" xfId="2001"/>
    <cellStyle name="Normal 2 2 24 20" xfId="2002"/>
    <cellStyle name="Normal 2 2 24 21" xfId="2003"/>
    <cellStyle name="Normal 2 2 24 22" xfId="2004"/>
    <cellStyle name="Normal 2 2 24 23" xfId="2005"/>
    <cellStyle name="Normal 2 2 24 24" xfId="2006"/>
    <cellStyle name="Normal 2 2 24 25" xfId="2007"/>
    <cellStyle name="Normal 2 2 24 26" xfId="2008"/>
    <cellStyle name="Normal 2 2 24 27" xfId="2009"/>
    <cellStyle name="Normal 2 2 24 28" xfId="2010"/>
    <cellStyle name="Normal 2 2 24 29" xfId="2011"/>
    <cellStyle name="Normal 2 2 24 3" xfId="2012"/>
    <cellStyle name="Normal 2 2 24 3 2" xfId="2013"/>
    <cellStyle name="Normal 2 2 24 3 3" xfId="2014"/>
    <cellStyle name="Normal 2 2 24 3 4" xfId="2015"/>
    <cellStyle name="Normal 2 2 24 3 5" xfId="2016"/>
    <cellStyle name="Normal 2 2 24 3 6" xfId="2017"/>
    <cellStyle name="Normal 2 2 24 4" xfId="2018"/>
    <cellStyle name="Normal 2 2 24 5" xfId="2019"/>
    <cellStyle name="Normal 2 2 24 6" xfId="2020"/>
    <cellStyle name="Normal 2 2 24 7" xfId="2021"/>
    <cellStyle name="Normal 2 2 24 8" xfId="2022"/>
    <cellStyle name="Normal 2 2 24 9" xfId="2023"/>
    <cellStyle name="Normal 2 2 25" xfId="2024"/>
    <cellStyle name="Normal 2 2 25 10" xfId="2025"/>
    <cellStyle name="Normal 2 2 25 11" xfId="2026"/>
    <cellStyle name="Normal 2 2 25 12" xfId="2027"/>
    <cellStyle name="Normal 2 2 25 13" xfId="2028"/>
    <cellStyle name="Normal 2 2 25 14" xfId="2029"/>
    <cellStyle name="Normal 2 2 25 15" xfId="2030"/>
    <cellStyle name="Normal 2 2 25 16" xfId="2031"/>
    <cellStyle name="Normal 2 2 25 17" xfId="2032"/>
    <cellStyle name="Normal 2 2 25 18" xfId="2033"/>
    <cellStyle name="Normal 2 2 25 19" xfId="2034"/>
    <cellStyle name="Normal 2 2 25 2" xfId="2035"/>
    <cellStyle name="Normal 2 2 25 20" xfId="2036"/>
    <cellStyle name="Normal 2 2 25 21" xfId="2037"/>
    <cellStyle name="Normal 2 2 25 22" xfId="2038"/>
    <cellStyle name="Normal 2 2 25 23" xfId="2039"/>
    <cellStyle name="Normal 2 2 25 24" xfId="2040"/>
    <cellStyle name="Normal 2 2 25 25" xfId="2041"/>
    <cellStyle name="Normal 2 2 25 26" xfId="2042"/>
    <cellStyle name="Normal 2 2 25 27" xfId="2043"/>
    <cellStyle name="Normal 2 2 25 28" xfId="2044"/>
    <cellStyle name="Normal 2 2 25 29" xfId="2045"/>
    <cellStyle name="Normal 2 2 25 3" xfId="2046"/>
    <cellStyle name="Normal 2 2 25 4" xfId="2047"/>
    <cellStyle name="Normal 2 2 25 5" xfId="2048"/>
    <cellStyle name="Normal 2 2 25 6" xfId="2049"/>
    <cellStyle name="Normal 2 2 25 7" xfId="2050"/>
    <cellStyle name="Normal 2 2 25 8" xfId="2051"/>
    <cellStyle name="Normal 2 2 25 9" xfId="2052"/>
    <cellStyle name="Normal 2 2 26" xfId="2053"/>
    <cellStyle name="Normal 2 2 26 10" xfId="2054"/>
    <cellStyle name="Normal 2 2 26 11" xfId="2055"/>
    <cellStyle name="Normal 2 2 26 12" xfId="2056"/>
    <cellStyle name="Normal 2 2 26 13" xfId="2057"/>
    <cellStyle name="Normal 2 2 26 14" xfId="2058"/>
    <cellStyle name="Normal 2 2 26 15" xfId="2059"/>
    <cellStyle name="Normal 2 2 26 16" xfId="2060"/>
    <cellStyle name="Normal 2 2 26 17" xfId="2061"/>
    <cellStyle name="Normal 2 2 26 18" xfId="2062"/>
    <cellStyle name="Normal 2 2 26 19" xfId="2063"/>
    <cellStyle name="Normal 2 2 26 2" xfId="2064"/>
    <cellStyle name="Normal 2 2 26 20" xfId="2065"/>
    <cellStyle name="Normal 2 2 26 21" xfId="2066"/>
    <cellStyle name="Normal 2 2 26 22" xfId="2067"/>
    <cellStyle name="Normal 2 2 26 23" xfId="2068"/>
    <cellStyle name="Normal 2 2 26 3" xfId="2069"/>
    <cellStyle name="Normal 2 2 26 4" xfId="2070"/>
    <cellStyle name="Normal 2 2 26 5" xfId="2071"/>
    <cellStyle name="Normal 2 2 26 6" xfId="2072"/>
    <cellStyle name="Normal 2 2 26 7" xfId="2073"/>
    <cellStyle name="Normal 2 2 26 8" xfId="2074"/>
    <cellStyle name="Normal 2 2 26 9" xfId="2075"/>
    <cellStyle name="Normal 2 2 27" xfId="2076"/>
    <cellStyle name="Normal 2 2 27 10" xfId="2077"/>
    <cellStyle name="Normal 2 2 27 11" xfId="2078"/>
    <cellStyle name="Normal 2 2 27 12" xfId="2079"/>
    <cellStyle name="Normal 2 2 27 13" xfId="2080"/>
    <cellStyle name="Normal 2 2 27 14" xfId="2081"/>
    <cellStyle name="Normal 2 2 27 15" xfId="2082"/>
    <cellStyle name="Normal 2 2 27 16" xfId="2083"/>
    <cellStyle name="Normal 2 2 27 17" xfId="2084"/>
    <cellStyle name="Normal 2 2 27 18" xfId="2085"/>
    <cellStyle name="Normal 2 2 27 19" xfId="2086"/>
    <cellStyle name="Normal 2 2 27 2" xfId="2087"/>
    <cellStyle name="Normal 2 2 27 20" xfId="2088"/>
    <cellStyle name="Normal 2 2 27 21" xfId="2089"/>
    <cellStyle name="Normal 2 2 27 22" xfId="2090"/>
    <cellStyle name="Normal 2 2 27 23" xfId="2091"/>
    <cellStyle name="Normal 2 2 27 3" xfId="2092"/>
    <cellStyle name="Normal 2 2 27 4" xfId="2093"/>
    <cellStyle name="Normal 2 2 27 5" xfId="2094"/>
    <cellStyle name="Normal 2 2 27 6" xfId="2095"/>
    <cellStyle name="Normal 2 2 27 7" xfId="2096"/>
    <cellStyle name="Normal 2 2 27 8" xfId="2097"/>
    <cellStyle name="Normal 2 2 27 9" xfId="2098"/>
    <cellStyle name="Normal 2 2 28" xfId="2099"/>
    <cellStyle name="Normal 2 2 28 10" xfId="2100"/>
    <cellStyle name="Normal 2 2 28 11" xfId="2101"/>
    <cellStyle name="Normal 2 2 28 12" xfId="2102"/>
    <cellStyle name="Normal 2 2 28 13" xfId="2103"/>
    <cellStyle name="Normal 2 2 28 14" xfId="2104"/>
    <cellStyle name="Normal 2 2 28 15" xfId="2105"/>
    <cellStyle name="Normal 2 2 28 16" xfId="2106"/>
    <cellStyle name="Normal 2 2 28 17" xfId="2107"/>
    <cellStyle name="Normal 2 2 28 18" xfId="2108"/>
    <cellStyle name="Normal 2 2 28 19" xfId="2109"/>
    <cellStyle name="Normal 2 2 28 2" xfId="2110"/>
    <cellStyle name="Normal 2 2 28 20" xfId="2111"/>
    <cellStyle name="Normal 2 2 28 21" xfId="2112"/>
    <cellStyle name="Normal 2 2 28 22" xfId="2113"/>
    <cellStyle name="Normal 2 2 28 23" xfId="2114"/>
    <cellStyle name="Normal 2 2 28 3" xfId="2115"/>
    <cellStyle name="Normal 2 2 28 4" xfId="2116"/>
    <cellStyle name="Normal 2 2 28 5" xfId="2117"/>
    <cellStyle name="Normal 2 2 28 6" xfId="2118"/>
    <cellStyle name="Normal 2 2 28 7" xfId="2119"/>
    <cellStyle name="Normal 2 2 28 8" xfId="2120"/>
    <cellStyle name="Normal 2 2 28 9" xfId="2121"/>
    <cellStyle name="Normal 2 2 29" xfId="2122"/>
    <cellStyle name="Normal 2 2 29 10" xfId="2123"/>
    <cellStyle name="Normal 2 2 29 11" xfId="2124"/>
    <cellStyle name="Normal 2 2 29 12" xfId="2125"/>
    <cellStyle name="Normal 2 2 29 13" xfId="2126"/>
    <cellStyle name="Normal 2 2 29 14" xfId="2127"/>
    <cellStyle name="Normal 2 2 29 15" xfId="2128"/>
    <cellStyle name="Normal 2 2 29 16" xfId="2129"/>
    <cellStyle name="Normal 2 2 29 17" xfId="2130"/>
    <cellStyle name="Normal 2 2 29 18" xfId="2131"/>
    <cellStyle name="Normal 2 2 29 19" xfId="2132"/>
    <cellStyle name="Normal 2 2 29 2" xfId="2133"/>
    <cellStyle name="Normal 2 2 29 20" xfId="2134"/>
    <cellStyle name="Normal 2 2 29 21" xfId="2135"/>
    <cellStyle name="Normal 2 2 29 22" xfId="2136"/>
    <cellStyle name="Normal 2 2 29 23" xfId="2137"/>
    <cellStyle name="Normal 2 2 29 3" xfId="2138"/>
    <cellStyle name="Normal 2 2 29 4" xfId="2139"/>
    <cellStyle name="Normal 2 2 29 5" xfId="2140"/>
    <cellStyle name="Normal 2 2 29 6" xfId="2141"/>
    <cellStyle name="Normal 2 2 29 7" xfId="2142"/>
    <cellStyle name="Normal 2 2 29 8" xfId="2143"/>
    <cellStyle name="Normal 2 2 29 9" xfId="2144"/>
    <cellStyle name="Normal 2 2 3" xfId="2145"/>
    <cellStyle name="Normal 2 2 30" xfId="2146"/>
    <cellStyle name="Normal 2 2 30 10" xfId="2147"/>
    <cellStyle name="Normal 2 2 30 11" xfId="2148"/>
    <cellStyle name="Normal 2 2 30 12" xfId="2149"/>
    <cellStyle name="Normal 2 2 30 13" xfId="2150"/>
    <cellStyle name="Normal 2 2 30 14" xfId="2151"/>
    <cellStyle name="Normal 2 2 30 15" xfId="2152"/>
    <cellStyle name="Normal 2 2 30 16" xfId="2153"/>
    <cellStyle name="Normal 2 2 30 17" xfId="2154"/>
    <cellStyle name="Normal 2 2 30 18" xfId="2155"/>
    <cellStyle name="Normal 2 2 30 19" xfId="2156"/>
    <cellStyle name="Normal 2 2 30 2" xfId="2157"/>
    <cellStyle name="Normal 2 2 30 20" xfId="2158"/>
    <cellStyle name="Normal 2 2 30 21" xfId="2159"/>
    <cellStyle name="Normal 2 2 30 22" xfId="2160"/>
    <cellStyle name="Normal 2 2 30 23" xfId="2161"/>
    <cellStyle name="Normal 2 2 30 3" xfId="2162"/>
    <cellStyle name="Normal 2 2 30 4" xfId="2163"/>
    <cellStyle name="Normal 2 2 30 5" xfId="2164"/>
    <cellStyle name="Normal 2 2 30 6" xfId="2165"/>
    <cellStyle name="Normal 2 2 30 7" xfId="2166"/>
    <cellStyle name="Normal 2 2 30 8" xfId="2167"/>
    <cellStyle name="Normal 2 2 30 9" xfId="2168"/>
    <cellStyle name="Normal 2 2 31" xfId="2169"/>
    <cellStyle name="Normal 2 2 31 10" xfId="2170"/>
    <cellStyle name="Normal 2 2 31 11" xfId="2171"/>
    <cellStyle name="Normal 2 2 31 12" xfId="2172"/>
    <cellStyle name="Normal 2 2 31 13" xfId="2173"/>
    <cellStyle name="Normal 2 2 31 14" xfId="2174"/>
    <cellStyle name="Normal 2 2 31 15" xfId="2175"/>
    <cellStyle name="Normal 2 2 31 16" xfId="2176"/>
    <cellStyle name="Normal 2 2 31 17" xfId="2177"/>
    <cellStyle name="Normal 2 2 31 18" xfId="2178"/>
    <cellStyle name="Normal 2 2 31 19" xfId="2179"/>
    <cellStyle name="Normal 2 2 31 2" xfId="2180"/>
    <cellStyle name="Normal 2 2 31 20" xfId="2181"/>
    <cellStyle name="Normal 2 2 31 21" xfId="2182"/>
    <cellStyle name="Normal 2 2 31 22" xfId="2183"/>
    <cellStyle name="Normal 2 2 31 23" xfId="2184"/>
    <cellStyle name="Normal 2 2 31 3" xfId="2185"/>
    <cellStyle name="Normal 2 2 31 4" xfId="2186"/>
    <cellStyle name="Normal 2 2 31 5" xfId="2187"/>
    <cellStyle name="Normal 2 2 31 6" xfId="2188"/>
    <cellStyle name="Normal 2 2 31 7" xfId="2189"/>
    <cellStyle name="Normal 2 2 31 8" xfId="2190"/>
    <cellStyle name="Normal 2 2 31 9" xfId="2191"/>
    <cellStyle name="Normal 2 2 32" xfId="2192"/>
    <cellStyle name="Normal 2 2 32 10" xfId="2193"/>
    <cellStyle name="Normal 2 2 32 2" xfId="2194"/>
    <cellStyle name="Normal 2 2 32 3" xfId="2195"/>
    <cellStyle name="Normal 2 2 32 4" xfId="2196"/>
    <cellStyle name="Normal 2 2 32 5" xfId="2197"/>
    <cellStyle name="Normal 2 2 32 6" xfId="2198"/>
    <cellStyle name="Normal 2 2 32 7" xfId="2199"/>
    <cellStyle name="Normal 2 2 32 8" xfId="2200"/>
    <cellStyle name="Normal 2 2 32 9" xfId="2201"/>
    <cellStyle name="Normal 2 2 33" xfId="2202"/>
    <cellStyle name="Normal 2 2 34" xfId="2203"/>
    <cellStyle name="Normal 2 2 35" xfId="2204"/>
    <cellStyle name="Normal 2 2 36" xfId="2205"/>
    <cellStyle name="Normal 2 2 4" xfId="2206"/>
    <cellStyle name="Normal 2 2 5" xfId="2207"/>
    <cellStyle name="Normal 2 2 6" xfId="2208"/>
    <cellStyle name="Normal 2 2 7" xfId="2209"/>
    <cellStyle name="Normal 2 2 8" xfId="2210"/>
    <cellStyle name="Normal 2 2 9" xfId="2211"/>
    <cellStyle name="Normal 2 20" xfId="2212"/>
    <cellStyle name="Normal 2 20 10" xfId="2213"/>
    <cellStyle name="Normal 2 20 10 2" xfId="2214"/>
    <cellStyle name="Normal 2 20 11" xfId="2215"/>
    <cellStyle name="Normal 2 20 11 2" xfId="2216"/>
    <cellStyle name="Normal 2 20 12" xfId="2217"/>
    <cellStyle name="Normal 2 20 12 2" xfId="2218"/>
    <cellStyle name="Normal 2 20 13" xfId="2219"/>
    <cellStyle name="Normal 2 20 13 2" xfId="2220"/>
    <cellStyle name="Normal 2 20 14" xfId="2221"/>
    <cellStyle name="Normal 2 20 14 2" xfId="2222"/>
    <cellStyle name="Normal 2 20 15" xfId="2223"/>
    <cellStyle name="Normal 2 20 15 2" xfId="2224"/>
    <cellStyle name="Normal 2 20 16" xfId="2225"/>
    <cellStyle name="Normal 2 20 17" xfId="2226"/>
    <cellStyle name="Normal 2 20 18" xfId="2227"/>
    <cellStyle name="Normal 2 20 19" xfId="2228"/>
    <cellStyle name="Normal 2 20 2" xfId="2229"/>
    <cellStyle name="Normal 2 20 20" xfId="2230"/>
    <cellStyle name="Normal 2 20 21" xfId="2231"/>
    <cellStyle name="Normal 2 20 22" xfId="2232"/>
    <cellStyle name="Normal 2 20 23" xfId="2233"/>
    <cellStyle name="Normal 2 20 24" xfId="2234"/>
    <cellStyle name="Normal 2 20 25" xfId="2235"/>
    <cellStyle name="Normal 2 20 26" xfId="2236"/>
    <cellStyle name="Normal 2 20 27" xfId="2237"/>
    <cellStyle name="Normal 2 20 28" xfId="2238"/>
    <cellStyle name="Normal 2 20 29" xfId="2239"/>
    <cellStyle name="Normal 2 20 3" xfId="2240"/>
    <cellStyle name="Normal 2 20 30" xfId="2241"/>
    <cellStyle name="Normal 2 20 31" xfId="2242"/>
    <cellStyle name="Normal 2 20 32" xfId="2243"/>
    <cellStyle name="Normal 2 20 33" xfId="2244"/>
    <cellStyle name="Normal 2 20 34" xfId="2245"/>
    <cellStyle name="Normal 2 20 35" xfId="2246"/>
    <cellStyle name="Normal 2 20 36" xfId="2247"/>
    <cellStyle name="Normal 2 20 37" xfId="2248"/>
    <cellStyle name="Normal 2 20 38" xfId="2249"/>
    <cellStyle name="Normal 2 20 39" xfId="2250"/>
    <cellStyle name="Normal 2 20 4" xfId="2251"/>
    <cellStyle name="Normal 2 20 5" xfId="2252"/>
    <cellStyle name="Normal 2 20 6" xfId="2253"/>
    <cellStyle name="Normal 2 20 7" xfId="2254"/>
    <cellStyle name="Normal 2 20 8" xfId="2255"/>
    <cellStyle name="Normal 2 20 9" xfId="2256"/>
    <cellStyle name="Normal 2 20 9 2" xfId="2257"/>
    <cellStyle name="Normal 2 21" xfId="2258"/>
    <cellStyle name="Normal 2 21 10" xfId="2259"/>
    <cellStyle name="Normal 2 21 10 2" xfId="2260"/>
    <cellStyle name="Normal 2 21 11" xfId="2261"/>
    <cellStyle name="Normal 2 21 11 2" xfId="2262"/>
    <cellStyle name="Normal 2 21 12" xfId="2263"/>
    <cellStyle name="Normal 2 21 12 2" xfId="2264"/>
    <cellStyle name="Normal 2 21 13" xfId="2265"/>
    <cellStyle name="Normal 2 21 13 2" xfId="2266"/>
    <cellStyle name="Normal 2 21 14" xfId="2267"/>
    <cellStyle name="Normal 2 21 14 2" xfId="2268"/>
    <cellStyle name="Normal 2 21 15" xfId="2269"/>
    <cellStyle name="Normal 2 21 15 2" xfId="2270"/>
    <cellStyle name="Normal 2 21 16" xfId="2271"/>
    <cellStyle name="Normal 2 21 17" xfId="2272"/>
    <cellStyle name="Normal 2 21 18" xfId="2273"/>
    <cellStyle name="Normal 2 21 19" xfId="2274"/>
    <cellStyle name="Normal 2 21 2" xfId="2275"/>
    <cellStyle name="Normal 2 21 20" xfId="2276"/>
    <cellStyle name="Normal 2 21 21" xfId="2277"/>
    <cellStyle name="Normal 2 21 22" xfId="2278"/>
    <cellStyle name="Normal 2 21 23" xfId="2279"/>
    <cellStyle name="Normal 2 21 24" xfId="2280"/>
    <cellStyle name="Normal 2 21 25" xfId="2281"/>
    <cellStyle name="Normal 2 21 26" xfId="2282"/>
    <cellStyle name="Normal 2 21 27" xfId="2283"/>
    <cellStyle name="Normal 2 21 28" xfId="2284"/>
    <cellStyle name="Normal 2 21 29" xfId="2285"/>
    <cellStyle name="Normal 2 21 3" xfId="2286"/>
    <cellStyle name="Normal 2 21 30" xfId="2287"/>
    <cellStyle name="Normal 2 21 31" xfId="2288"/>
    <cellStyle name="Normal 2 21 32" xfId="2289"/>
    <cellStyle name="Normal 2 21 33" xfId="2290"/>
    <cellStyle name="Normal 2 21 34" xfId="2291"/>
    <cellStyle name="Normal 2 21 35" xfId="2292"/>
    <cellStyle name="Normal 2 21 36" xfId="2293"/>
    <cellStyle name="Normal 2 21 37" xfId="2294"/>
    <cellStyle name="Normal 2 21 38" xfId="2295"/>
    <cellStyle name="Normal 2 21 39" xfId="2296"/>
    <cellStyle name="Normal 2 21 4" xfId="2297"/>
    <cellStyle name="Normal 2 21 5" xfId="2298"/>
    <cellStyle name="Normal 2 21 6" xfId="2299"/>
    <cellStyle name="Normal 2 21 7" xfId="2300"/>
    <cellStyle name="Normal 2 21 8" xfId="2301"/>
    <cellStyle name="Normal 2 21 9" xfId="2302"/>
    <cellStyle name="Normal 2 21 9 2" xfId="2303"/>
    <cellStyle name="Normal 2 22" xfId="2304"/>
    <cellStyle name="Normal 2 22 10" xfId="2305"/>
    <cellStyle name="Normal 2 22 11" xfId="2306"/>
    <cellStyle name="Normal 2 22 12" xfId="2307"/>
    <cellStyle name="Normal 2 22 13" xfId="2308"/>
    <cellStyle name="Normal 2 22 14" xfId="2309"/>
    <cellStyle name="Normal 2 22 15" xfId="2310"/>
    <cellStyle name="Normal 2 22 16" xfId="2311"/>
    <cellStyle name="Normal 2 22 17" xfId="2312"/>
    <cellStyle name="Normal 2 22 18" xfId="2313"/>
    <cellStyle name="Normal 2 22 19" xfId="2314"/>
    <cellStyle name="Normal 2 22 2" xfId="2315"/>
    <cellStyle name="Normal 2 22 20" xfId="2316"/>
    <cellStyle name="Normal 2 22 21" xfId="2317"/>
    <cellStyle name="Normal 2 22 22" xfId="2318"/>
    <cellStyle name="Normal 2 22 3" xfId="2319"/>
    <cellStyle name="Normal 2 22 4" xfId="2320"/>
    <cellStyle name="Normal 2 22 5" xfId="2321"/>
    <cellStyle name="Normal 2 22 6" xfId="2322"/>
    <cellStyle name="Normal 2 22 7" xfId="2323"/>
    <cellStyle name="Normal 2 22 8" xfId="2324"/>
    <cellStyle name="Normal 2 22 9" xfId="2325"/>
    <cellStyle name="Normal 2 23" xfId="2326"/>
    <cellStyle name="Normal 2 23 2" xfId="2327"/>
    <cellStyle name="Normal 2 23 3" xfId="2328"/>
    <cellStyle name="Normal 2 23 4" xfId="2329"/>
    <cellStyle name="Normal 2 23 5" xfId="2330"/>
    <cellStyle name="Normal 2 23 6" xfId="2331"/>
    <cellStyle name="Normal 2 24" xfId="2332"/>
    <cellStyle name="Normal 2 24 2" xfId="2333"/>
    <cellStyle name="Normal 2 24 3" xfId="2334"/>
    <cellStyle name="Normal 2 24 4" xfId="2335"/>
    <cellStyle name="Normal 2 24 5" xfId="2336"/>
    <cellStyle name="Normal 2 24 6" xfId="2337"/>
    <cellStyle name="Normal 2 25" xfId="2338"/>
    <cellStyle name="Normal 2 25 2" xfId="2339"/>
    <cellStyle name="Normal 2 25 3" xfId="2340"/>
    <cellStyle name="Normal 2 25 4" xfId="2341"/>
    <cellStyle name="Normal 2 25 5" xfId="2342"/>
    <cellStyle name="Normal 2 25 6" xfId="2343"/>
    <cellStyle name="Normal 2 26" xfId="2344"/>
    <cellStyle name="Normal 2 26 2" xfId="2345"/>
    <cellStyle name="Normal 2 26 3" xfId="2346"/>
    <cellStyle name="Normal 2 26 4" xfId="2347"/>
    <cellStyle name="Normal 2 26 5" xfId="2348"/>
    <cellStyle name="Normal 2 26 6" xfId="2349"/>
    <cellStyle name="Normal 2 27" xfId="2350"/>
    <cellStyle name="Normal 2 27 2" xfId="2351"/>
    <cellStyle name="Normal 2 27 3" xfId="2352"/>
    <cellStyle name="Normal 2 27 4" xfId="2353"/>
    <cellStyle name="Normal 2 27 5" xfId="2354"/>
    <cellStyle name="Normal 2 27 6" xfId="2355"/>
    <cellStyle name="Normal 2 28" xfId="2356"/>
    <cellStyle name="Normal 2 28 10" xfId="2357"/>
    <cellStyle name="Normal 2 28 11" xfId="2358"/>
    <cellStyle name="Normal 2 28 12" xfId="2359"/>
    <cellStyle name="Normal 2 28 13" xfId="2360"/>
    <cellStyle name="Normal 2 28 14" xfId="2361"/>
    <cellStyle name="Normal 2 28 15" xfId="2362"/>
    <cellStyle name="Normal 2 28 16" xfId="2363"/>
    <cellStyle name="Normal 2 28 17" xfId="2364"/>
    <cellStyle name="Normal 2 28 18" xfId="2365"/>
    <cellStyle name="Normal 2 28 19" xfId="2366"/>
    <cellStyle name="Normal 2 28 2" xfId="2367"/>
    <cellStyle name="Normal 2 28 20" xfId="2368"/>
    <cellStyle name="Normal 2 28 21" xfId="2369"/>
    <cellStyle name="Normal 2 28 22" xfId="2370"/>
    <cellStyle name="Normal 2 28 3" xfId="2371"/>
    <cellStyle name="Normal 2 28 4" xfId="2372"/>
    <cellStyle name="Normal 2 28 5" xfId="2373"/>
    <cellStyle name="Normal 2 28 6" xfId="2374"/>
    <cellStyle name="Normal 2 28 7" xfId="2375"/>
    <cellStyle name="Normal 2 28 8" xfId="2376"/>
    <cellStyle name="Normal 2 28 9" xfId="2377"/>
    <cellStyle name="Normal 2 29" xfId="2378"/>
    <cellStyle name="Normal 2 3" xfId="2379"/>
    <cellStyle name="Normal 2 3 10" xfId="2380"/>
    <cellStyle name="Normal 2 3 10 2" xfId="2381"/>
    <cellStyle name="Normal 2 3 11" xfId="2382"/>
    <cellStyle name="Normal 2 3 11 2" xfId="2383"/>
    <cellStyle name="Normal 2 3 12" xfId="2384"/>
    <cellStyle name="Normal 2 3 12 2" xfId="2385"/>
    <cellStyle name="Normal 2 3 13" xfId="2386"/>
    <cellStyle name="Normal 2 3 13 2" xfId="2387"/>
    <cellStyle name="Normal 2 3 14" xfId="2388"/>
    <cellStyle name="Normal 2 3 14 2" xfId="2389"/>
    <cellStyle name="Normal 2 3 15" xfId="2390"/>
    <cellStyle name="Normal 2 3 15 2" xfId="2391"/>
    <cellStyle name="Normal 2 3 16" xfId="2392"/>
    <cellStyle name="Normal 2 3 16 2" xfId="2393"/>
    <cellStyle name="Normal 2 3 17" xfId="2394"/>
    <cellStyle name="Normal 2 3 18" xfId="2395"/>
    <cellStyle name="Normal 2 3 19" xfId="2396"/>
    <cellStyle name="Normal 2 3 2" xfId="2397"/>
    <cellStyle name="Normal 2 3 2 10" xfId="2398"/>
    <cellStyle name="Normal 2 3 2 11" xfId="2399"/>
    <cellStyle name="Normal 2 3 2 12" xfId="2400"/>
    <cellStyle name="Normal 2 3 2 13" xfId="2401"/>
    <cellStyle name="Normal 2 3 2 14" xfId="2402"/>
    <cellStyle name="Normal 2 3 2 15" xfId="2403"/>
    <cellStyle name="Normal 2 3 2 16" xfId="2404"/>
    <cellStyle name="Normal 2 3 2 17" xfId="2405"/>
    <cellStyle name="Normal 2 3 2 18" xfId="2406"/>
    <cellStyle name="Normal 2 3 2 19" xfId="2407"/>
    <cellStyle name="Normal 2 3 2 2" xfId="2408"/>
    <cellStyle name="Normal 2 3 2 20" xfId="2409"/>
    <cellStyle name="Normal 2 3 2 21" xfId="2410"/>
    <cellStyle name="Normal 2 3 2 22" xfId="2411"/>
    <cellStyle name="Normal 2 3 2 23" xfId="2412"/>
    <cellStyle name="Normal 2 3 2 24" xfId="2413"/>
    <cellStyle name="Normal 2 3 2 25" xfId="2414"/>
    <cellStyle name="Normal 2 3 2 26" xfId="2415"/>
    <cellStyle name="Normal 2 3 2 27" xfId="2416"/>
    <cellStyle name="Normal 2 3 2 28" xfId="2417"/>
    <cellStyle name="Normal 2 3 2 29" xfId="2418"/>
    <cellStyle name="Normal 2 3 2 3" xfId="2419"/>
    <cellStyle name="Normal 2 3 2 30" xfId="2420"/>
    <cellStyle name="Normal 2 3 2 31" xfId="2421"/>
    <cellStyle name="Normal 2 3 2 32" xfId="2422"/>
    <cellStyle name="Normal 2 3 2 4" xfId="2423"/>
    <cellStyle name="Normal 2 3 2 5" xfId="2424"/>
    <cellStyle name="Normal 2 3 2 6" xfId="2425"/>
    <cellStyle name="Normal 2 3 2 7" xfId="2426"/>
    <cellStyle name="Normal 2 3 2 8" xfId="2427"/>
    <cellStyle name="Normal 2 3 2 9" xfId="2428"/>
    <cellStyle name="Normal 2 3 20" xfId="2429"/>
    <cellStyle name="Normal 2 3 21" xfId="2430"/>
    <cellStyle name="Normal 2 3 22" xfId="2431"/>
    <cellStyle name="Normal 2 3 23" xfId="2432"/>
    <cellStyle name="Normal 2 3 24" xfId="2433"/>
    <cellStyle name="Normal 2 3 25" xfId="2434"/>
    <cellStyle name="Normal 2 3 26" xfId="2435"/>
    <cellStyle name="Normal 2 3 27" xfId="2436"/>
    <cellStyle name="Normal 2 3 28" xfId="2437"/>
    <cellStyle name="Normal 2 3 29" xfId="2438"/>
    <cellStyle name="Normal 2 3 3" xfId="2439"/>
    <cellStyle name="Normal 2 3 3 10" xfId="2440"/>
    <cellStyle name="Normal 2 3 3 11" xfId="2441"/>
    <cellStyle name="Normal 2 3 3 12" xfId="2442"/>
    <cellStyle name="Normal 2 3 3 13" xfId="2443"/>
    <cellStyle name="Normal 2 3 3 14" xfId="2444"/>
    <cellStyle name="Normal 2 3 3 15" xfId="2445"/>
    <cellStyle name="Normal 2 3 3 16" xfId="2446"/>
    <cellStyle name="Normal 2 3 3 17" xfId="2447"/>
    <cellStyle name="Normal 2 3 3 18" xfId="2448"/>
    <cellStyle name="Normal 2 3 3 19" xfId="2449"/>
    <cellStyle name="Normal 2 3 3 2" xfId="2450"/>
    <cellStyle name="Normal 2 3 3 20" xfId="2451"/>
    <cellStyle name="Normal 2 3 3 21" xfId="2452"/>
    <cellStyle name="Normal 2 3 3 22" xfId="2453"/>
    <cellStyle name="Normal 2 3 3 23" xfId="2454"/>
    <cellStyle name="Normal 2 3 3 24" xfId="2455"/>
    <cellStyle name="Normal 2 3 3 25" xfId="2456"/>
    <cellStyle name="Normal 2 3 3 26" xfId="2457"/>
    <cellStyle name="Normal 2 3 3 27" xfId="2458"/>
    <cellStyle name="Normal 2 3 3 28" xfId="2459"/>
    <cellStyle name="Normal 2 3 3 29" xfId="2460"/>
    <cellStyle name="Normal 2 3 3 3" xfId="2461"/>
    <cellStyle name="Normal 2 3 3 30" xfId="2462"/>
    <cellStyle name="Normal 2 3 3 31" xfId="2463"/>
    <cellStyle name="Normal 2 3 3 32" xfId="2464"/>
    <cellStyle name="Normal 2 3 3 4" xfId="2465"/>
    <cellStyle name="Normal 2 3 3 5" xfId="2466"/>
    <cellStyle name="Normal 2 3 3 6" xfId="2467"/>
    <cellStyle name="Normal 2 3 3 7" xfId="2468"/>
    <cellStyle name="Normal 2 3 3 8" xfId="2469"/>
    <cellStyle name="Normal 2 3 3 9" xfId="2470"/>
    <cellStyle name="Normal 2 3 30" xfId="2471"/>
    <cellStyle name="Normal 2 3 31" xfId="2472"/>
    <cellStyle name="Normal 2 3 32" xfId="2473"/>
    <cellStyle name="Normal 2 3 33" xfId="2474"/>
    <cellStyle name="Normal 2 3 34" xfId="2475"/>
    <cellStyle name="Normal 2 3 35" xfId="2476"/>
    <cellStyle name="Normal 2 3 36" xfId="2477"/>
    <cellStyle name="Normal 2 3 37" xfId="2478"/>
    <cellStyle name="Normal 2 3 4" xfId="2479"/>
    <cellStyle name="Normal 2 3 5" xfId="2480"/>
    <cellStyle name="Normal 2 3 6" xfId="2481"/>
    <cellStyle name="Normal 2 3 7" xfId="2482"/>
    <cellStyle name="Normal 2 3 7 10" xfId="2483"/>
    <cellStyle name="Normal 2 3 7 11" xfId="2484"/>
    <cellStyle name="Normal 2 3 7 12" xfId="2485"/>
    <cellStyle name="Normal 2 3 7 13" xfId="2486"/>
    <cellStyle name="Normal 2 3 7 14" xfId="2487"/>
    <cellStyle name="Normal 2 3 7 15" xfId="2488"/>
    <cellStyle name="Normal 2 3 7 16" xfId="2489"/>
    <cellStyle name="Normal 2 3 7 2" xfId="2490"/>
    <cellStyle name="Normal 2 3 7 3" xfId="2491"/>
    <cellStyle name="Normal 2 3 7 4" xfId="2492"/>
    <cellStyle name="Normal 2 3 7 5" xfId="2493"/>
    <cellStyle name="Normal 2 3 7 6" xfId="2494"/>
    <cellStyle name="Normal 2 3 7 7" xfId="2495"/>
    <cellStyle name="Normal 2 3 7 8" xfId="2496"/>
    <cellStyle name="Normal 2 3 7 9" xfId="2497"/>
    <cellStyle name="Normal 2 3 8" xfId="2498"/>
    <cellStyle name="Normal 2 3 8 10" xfId="2499"/>
    <cellStyle name="Normal 2 3 8 11" xfId="2500"/>
    <cellStyle name="Normal 2 3 8 12" xfId="2501"/>
    <cellStyle name="Normal 2 3 8 13" xfId="2502"/>
    <cellStyle name="Normal 2 3 8 14" xfId="2503"/>
    <cellStyle name="Normal 2 3 8 15" xfId="2504"/>
    <cellStyle name="Normal 2 3 8 16" xfId="2505"/>
    <cellStyle name="Normal 2 3 8 2" xfId="2506"/>
    <cellStyle name="Normal 2 3 8 3" xfId="2507"/>
    <cellStyle name="Normal 2 3 8 4" xfId="2508"/>
    <cellStyle name="Normal 2 3 8 5" xfId="2509"/>
    <cellStyle name="Normal 2 3 8 6" xfId="2510"/>
    <cellStyle name="Normal 2 3 8 7" xfId="2511"/>
    <cellStyle name="Normal 2 3 8 8" xfId="2512"/>
    <cellStyle name="Normal 2 3 8 9" xfId="2513"/>
    <cellStyle name="Normal 2 3 9" xfId="2514"/>
    <cellStyle name="Normal 2 3 9 2" xfId="2515"/>
    <cellStyle name="Normal 2 3 9 3" xfId="2516"/>
    <cellStyle name="Normal 2 3 9 4" xfId="2517"/>
    <cellStyle name="Normal 2 3 9 5" xfId="2518"/>
    <cellStyle name="Normal 2 3 9 6" xfId="2519"/>
    <cellStyle name="Normal 2 3 9 7" xfId="2520"/>
    <cellStyle name="Normal 2 3 9 8" xfId="2521"/>
    <cellStyle name="Normal 2 30" xfId="2522"/>
    <cellStyle name="Normal 2 31" xfId="2523"/>
    <cellStyle name="Normal 2 32" xfId="2524"/>
    <cellStyle name="Normal 2 33" xfId="2525"/>
    <cellStyle name="Normal 2 4" xfId="2526"/>
    <cellStyle name="Normal 2 4 10" xfId="2527"/>
    <cellStyle name="Normal 2 4 10 2" xfId="2528"/>
    <cellStyle name="Normal 2 4 11" xfId="2529"/>
    <cellStyle name="Normal 2 4 11 2" xfId="2530"/>
    <cellStyle name="Normal 2 4 12" xfId="2531"/>
    <cellStyle name="Normal 2 4 12 2" xfId="2532"/>
    <cellStyle name="Normal 2 4 13" xfId="2533"/>
    <cellStyle name="Normal 2 4 13 2" xfId="2534"/>
    <cellStyle name="Normal 2 4 2" xfId="2535"/>
    <cellStyle name="Normal 2 4 2 10" xfId="2536"/>
    <cellStyle name="Normal 2 4 2 11" xfId="2537"/>
    <cellStyle name="Normal 2 4 2 12" xfId="2538"/>
    <cellStyle name="Normal 2 4 2 13" xfId="2539"/>
    <cellStyle name="Normal 2 4 2 14" xfId="2540"/>
    <cellStyle name="Normal 2 4 2 15" xfId="2541"/>
    <cellStyle name="Normal 2 4 2 16" xfId="2542"/>
    <cellStyle name="Normal 2 4 2 17" xfId="2543"/>
    <cellStyle name="Normal 2 4 2 18" xfId="2544"/>
    <cellStyle name="Normal 2 4 2 19" xfId="2545"/>
    <cellStyle name="Normal 2 4 2 2" xfId="2546"/>
    <cellStyle name="Normal 2 4 2 20" xfId="2547"/>
    <cellStyle name="Normal 2 4 2 21" xfId="2548"/>
    <cellStyle name="Normal 2 4 2 22" xfId="2549"/>
    <cellStyle name="Normal 2 4 2 23" xfId="2550"/>
    <cellStyle name="Normal 2 4 2 24" xfId="2551"/>
    <cellStyle name="Normal 2 4 2 25" xfId="2552"/>
    <cellStyle name="Normal 2 4 2 26" xfId="2553"/>
    <cellStyle name="Normal 2 4 2 27" xfId="2554"/>
    <cellStyle name="Normal 2 4 2 28" xfId="2555"/>
    <cellStyle name="Normal 2 4 2 29" xfId="2556"/>
    <cellStyle name="Normal 2 4 2 3" xfId="2557"/>
    <cellStyle name="Normal 2 4 2 30" xfId="2558"/>
    <cellStyle name="Normal 2 4 2 31" xfId="2559"/>
    <cellStyle name="Normal 2 4 2 32" xfId="2560"/>
    <cellStyle name="Normal 2 4 2 4" xfId="2561"/>
    <cellStyle name="Normal 2 4 2 5" xfId="2562"/>
    <cellStyle name="Normal 2 4 2 6" xfId="2563"/>
    <cellStyle name="Normal 2 4 2 7" xfId="2564"/>
    <cellStyle name="Normal 2 4 2 8" xfId="2565"/>
    <cellStyle name="Normal 2 4 2 9" xfId="2566"/>
    <cellStyle name="Normal 2 4 3" xfId="2567"/>
    <cellStyle name="Normal 2 4 3 10" xfId="2568"/>
    <cellStyle name="Normal 2 4 3 11" xfId="2569"/>
    <cellStyle name="Normal 2 4 3 12" xfId="2570"/>
    <cellStyle name="Normal 2 4 3 13" xfId="2571"/>
    <cellStyle name="Normal 2 4 3 14" xfId="2572"/>
    <cellStyle name="Normal 2 4 3 15" xfId="2573"/>
    <cellStyle name="Normal 2 4 3 16" xfId="2574"/>
    <cellStyle name="Normal 2 4 3 17" xfId="2575"/>
    <cellStyle name="Normal 2 4 3 18" xfId="2576"/>
    <cellStyle name="Normal 2 4 3 19" xfId="2577"/>
    <cellStyle name="Normal 2 4 3 2" xfId="2578"/>
    <cellStyle name="Normal 2 4 3 20" xfId="2579"/>
    <cellStyle name="Normal 2 4 3 21" xfId="2580"/>
    <cellStyle name="Normal 2 4 3 22" xfId="2581"/>
    <cellStyle name="Normal 2 4 3 23" xfId="2582"/>
    <cellStyle name="Normal 2 4 3 24" xfId="2583"/>
    <cellStyle name="Normal 2 4 3 25" xfId="2584"/>
    <cellStyle name="Normal 2 4 3 26" xfId="2585"/>
    <cellStyle name="Normal 2 4 3 27" xfId="2586"/>
    <cellStyle name="Normal 2 4 3 28" xfId="2587"/>
    <cellStyle name="Normal 2 4 3 29" xfId="2588"/>
    <cellStyle name="Normal 2 4 3 3" xfId="2589"/>
    <cellStyle name="Normal 2 4 3 30" xfId="2590"/>
    <cellStyle name="Normal 2 4 3 31" xfId="2591"/>
    <cellStyle name="Normal 2 4 3 32" xfId="2592"/>
    <cellStyle name="Normal 2 4 3 4" xfId="2593"/>
    <cellStyle name="Normal 2 4 3 5" xfId="2594"/>
    <cellStyle name="Normal 2 4 3 6" xfId="2595"/>
    <cellStyle name="Normal 2 4 3 7" xfId="2596"/>
    <cellStyle name="Normal 2 4 3 8" xfId="2597"/>
    <cellStyle name="Normal 2 4 3 9" xfId="2598"/>
    <cellStyle name="Normal 2 4 4" xfId="2599"/>
    <cellStyle name="Normal 2 4 4 10" xfId="2600"/>
    <cellStyle name="Normal 2 4 4 11" xfId="2601"/>
    <cellStyle name="Normal 2 4 4 12" xfId="2602"/>
    <cellStyle name="Normal 2 4 4 13" xfId="2603"/>
    <cellStyle name="Normal 2 4 4 14" xfId="2604"/>
    <cellStyle name="Normal 2 4 4 15" xfId="2605"/>
    <cellStyle name="Normal 2 4 4 16" xfId="2606"/>
    <cellStyle name="Normal 2 4 4 2" xfId="2607"/>
    <cellStyle name="Normal 2 4 4 3" xfId="2608"/>
    <cellStyle name="Normal 2 4 4 4" xfId="2609"/>
    <cellStyle name="Normal 2 4 4 5" xfId="2610"/>
    <cellStyle name="Normal 2 4 4 6" xfId="2611"/>
    <cellStyle name="Normal 2 4 4 7" xfId="2612"/>
    <cellStyle name="Normal 2 4 4 8" xfId="2613"/>
    <cellStyle name="Normal 2 4 4 9" xfId="2614"/>
    <cellStyle name="Normal 2 4 5" xfId="2615"/>
    <cellStyle name="Normal 2 4 5 10" xfId="2616"/>
    <cellStyle name="Normal 2 4 5 11" xfId="2617"/>
    <cellStyle name="Normal 2 4 5 12" xfId="2618"/>
    <cellStyle name="Normal 2 4 5 13" xfId="2619"/>
    <cellStyle name="Normal 2 4 5 14" xfId="2620"/>
    <cellStyle name="Normal 2 4 5 15" xfId="2621"/>
    <cellStyle name="Normal 2 4 5 16" xfId="2622"/>
    <cellStyle name="Normal 2 4 5 2" xfId="2623"/>
    <cellStyle name="Normal 2 4 5 3" xfId="2624"/>
    <cellStyle name="Normal 2 4 5 4" xfId="2625"/>
    <cellStyle name="Normal 2 4 5 5" xfId="2626"/>
    <cellStyle name="Normal 2 4 5 6" xfId="2627"/>
    <cellStyle name="Normal 2 4 5 7" xfId="2628"/>
    <cellStyle name="Normal 2 4 5 8" xfId="2629"/>
    <cellStyle name="Normal 2 4 5 9" xfId="2630"/>
    <cellStyle name="Normal 2 4 6" xfId="2631"/>
    <cellStyle name="Normal 2 4 6 10" xfId="2632"/>
    <cellStyle name="Normal 2 4 6 11" xfId="2633"/>
    <cellStyle name="Normal 2 4 6 12" xfId="2634"/>
    <cellStyle name="Normal 2 4 6 13" xfId="2635"/>
    <cellStyle name="Normal 2 4 6 14" xfId="2636"/>
    <cellStyle name="Normal 2 4 6 15" xfId="2637"/>
    <cellStyle name="Normal 2 4 6 16" xfId="2638"/>
    <cellStyle name="Normal 2 4 6 2" xfId="2639"/>
    <cellStyle name="Normal 2 4 6 3" xfId="2640"/>
    <cellStyle name="Normal 2 4 6 4" xfId="2641"/>
    <cellStyle name="Normal 2 4 6 5" xfId="2642"/>
    <cellStyle name="Normal 2 4 6 6" xfId="2643"/>
    <cellStyle name="Normal 2 4 6 7" xfId="2644"/>
    <cellStyle name="Normal 2 4 6 8" xfId="2645"/>
    <cellStyle name="Normal 2 4 6 9" xfId="2646"/>
    <cellStyle name="Normal 2 4 7" xfId="2647"/>
    <cellStyle name="Normal 2 4 7 10" xfId="2648"/>
    <cellStyle name="Normal 2 4 7 2" xfId="2649"/>
    <cellStyle name="Normal 2 4 7 3" xfId="2650"/>
    <cellStyle name="Normal 2 4 7 4" xfId="2651"/>
    <cellStyle name="Normal 2 4 7 5" xfId="2652"/>
    <cellStyle name="Normal 2 4 7 6" xfId="2653"/>
    <cellStyle name="Normal 2 4 7 7" xfId="2654"/>
    <cellStyle name="Normal 2 4 7 8" xfId="2655"/>
    <cellStyle name="Normal 2 4 7 9" xfId="2656"/>
    <cellStyle name="Normal 2 4 8" xfId="2657"/>
    <cellStyle name="Normal 2 4 8 10" xfId="2658"/>
    <cellStyle name="Normal 2 4 8 2" xfId="2659"/>
    <cellStyle name="Normal 2 4 8 3" xfId="2660"/>
    <cellStyle name="Normal 2 4 8 4" xfId="2661"/>
    <cellStyle name="Normal 2 4 8 5" xfId="2662"/>
    <cellStyle name="Normal 2 4 8 6" xfId="2663"/>
    <cellStyle name="Normal 2 4 8 7" xfId="2664"/>
    <cellStyle name="Normal 2 4 8 8" xfId="2665"/>
    <cellStyle name="Normal 2 4 8 9" xfId="2666"/>
    <cellStyle name="Normal 2 4 9" xfId="2667"/>
    <cellStyle name="Normal 2 4 9 2" xfId="2668"/>
    <cellStyle name="Normal 2 5" xfId="2669"/>
    <cellStyle name="Normal 2 5 10" xfId="2670"/>
    <cellStyle name="Normal 2 5 10 2" xfId="2671"/>
    <cellStyle name="Normal 2 5 11" xfId="2672"/>
    <cellStyle name="Normal 2 5 11 2" xfId="2673"/>
    <cellStyle name="Normal 2 5 12" xfId="2674"/>
    <cellStyle name="Normal 2 5 12 2" xfId="2675"/>
    <cellStyle name="Normal 2 5 13" xfId="2676"/>
    <cellStyle name="Normal 2 5 13 2" xfId="2677"/>
    <cellStyle name="Normal 2 5 2" xfId="2678"/>
    <cellStyle name="Normal 2 5 2 10" xfId="2679"/>
    <cellStyle name="Normal 2 5 2 11" xfId="2680"/>
    <cellStyle name="Normal 2 5 2 12" xfId="2681"/>
    <cellStyle name="Normal 2 5 2 13" xfId="2682"/>
    <cellStyle name="Normal 2 5 2 14" xfId="2683"/>
    <cellStyle name="Normal 2 5 2 15" xfId="2684"/>
    <cellStyle name="Normal 2 5 2 16" xfId="2685"/>
    <cellStyle name="Normal 2 5 2 17" xfId="2686"/>
    <cellStyle name="Normal 2 5 2 18" xfId="2687"/>
    <cellStyle name="Normal 2 5 2 19" xfId="2688"/>
    <cellStyle name="Normal 2 5 2 2" xfId="2689"/>
    <cellStyle name="Normal 2 5 2 20" xfId="2690"/>
    <cellStyle name="Normal 2 5 2 21" xfId="2691"/>
    <cellStyle name="Normal 2 5 2 22" xfId="2692"/>
    <cellStyle name="Normal 2 5 2 23" xfId="2693"/>
    <cellStyle name="Normal 2 5 2 24" xfId="2694"/>
    <cellStyle name="Normal 2 5 2 25" xfId="2695"/>
    <cellStyle name="Normal 2 5 2 26" xfId="2696"/>
    <cellStyle name="Normal 2 5 2 27" xfId="2697"/>
    <cellStyle name="Normal 2 5 2 28" xfId="2698"/>
    <cellStyle name="Normal 2 5 2 29" xfId="2699"/>
    <cellStyle name="Normal 2 5 2 3" xfId="2700"/>
    <cellStyle name="Normal 2 5 2 30" xfId="2701"/>
    <cellStyle name="Normal 2 5 2 31" xfId="2702"/>
    <cellStyle name="Normal 2 5 2 32" xfId="2703"/>
    <cellStyle name="Normal 2 5 2 4" xfId="2704"/>
    <cellStyle name="Normal 2 5 2 5" xfId="2705"/>
    <cellStyle name="Normal 2 5 2 6" xfId="2706"/>
    <cellStyle name="Normal 2 5 2 7" xfId="2707"/>
    <cellStyle name="Normal 2 5 2 8" xfId="2708"/>
    <cellStyle name="Normal 2 5 2 9" xfId="2709"/>
    <cellStyle name="Normal 2 5 3" xfId="2710"/>
    <cellStyle name="Normal 2 5 3 10" xfId="2711"/>
    <cellStyle name="Normal 2 5 3 11" xfId="2712"/>
    <cellStyle name="Normal 2 5 3 12" xfId="2713"/>
    <cellStyle name="Normal 2 5 3 13" xfId="2714"/>
    <cellStyle name="Normal 2 5 3 14" xfId="2715"/>
    <cellStyle name="Normal 2 5 3 15" xfId="2716"/>
    <cellStyle name="Normal 2 5 3 16" xfId="2717"/>
    <cellStyle name="Normal 2 5 3 17" xfId="2718"/>
    <cellStyle name="Normal 2 5 3 18" xfId="2719"/>
    <cellStyle name="Normal 2 5 3 19" xfId="2720"/>
    <cellStyle name="Normal 2 5 3 2" xfId="2721"/>
    <cellStyle name="Normal 2 5 3 20" xfId="2722"/>
    <cellStyle name="Normal 2 5 3 21" xfId="2723"/>
    <cellStyle name="Normal 2 5 3 22" xfId="2724"/>
    <cellStyle name="Normal 2 5 3 23" xfId="2725"/>
    <cellStyle name="Normal 2 5 3 24" xfId="2726"/>
    <cellStyle name="Normal 2 5 3 25" xfId="2727"/>
    <cellStyle name="Normal 2 5 3 26" xfId="2728"/>
    <cellStyle name="Normal 2 5 3 27" xfId="2729"/>
    <cellStyle name="Normal 2 5 3 28" xfId="2730"/>
    <cellStyle name="Normal 2 5 3 29" xfId="2731"/>
    <cellStyle name="Normal 2 5 3 3" xfId="2732"/>
    <cellStyle name="Normal 2 5 3 30" xfId="2733"/>
    <cellStyle name="Normal 2 5 3 31" xfId="2734"/>
    <cellStyle name="Normal 2 5 3 32" xfId="2735"/>
    <cellStyle name="Normal 2 5 3 4" xfId="2736"/>
    <cellStyle name="Normal 2 5 3 5" xfId="2737"/>
    <cellStyle name="Normal 2 5 3 6" xfId="2738"/>
    <cellStyle name="Normal 2 5 3 7" xfId="2739"/>
    <cellStyle name="Normal 2 5 3 8" xfId="2740"/>
    <cellStyle name="Normal 2 5 3 9" xfId="2741"/>
    <cellStyle name="Normal 2 5 4" xfId="2742"/>
    <cellStyle name="Normal 2 5 4 10" xfId="2743"/>
    <cellStyle name="Normal 2 5 4 11" xfId="2744"/>
    <cellStyle name="Normal 2 5 4 12" xfId="2745"/>
    <cellStyle name="Normal 2 5 4 13" xfId="2746"/>
    <cellStyle name="Normal 2 5 4 14" xfId="2747"/>
    <cellStyle name="Normal 2 5 4 15" xfId="2748"/>
    <cellStyle name="Normal 2 5 4 16" xfId="2749"/>
    <cellStyle name="Normal 2 5 4 2" xfId="2750"/>
    <cellStyle name="Normal 2 5 4 3" xfId="2751"/>
    <cellStyle name="Normal 2 5 4 4" xfId="2752"/>
    <cellStyle name="Normal 2 5 4 5" xfId="2753"/>
    <cellStyle name="Normal 2 5 4 6" xfId="2754"/>
    <cellStyle name="Normal 2 5 4 7" xfId="2755"/>
    <cellStyle name="Normal 2 5 4 8" xfId="2756"/>
    <cellStyle name="Normal 2 5 4 9" xfId="2757"/>
    <cellStyle name="Normal 2 5 5" xfId="2758"/>
    <cellStyle name="Normal 2 5 5 10" xfId="2759"/>
    <cellStyle name="Normal 2 5 5 11" xfId="2760"/>
    <cellStyle name="Normal 2 5 5 12" xfId="2761"/>
    <cellStyle name="Normal 2 5 5 13" xfId="2762"/>
    <cellStyle name="Normal 2 5 5 14" xfId="2763"/>
    <cellStyle name="Normal 2 5 5 15" xfId="2764"/>
    <cellStyle name="Normal 2 5 5 16" xfId="2765"/>
    <cellStyle name="Normal 2 5 5 2" xfId="2766"/>
    <cellStyle name="Normal 2 5 5 3" xfId="2767"/>
    <cellStyle name="Normal 2 5 5 4" xfId="2768"/>
    <cellStyle name="Normal 2 5 5 5" xfId="2769"/>
    <cellStyle name="Normal 2 5 5 6" xfId="2770"/>
    <cellStyle name="Normal 2 5 5 7" xfId="2771"/>
    <cellStyle name="Normal 2 5 5 8" xfId="2772"/>
    <cellStyle name="Normal 2 5 5 9" xfId="2773"/>
    <cellStyle name="Normal 2 5 6" xfId="2774"/>
    <cellStyle name="Normal 2 5 6 10" xfId="2775"/>
    <cellStyle name="Normal 2 5 6 11" xfId="2776"/>
    <cellStyle name="Normal 2 5 6 12" xfId="2777"/>
    <cellStyle name="Normal 2 5 6 13" xfId="2778"/>
    <cellStyle name="Normal 2 5 6 14" xfId="2779"/>
    <cellStyle name="Normal 2 5 6 15" xfId="2780"/>
    <cellStyle name="Normal 2 5 6 16" xfId="2781"/>
    <cellStyle name="Normal 2 5 6 2" xfId="2782"/>
    <cellStyle name="Normal 2 5 6 3" xfId="2783"/>
    <cellStyle name="Normal 2 5 6 4" xfId="2784"/>
    <cellStyle name="Normal 2 5 6 5" xfId="2785"/>
    <cellStyle name="Normal 2 5 6 6" xfId="2786"/>
    <cellStyle name="Normal 2 5 6 7" xfId="2787"/>
    <cellStyle name="Normal 2 5 6 8" xfId="2788"/>
    <cellStyle name="Normal 2 5 6 9" xfId="2789"/>
    <cellStyle name="Normal 2 5 7" xfId="2790"/>
    <cellStyle name="Normal 2 5 7 10" xfId="2791"/>
    <cellStyle name="Normal 2 5 7 2" xfId="2792"/>
    <cellStyle name="Normal 2 5 7 3" xfId="2793"/>
    <cellStyle name="Normal 2 5 7 4" xfId="2794"/>
    <cellStyle name="Normal 2 5 7 5" xfId="2795"/>
    <cellStyle name="Normal 2 5 7 6" xfId="2796"/>
    <cellStyle name="Normal 2 5 7 7" xfId="2797"/>
    <cellStyle name="Normal 2 5 7 8" xfId="2798"/>
    <cellStyle name="Normal 2 5 7 9" xfId="2799"/>
    <cellStyle name="Normal 2 5 8" xfId="2800"/>
    <cellStyle name="Normal 2 5 8 10" xfId="2801"/>
    <cellStyle name="Normal 2 5 8 2" xfId="2802"/>
    <cellStyle name="Normal 2 5 8 3" xfId="2803"/>
    <cellStyle name="Normal 2 5 8 4" xfId="2804"/>
    <cellStyle name="Normal 2 5 8 5" xfId="2805"/>
    <cellStyle name="Normal 2 5 8 6" xfId="2806"/>
    <cellStyle name="Normal 2 5 8 7" xfId="2807"/>
    <cellStyle name="Normal 2 5 8 8" xfId="2808"/>
    <cellStyle name="Normal 2 5 8 9" xfId="2809"/>
    <cellStyle name="Normal 2 5 9" xfId="2810"/>
    <cellStyle name="Normal 2 5 9 2" xfId="2811"/>
    <cellStyle name="Normal 2 6" xfId="2812"/>
    <cellStyle name="Normal 2 6 10" xfId="2813"/>
    <cellStyle name="Normal 2 6 10 2" xfId="2814"/>
    <cellStyle name="Normal 2 6 11" xfId="2815"/>
    <cellStyle name="Normal 2 6 11 2" xfId="2816"/>
    <cellStyle name="Normal 2 6 12" xfId="2817"/>
    <cellStyle name="Normal 2 6 12 2" xfId="2818"/>
    <cellStyle name="Normal 2 6 13" xfId="2819"/>
    <cellStyle name="Normal 2 6 13 2" xfId="2820"/>
    <cellStyle name="Normal 2 6 14" xfId="2821"/>
    <cellStyle name="Normal 2 6 14 2" xfId="2822"/>
    <cellStyle name="Normal 2 6 15" xfId="2823"/>
    <cellStyle name="Normal 2 6 15 2" xfId="2824"/>
    <cellStyle name="Normal 2 6 16" xfId="2825"/>
    <cellStyle name="Normal 2 6 17" xfId="2826"/>
    <cellStyle name="Normal 2 6 18" xfId="2827"/>
    <cellStyle name="Normal 2 6 19" xfId="2828"/>
    <cellStyle name="Normal 2 6 2" xfId="2829"/>
    <cellStyle name="Normal 2 6 20" xfId="2830"/>
    <cellStyle name="Normal 2 6 21" xfId="2831"/>
    <cellStyle name="Normal 2 6 22" xfId="2832"/>
    <cellStyle name="Normal 2 6 23" xfId="2833"/>
    <cellStyle name="Normal 2 6 24" xfId="2834"/>
    <cellStyle name="Normal 2 6 25" xfId="2835"/>
    <cellStyle name="Normal 2 6 26" xfId="2836"/>
    <cellStyle name="Normal 2 6 27" xfId="2837"/>
    <cellStyle name="Normal 2 6 28" xfId="2838"/>
    <cellStyle name="Normal 2 6 29" xfId="2839"/>
    <cellStyle name="Normal 2 6 3" xfId="2840"/>
    <cellStyle name="Normal 2 6 30" xfId="2841"/>
    <cellStyle name="Normal 2 6 31" xfId="2842"/>
    <cellStyle name="Normal 2 6 32" xfId="2843"/>
    <cellStyle name="Normal 2 6 33" xfId="2844"/>
    <cellStyle name="Normal 2 6 34" xfId="2845"/>
    <cellStyle name="Normal 2 6 35" xfId="2846"/>
    <cellStyle name="Normal 2 6 36" xfId="2847"/>
    <cellStyle name="Normal 2 6 37" xfId="2848"/>
    <cellStyle name="Normal 2 6 38" xfId="2849"/>
    <cellStyle name="Normal 2 6 39" xfId="2850"/>
    <cellStyle name="Normal 2 6 4" xfId="2851"/>
    <cellStyle name="Normal 2 6 5" xfId="2852"/>
    <cellStyle name="Normal 2 6 6" xfId="2853"/>
    <cellStyle name="Normal 2 6 7" xfId="2854"/>
    <cellStyle name="Normal 2 6 8" xfId="2855"/>
    <cellStyle name="Normal 2 6 9" xfId="2856"/>
    <cellStyle name="Normal 2 6 9 2" xfId="2857"/>
    <cellStyle name="Normal 2 7" xfId="2858"/>
    <cellStyle name="Normal 2 7 10" xfId="2859"/>
    <cellStyle name="Normal 2 7 10 2" xfId="2860"/>
    <cellStyle name="Normal 2 7 11" xfId="2861"/>
    <cellStyle name="Normal 2 7 11 2" xfId="2862"/>
    <cellStyle name="Normal 2 7 12" xfId="2863"/>
    <cellStyle name="Normal 2 7 12 2" xfId="2864"/>
    <cellStyle name="Normal 2 7 13" xfId="2865"/>
    <cellStyle name="Normal 2 7 13 2" xfId="2866"/>
    <cellStyle name="Normal 2 7 14" xfId="2867"/>
    <cellStyle name="Normal 2 7 14 2" xfId="2868"/>
    <cellStyle name="Normal 2 7 15" xfId="2869"/>
    <cellStyle name="Normal 2 7 15 2" xfId="2870"/>
    <cellStyle name="Normal 2 7 16" xfId="2871"/>
    <cellStyle name="Normal 2 7 17" xfId="2872"/>
    <cellStyle name="Normal 2 7 18" xfId="2873"/>
    <cellStyle name="Normal 2 7 19" xfId="2874"/>
    <cellStyle name="Normal 2 7 2" xfId="2875"/>
    <cellStyle name="Normal 2 7 20" xfId="2876"/>
    <cellStyle name="Normal 2 7 21" xfId="2877"/>
    <cellStyle name="Normal 2 7 22" xfId="2878"/>
    <cellStyle name="Normal 2 7 23" xfId="2879"/>
    <cellStyle name="Normal 2 7 24" xfId="2880"/>
    <cellStyle name="Normal 2 7 25" xfId="2881"/>
    <cellStyle name="Normal 2 7 26" xfId="2882"/>
    <cellStyle name="Normal 2 7 27" xfId="2883"/>
    <cellStyle name="Normal 2 7 28" xfId="2884"/>
    <cellStyle name="Normal 2 7 29" xfId="2885"/>
    <cellStyle name="Normal 2 7 3" xfId="2886"/>
    <cellStyle name="Normal 2 7 30" xfId="2887"/>
    <cellStyle name="Normal 2 7 31" xfId="2888"/>
    <cellStyle name="Normal 2 7 32" xfId="2889"/>
    <cellStyle name="Normal 2 7 33" xfId="2890"/>
    <cellStyle name="Normal 2 7 34" xfId="2891"/>
    <cellStyle name="Normal 2 7 35" xfId="2892"/>
    <cellStyle name="Normal 2 7 36" xfId="2893"/>
    <cellStyle name="Normal 2 7 37" xfId="2894"/>
    <cellStyle name="Normal 2 7 38" xfId="2895"/>
    <cellStyle name="Normal 2 7 39" xfId="2896"/>
    <cellStyle name="Normal 2 7 4" xfId="2897"/>
    <cellStyle name="Normal 2 7 5" xfId="2898"/>
    <cellStyle name="Normal 2 7 6" xfId="2899"/>
    <cellStyle name="Normal 2 7 7" xfId="2900"/>
    <cellStyle name="Normal 2 7 8" xfId="2901"/>
    <cellStyle name="Normal 2 7 9" xfId="2902"/>
    <cellStyle name="Normal 2 7 9 2" xfId="2903"/>
    <cellStyle name="Normal 2 8" xfId="2904"/>
    <cellStyle name="Normal 2 8 10" xfId="2905"/>
    <cellStyle name="Normal 2 8 10 2" xfId="2906"/>
    <cellStyle name="Normal 2 8 11" xfId="2907"/>
    <cellStyle name="Normal 2 8 11 2" xfId="2908"/>
    <cellStyle name="Normal 2 8 12" xfId="2909"/>
    <cellStyle name="Normal 2 8 12 2" xfId="2910"/>
    <cellStyle name="Normal 2 8 13" xfId="2911"/>
    <cellStyle name="Normal 2 8 13 2" xfId="2912"/>
    <cellStyle name="Normal 2 8 14" xfId="2913"/>
    <cellStyle name="Normal 2 8 14 2" xfId="2914"/>
    <cellStyle name="Normal 2 8 15" xfId="2915"/>
    <cellStyle name="Normal 2 8 15 2" xfId="2916"/>
    <cellStyle name="Normal 2 8 16" xfId="2917"/>
    <cellStyle name="Normal 2 8 17" xfId="2918"/>
    <cellStyle name="Normal 2 8 18" xfId="2919"/>
    <cellStyle name="Normal 2 8 19" xfId="2920"/>
    <cellStyle name="Normal 2 8 2" xfId="2921"/>
    <cellStyle name="Normal 2 8 20" xfId="2922"/>
    <cellStyle name="Normal 2 8 21" xfId="2923"/>
    <cellStyle name="Normal 2 8 22" xfId="2924"/>
    <cellStyle name="Normal 2 8 23" xfId="2925"/>
    <cellStyle name="Normal 2 8 24" xfId="2926"/>
    <cellStyle name="Normal 2 8 25" xfId="2927"/>
    <cellStyle name="Normal 2 8 26" xfId="2928"/>
    <cellStyle name="Normal 2 8 27" xfId="2929"/>
    <cellStyle name="Normal 2 8 28" xfId="2930"/>
    <cellStyle name="Normal 2 8 29" xfId="2931"/>
    <cellStyle name="Normal 2 8 3" xfId="2932"/>
    <cellStyle name="Normal 2 8 30" xfId="2933"/>
    <cellStyle name="Normal 2 8 31" xfId="2934"/>
    <cellStyle name="Normal 2 8 32" xfId="2935"/>
    <cellStyle name="Normal 2 8 33" xfId="2936"/>
    <cellStyle name="Normal 2 8 34" xfId="2937"/>
    <cellStyle name="Normal 2 8 35" xfId="2938"/>
    <cellStyle name="Normal 2 8 36" xfId="2939"/>
    <cellStyle name="Normal 2 8 37" xfId="2940"/>
    <cellStyle name="Normal 2 8 38" xfId="2941"/>
    <cellStyle name="Normal 2 8 39" xfId="2942"/>
    <cellStyle name="Normal 2 8 4" xfId="2943"/>
    <cellStyle name="Normal 2 8 5" xfId="2944"/>
    <cellStyle name="Normal 2 8 6" xfId="2945"/>
    <cellStyle name="Normal 2 8 7" xfId="2946"/>
    <cellStyle name="Normal 2 8 8" xfId="2947"/>
    <cellStyle name="Normal 2 8 9" xfId="2948"/>
    <cellStyle name="Normal 2 8 9 2" xfId="2949"/>
    <cellStyle name="Normal 2 9" xfId="2950"/>
    <cellStyle name="Normal 2 9 10" xfId="2951"/>
    <cellStyle name="Normal 2 9 10 2" xfId="2952"/>
    <cellStyle name="Normal 2 9 11" xfId="2953"/>
    <cellStyle name="Normal 2 9 11 2" xfId="2954"/>
    <cellStyle name="Normal 2 9 12" xfId="2955"/>
    <cellStyle name="Normal 2 9 12 2" xfId="2956"/>
    <cellStyle name="Normal 2 9 13" xfId="2957"/>
    <cellStyle name="Normal 2 9 13 2" xfId="2958"/>
    <cellStyle name="Normal 2 9 14" xfId="2959"/>
    <cellStyle name="Normal 2 9 14 2" xfId="2960"/>
    <cellStyle name="Normal 2 9 15" xfId="2961"/>
    <cellStyle name="Normal 2 9 15 2" xfId="2962"/>
    <cellStyle name="Normal 2 9 16" xfId="2963"/>
    <cellStyle name="Normal 2 9 17" xfId="2964"/>
    <cellStyle name="Normal 2 9 18" xfId="2965"/>
    <cellStyle name="Normal 2 9 19" xfId="2966"/>
    <cellStyle name="Normal 2 9 2" xfId="2967"/>
    <cellStyle name="Normal 2 9 20" xfId="2968"/>
    <cellStyle name="Normal 2 9 21" xfId="2969"/>
    <cellStyle name="Normal 2 9 22" xfId="2970"/>
    <cellStyle name="Normal 2 9 23" xfId="2971"/>
    <cellStyle name="Normal 2 9 24" xfId="2972"/>
    <cellStyle name="Normal 2 9 25" xfId="2973"/>
    <cellStyle name="Normal 2 9 26" xfId="2974"/>
    <cellStyle name="Normal 2 9 27" xfId="2975"/>
    <cellStyle name="Normal 2 9 28" xfId="2976"/>
    <cellStyle name="Normal 2 9 29" xfId="2977"/>
    <cellStyle name="Normal 2 9 3" xfId="2978"/>
    <cellStyle name="Normal 2 9 30" xfId="2979"/>
    <cellStyle name="Normal 2 9 31" xfId="2980"/>
    <cellStyle name="Normal 2 9 32" xfId="2981"/>
    <cellStyle name="Normal 2 9 33" xfId="2982"/>
    <cellStyle name="Normal 2 9 34" xfId="2983"/>
    <cellStyle name="Normal 2 9 35" xfId="2984"/>
    <cellStyle name="Normal 2 9 36" xfId="2985"/>
    <cellStyle name="Normal 2 9 37" xfId="2986"/>
    <cellStyle name="Normal 2 9 38" xfId="2987"/>
    <cellStyle name="Normal 2 9 39" xfId="2988"/>
    <cellStyle name="Normal 2 9 4" xfId="2989"/>
    <cellStyle name="Normal 2 9 5" xfId="2990"/>
    <cellStyle name="Normal 2 9 6" xfId="2991"/>
    <cellStyle name="Normal 2 9 7" xfId="2992"/>
    <cellStyle name="Normal 2 9 8" xfId="2993"/>
    <cellStyle name="Normal 2 9 9" xfId="2994"/>
    <cellStyle name="Normal 2 9 9 2" xfId="2995"/>
    <cellStyle name="Normal 20" xfId="2996"/>
    <cellStyle name="Normal 20 10" xfId="2997"/>
    <cellStyle name="Normal 20 11" xfId="2998"/>
    <cellStyle name="Normal 20 12" xfId="2999"/>
    <cellStyle name="Normal 20 13" xfId="3000"/>
    <cellStyle name="Normal 20 14" xfId="3001"/>
    <cellStyle name="Normal 20 15" xfId="3002"/>
    <cellStyle name="Normal 20 16" xfId="3003"/>
    <cellStyle name="Normal 20 17" xfId="3004"/>
    <cellStyle name="Normal 20 18" xfId="3005"/>
    <cellStyle name="Normal 20 19" xfId="3006"/>
    <cellStyle name="Normal 20 2" xfId="3007"/>
    <cellStyle name="Normal 20 20" xfId="3008"/>
    <cellStyle name="Normal 20 21" xfId="3009"/>
    <cellStyle name="Normal 20 22" xfId="3010"/>
    <cellStyle name="Normal 20 23" xfId="3011"/>
    <cellStyle name="Normal 20 24" xfId="3012"/>
    <cellStyle name="Normal 20 25" xfId="3013"/>
    <cellStyle name="Normal 20 26" xfId="3014"/>
    <cellStyle name="Normal 20 27" xfId="3015"/>
    <cellStyle name="Normal 20 28" xfId="3016"/>
    <cellStyle name="Normal 20 29" xfId="3017"/>
    <cellStyle name="Normal 20 3" xfId="3018"/>
    <cellStyle name="Normal 20 30" xfId="3019"/>
    <cellStyle name="Normal 20 31" xfId="3020"/>
    <cellStyle name="Normal 20 32" xfId="3021"/>
    <cellStyle name="Normal 20 33" xfId="3022"/>
    <cellStyle name="Normal 20 34" xfId="3023"/>
    <cellStyle name="Normal 20 35" xfId="3024"/>
    <cellStyle name="Normal 20 36" xfId="3025"/>
    <cellStyle name="Normal 20 37" xfId="3026"/>
    <cellStyle name="Normal 20 38" xfId="3027"/>
    <cellStyle name="Normal 20 39" xfId="3028"/>
    <cellStyle name="Normal 20 4" xfId="3029"/>
    <cellStyle name="Normal 20 40" xfId="3030"/>
    <cellStyle name="Normal 20 41" xfId="3031"/>
    <cellStyle name="Normal 20 42" xfId="3032"/>
    <cellStyle name="Normal 20 43" xfId="3033"/>
    <cellStyle name="Normal 20 44" xfId="3034"/>
    <cellStyle name="Normal 20 45" xfId="3035"/>
    <cellStyle name="Normal 20 46" xfId="3036"/>
    <cellStyle name="Normal 20 47" xfId="3037"/>
    <cellStyle name="Normal 20 48" xfId="3038"/>
    <cellStyle name="Normal 20 49" xfId="3039"/>
    <cellStyle name="Normal 20 5" xfId="3040"/>
    <cellStyle name="Normal 20 50" xfId="3041"/>
    <cellStyle name="Normal 20 51" xfId="3042"/>
    <cellStyle name="Normal 20 52" xfId="3043"/>
    <cellStyle name="Normal 20 53" xfId="3044"/>
    <cellStyle name="Normal 20 54" xfId="3045"/>
    <cellStyle name="Normal 20 55" xfId="3046"/>
    <cellStyle name="Normal 20 56" xfId="3047"/>
    <cellStyle name="Normal 20 57" xfId="3048"/>
    <cellStyle name="Normal 20 58" xfId="3049"/>
    <cellStyle name="Normal 20 59" xfId="3050"/>
    <cellStyle name="Normal 20 6" xfId="3051"/>
    <cellStyle name="Normal 20 7" xfId="3052"/>
    <cellStyle name="Normal 20 8" xfId="3053"/>
    <cellStyle name="Normal 20 9" xfId="3054"/>
    <cellStyle name="Normal 21" xfId="3055"/>
    <cellStyle name="Normal 22" xfId="3056"/>
    <cellStyle name="Normal 22 10" xfId="3057"/>
    <cellStyle name="Normal 22 11" xfId="3058"/>
    <cellStyle name="Normal 22 12" xfId="3059"/>
    <cellStyle name="Normal 22 13" xfId="3060"/>
    <cellStyle name="Normal 22 14" xfId="3061"/>
    <cellStyle name="Normal 22 15" xfId="3062"/>
    <cellStyle name="Normal 22 16" xfId="3063"/>
    <cellStyle name="Normal 22 17" xfId="3064"/>
    <cellStyle name="Normal 22 18" xfId="3065"/>
    <cellStyle name="Normal 22 19" xfId="3066"/>
    <cellStyle name="Normal 22 2" xfId="3067"/>
    <cellStyle name="Normal 22 20" xfId="3068"/>
    <cellStyle name="Normal 22 21" xfId="3069"/>
    <cellStyle name="Normal 22 22" xfId="3070"/>
    <cellStyle name="Normal 22 23" xfId="3071"/>
    <cellStyle name="Normal 22 24" xfId="3072"/>
    <cellStyle name="Normal 22 3" xfId="3073"/>
    <cellStyle name="Normal 22 4" xfId="3074"/>
    <cellStyle name="Normal 22 5" xfId="3075"/>
    <cellStyle name="Normal 22 6" xfId="3076"/>
    <cellStyle name="Normal 22 7" xfId="3077"/>
    <cellStyle name="Normal 22 8" xfId="3078"/>
    <cellStyle name="Normal 22 9" xfId="3079"/>
    <cellStyle name="Normal 23" xfId="3080"/>
    <cellStyle name="Normal 24" xfId="3081"/>
    <cellStyle name="Normal 24 10" xfId="3082"/>
    <cellStyle name="Normal 24 11" xfId="3083"/>
    <cellStyle name="Normal 24 2" xfId="3084"/>
    <cellStyle name="Normal 24 3" xfId="3085"/>
    <cellStyle name="Normal 24 4" xfId="3086"/>
    <cellStyle name="Normal 24 5" xfId="3087"/>
    <cellStyle name="Normal 24 6" xfId="3088"/>
    <cellStyle name="Normal 24 7" xfId="3089"/>
    <cellStyle name="Normal 24 8" xfId="3090"/>
    <cellStyle name="Normal 24 9" xfId="3091"/>
    <cellStyle name="Normal 25" xfId="3092"/>
    <cellStyle name="Normal 25 10" xfId="3093"/>
    <cellStyle name="Normal 25 11" xfId="3094"/>
    <cellStyle name="Normal 25 2" xfId="3095"/>
    <cellStyle name="Normal 25 3" xfId="3096"/>
    <cellStyle name="Normal 25 4" xfId="3097"/>
    <cellStyle name="Normal 25 5" xfId="3098"/>
    <cellStyle name="Normal 25 6" xfId="3099"/>
    <cellStyle name="Normal 25 7" xfId="3100"/>
    <cellStyle name="Normal 25 8" xfId="3101"/>
    <cellStyle name="Normal 25 9" xfId="3102"/>
    <cellStyle name="Normal 26" xfId="3103"/>
    <cellStyle name="Normal 26 2" xfId="3104"/>
    <cellStyle name="Normal 26 3" xfId="3105"/>
    <cellStyle name="Normal 26 4" xfId="3106"/>
    <cellStyle name="Normal 26 5" xfId="3107"/>
    <cellStyle name="Normal 26 6" xfId="3108"/>
    <cellStyle name="Normal 26 7" xfId="3109"/>
    <cellStyle name="Normal 26 8" xfId="3110"/>
    <cellStyle name="Normal 27" xfId="3111"/>
    <cellStyle name="Normal 27 10" xfId="3112"/>
    <cellStyle name="Normal 27 11" xfId="3113"/>
    <cellStyle name="Normal 27 2" xfId="3114"/>
    <cellStyle name="Normal 27 3" xfId="3115"/>
    <cellStyle name="Normal 27 4" xfId="3116"/>
    <cellStyle name="Normal 27 5" xfId="3117"/>
    <cellStyle name="Normal 27 6" xfId="3118"/>
    <cellStyle name="Normal 27 7" xfId="3119"/>
    <cellStyle name="Normal 27 8" xfId="3120"/>
    <cellStyle name="Normal 27 9" xfId="3121"/>
    <cellStyle name="Normal 28" xfId="3122"/>
    <cellStyle name="Normal 28 10" xfId="3123"/>
    <cellStyle name="Normal 28 11" xfId="3124"/>
    <cellStyle name="Normal 28 2" xfId="3125"/>
    <cellStyle name="Normal 28 3" xfId="3126"/>
    <cellStyle name="Normal 28 4" xfId="3127"/>
    <cellStyle name="Normal 28 5" xfId="3128"/>
    <cellStyle name="Normal 28 6" xfId="3129"/>
    <cellStyle name="Normal 28 7" xfId="3130"/>
    <cellStyle name="Normal 28 8" xfId="3131"/>
    <cellStyle name="Normal 28 9" xfId="3132"/>
    <cellStyle name="Normal 29" xfId="3133"/>
    <cellStyle name="Normal 3" xfId="3134"/>
    <cellStyle name="Normal 3 10" xfId="3135"/>
    <cellStyle name="Normal 3 11" xfId="3136"/>
    <cellStyle name="Normal 3 12" xfId="3137"/>
    <cellStyle name="Normal 3 13" xfId="3138"/>
    <cellStyle name="Normal 3 14" xfId="3139"/>
    <cellStyle name="Normal 3 15" xfId="3140"/>
    <cellStyle name="Normal 3 16" xfId="3141"/>
    <cellStyle name="Normal 3 17" xfId="3142"/>
    <cellStyle name="Normal 3 18" xfId="3143"/>
    <cellStyle name="Normal 3 19" xfId="3144"/>
    <cellStyle name="Normal 3 2" xfId="3145"/>
    <cellStyle name="Normal 3 2 10" xfId="3146"/>
    <cellStyle name="Normal 3 2 11" xfId="3147"/>
    <cellStyle name="Normal 3 2 12" xfId="3148"/>
    <cellStyle name="Normal 3 2 13" xfId="3149"/>
    <cellStyle name="Normal 3 2 14" xfId="3150"/>
    <cellStyle name="Normal 3 2 15" xfId="3151"/>
    <cellStyle name="Normal 3 2 16" xfId="3152"/>
    <cellStyle name="Normal 3 2 17" xfId="3153"/>
    <cellStyle name="Normal 3 2 18" xfId="3154"/>
    <cellStyle name="Normal 3 2 19" xfId="3155"/>
    <cellStyle name="Normal 3 2 2" xfId="3156"/>
    <cellStyle name="Normal 3 2 20" xfId="3157"/>
    <cellStyle name="Normal 3 2 21" xfId="3158"/>
    <cellStyle name="Normal 3 2 22" xfId="3159"/>
    <cellStyle name="Normal 3 2 23" xfId="3160"/>
    <cellStyle name="Normal 3 2 24" xfId="3161"/>
    <cellStyle name="Normal 3 2 25" xfId="3162"/>
    <cellStyle name="Normal 3 2 26" xfId="3163"/>
    <cellStyle name="Normal 3 2 27" xfId="3164"/>
    <cellStyle name="Normal 3 2 28" xfId="3165"/>
    <cellStyle name="Normal 3 2 29" xfId="3166"/>
    <cellStyle name="Normal 3 2 3" xfId="3167"/>
    <cellStyle name="Normal 3 2 30" xfId="3168"/>
    <cellStyle name="Normal 3 2 31" xfId="3169"/>
    <cellStyle name="Normal 3 2 32" xfId="3170"/>
    <cellStyle name="Normal 3 2 33" xfId="3171"/>
    <cellStyle name="Normal 3 2 34" xfId="3172"/>
    <cellStyle name="Normal 3 2 35" xfId="3173"/>
    <cellStyle name="Normal 3 2 36" xfId="3174"/>
    <cellStyle name="Normal 3 2 37" xfId="3175"/>
    <cellStyle name="Normal 3 2 38" xfId="3176"/>
    <cellStyle name="Normal 3 2 4" xfId="3177"/>
    <cellStyle name="Normal 3 2 5" xfId="3178"/>
    <cellStyle name="Normal 3 2 6" xfId="3179"/>
    <cellStyle name="Normal 3 2 7" xfId="3180"/>
    <cellStyle name="Normal 3 2 8" xfId="3181"/>
    <cellStyle name="Normal 3 2 9" xfId="3182"/>
    <cellStyle name="Normal 3 20" xfId="3183"/>
    <cellStyle name="Normal 3 21" xfId="3184"/>
    <cellStyle name="Normal 3 22" xfId="3185"/>
    <cellStyle name="Normal 3 22 10" xfId="3186"/>
    <cellStyle name="Normal 3 22 11" xfId="3187"/>
    <cellStyle name="Normal 3 22 12" xfId="3188"/>
    <cellStyle name="Normal 3 22 13" xfId="3189"/>
    <cellStyle name="Normal 3 22 14" xfId="3190"/>
    <cellStyle name="Normal 3 22 15" xfId="3191"/>
    <cellStyle name="Normal 3 22 16" xfId="3192"/>
    <cellStyle name="Normal 3 22 17" xfId="3193"/>
    <cellStyle name="Normal 3 22 18" xfId="3194"/>
    <cellStyle name="Normal 3 22 19" xfId="3195"/>
    <cellStyle name="Normal 3 22 2" xfId="3196"/>
    <cellStyle name="Normal 3 22 20" xfId="3197"/>
    <cellStyle name="Normal 3 22 21" xfId="3198"/>
    <cellStyle name="Normal 3 22 22" xfId="3199"/>
    <cellStyle name="Normal 3 22 23" xfId="3200"/>
    <cellStyle name="Normal 3 22 24" xfId="3201"/>
    <cellStyle name="Normal 3 22 25" xfId="3202"/>
    <cellStyle name="Normal 3 22 3" xfId="3203"/>
    <cellStyle name="Normal 3 22 4" xfId="3204"/>
    <cellStyle name="Normal 3 22 5" xfId="3205"/>
    <cellStyle name="Normal 3 22 6" xfId="3206"/>
    <cellStyle name="Normal 3 22 7" xfId="3207"/>
    <cellStyle name="Normal 3 22 8" xfId="3208"/>
    <cellStyle name="Normal 3 22 9" xfId="3209"/>
    <cellStyle name="Normal 3 23" xfId="3210"/>
    <cellStyle name="Normal 3 23 10" xfId="3211"/>
    <cellStyle name="Normal 3 23 11" xfId="3212"/>
    <cellStyle name="Normal 3 23 12" xfId="3213"/>
    <cellStyle name="Normal 3 23 13" xfId="3214"/>
    <cellStyle name="Normal 3 23 14" xfId="3215"/>
    <cellStyle name="Normal 3 23 15" xfId="3216"/>
    <cellStyle name="Normal 3 23 16" xfId="3217"/>
    <cellStyle name="Normal 3 23 17" xfId="3218"/>
    <cellStyle name="Normal 3 23 18" xfId="3219"/>
    <cellStyle name="Normal 3 23 19" xfId="3220"/>
    <cellStyle name="Normal 3 23 2" xfId="3221"/>
    <cellStyle name="Normal 3 23 20" xfId="3222"/>
    <cellStyle name="Normal 3 23 21" xfId="3223"/>
    <cellStyle name="Normal 3 23 22" xfId="3224"/>
    <cellStyle name="Normal 3 23 23" xfId="3225"/>
    <cellStyle name="Normal 3 23 24" xfId="3226"/>
    <cellStyle name="Normal 3 23 25" xfId="3227"/>
    <cellStyle name="Normal 3 23 3" xfId="3228"/>
    <cellStyle name="Normal 3 23 4" xfId="3229"/>
    <cellStyle name="Normal 3 23 5" xfId="3230"/>
    <cellStyle name="Normal 3 23 6" xfId="3231"/>
    <cellStyle name="Normal 3 23 7" xfId="3232"/>
    <cellStyle name="Normal 3 23 8" xfId="3233"/>
    <cellStyle name="Normal 3 23 9" xfId="3234"/>
    <cellStyle name="Normal 3 24" xfId="3235"/>
    <cellStyle name="Normal 3 25" xfId="3236"/>
    <cellStyle name="Normal 3 26" xfId="3237"/>
    <cellStyle name="Normal 3 27" xfId="3238"/>
    <cellStyle name="Normal 3 28" xfId="3239"/>
    <cellStyle name="Normal 3 29" xfId="3240"/>
    <cellStyle name="Normal 3 3" xfId="3241"/>
    <cellStyle name="Normal 3 3 10" xfId="3242"/>
    <cellStyle name="Normal 3 3 11" xfId="3243"/>
    <cellStyle name="Normal 3 3 12" xfId="3244"/>
    <cellStyle name="Normal 3 3 13" xfId="3245"/>
    <cellStyle name="Normal 3 3 14" xfId="3246"/>
    <cellStyle name="Normal 3 3 15" xfId="3247"/>
    <cellStyle name="Normal 3 3 16" xfId="3248"/>
    <cellStyle name="Normal 3 3 17" xfId="3249"/>
    <cellStyle name="Normal 3 3 18" xfId="3250"/>
    <cellStyle name="Normal 3 3 19" xfId="3251"/>
    <cellStyle name="Normal 3 3 2" xfId="3252"/>
    <cellStyle name="Normal 3 3 20" xfId="3253"/>
    <cellStyle name="Normal 3 3 21" xfId="3254"/>
    <cellStyle name="Normal 3 3 22" xfId="3255"/>
    <cellStyle name="Normal 3 3 23" xfId="3256"/>
    <cellStyle name="Normal 3 3 24" xfId="3257"/>
    <cellStyle name="Normal 3 3 25" xfId="3258"/>
    <cellStyle name="Normal 3 3 26" xfId="3259"/>
    <cellStyle name="Normal 3 3 27" xfId="3260"/>
    <cellStyle name="Normal 3 3 28" xfId="3261"/>
    <cellStyle name="Normal 3 3 29" xfId="3262"/>
    <cellStyle name="Normal 3 3 3" xfId="3263"/>
    <cellStyle name="Normal 3 3 30" xfId="3264"/>
    <cellStyle name="Normal 3 3 31" xfId="3265"/>
    <cellStyle name="Normal 3 3 32" xfId="3266"/>
    <cellStyle name="Normal 3 3 33" xfId="3267"/>
    <cellStyle name="Normal 3 3 34" xfId="3268"/>
    <cellStyle name="Normal 3 3 35" xfId="3269"/>
    <cellStyle name="Normal 3 3 36" xfId="3270"/>
    <cellStyle name="Normal 3 3 37" xfId="3271"/>
    <cellStyle name="Normal 3 3 4" xfId="3272"/>
    <cellStyle name="Normal 3 3 5" xfId="3273"/>
    <cellStyle name="Normal 3 3 6" xfId="3274"/>
    <cellStyle name="Normal 3 3 7" xfId="3275"/>
    <cellStyle name="Normal 3 3 8" xfId="3276"/>
    <cellStyle name="Normal 3 3 9" xfId="3277"/>
    <cellStyle name="Normal 3 30" xfId="3278"/>
    <cellStyle name="Normal 3 31" xfId="3279"/>
    <cellStyle name="Normal 3 32" xfId="3280"/>
    <cellStyle name="Normal 3 32 2" xfId="3281"/>
    <cellStyle name="Normal 3 32 3" xfId="3282"/>
    <cellStyle name="Normal 3 32 4" xfId="3283"/>
    <cellStyle name="Normal 3 32 5" xfId="3284"/>
    <cellStyle name="Normal 3 32 6" xfId="3285"/>
    <cellStyle name="Normal 3 32 7" xfId="3286"/>
    <cellStyle name="Normal 3 32 8" xfId="3287"/>
    <cellStyle name="Normal 3 32 9" xfId="3288"/>
    <cellStyle name="Normal 3 33" xfId="3289"/>
    <cellStyle name="Normal 3 33 2" xfId="3290"/>
    <cellStyle name="Normal 3 33 3" xfId="3291"/>
    <cellStyle name="Normal 3 33 4" xfId="3292"/>
    <cellStyle name="Normal 3 33 5" xfId="3293"/>
    <cellStyle name="Normal 3 33 6" xfId="3294"/>
    <cellStyle name="Normal 3 33 7" xfId="3295"/>
    <cellStyle name="Normal 3 33 8" xfId="3296"/>
    <cellStyle name="Normal 3 33 9" xfId="3297"/>
    <cellStyle name="Normal 3 34" xfId="3298"/>
    <cellStyle name="Normal 3 34 2" xfId="3299"/>
    <cellStyle name="Normal 3 34 3" xfId="3300"/>
    <cellStyle name="Normal 3 34 4" xfId="3301"/>
    <cellStyle name="Normal 3 34 5" xfId="3302"/>
    <cellStyle name="Normal 3 34 6" xfId="3303"/>
    <cellStyle name="Normal 3 34 7" xfId="3304"/>
    <cellStyle name="Normal 3 34 8" xfId="3305"/>
    <cellStyle name="Normal 3 34 9" xfId="3306"/>
    <cellStyle name="Normal 3 35" xfId="3307"/>
    <cellStyle name="Normal 3 36" xfId="3308"/>
    <cellStyle name="Normal 3 37" xfId="3309"/>
    <cellStyle name="Normal 3 4" xfId="3310"/>
    <cellStyle name="Normal 3 5" xfId="3311"/>
    <cellStyle name="Normal 3 6" xfId="3312"/>
    <cellStyle name="Normal 3 7" xfId="3313"/>
    <cellStyle name="Normal 3 8" xfId="3314"/>
    <cellStyle name="Normal 3 9" xfId="3315"/>
    <cellStyle name="Normal 3_Impairment loss - Aug'10" xfId="3316"/>
    <cellStyle name="Normal 30" xfId="3317"/>
    <cellStyle name="Normal 30 2" xfId="3318"/>
    <cellStyle name="Normal 30 3" xfId="3319"/>
    <cellStyle name="Normal 30 4" xfId="3320"/>
    <cellStyle name="Normal 30 5" xfId="3321"/>
    <cellStyle name="Normal 30 6" xfId="3322"/>
    <cellStyle name="Normal 30 7" xfId="3323"/>
    <cellStyle name="Normal 31" xfId="3324"/>
    <cellStyle name="Normal 31 10" xfId="3325"/>
    <cellStyle name="Normal 31 11" xfId="3326"/>
    <cellStyle name="Normal 31 2" xfId="3327"/>
    <cellStyle name="Normal 31 3" xfId="3328"/>
    <cellStyle name="Normal 31 4" xfId="3329"/>
    <cellStyle name="Normal 31 5" xfId="3330"/>
    <cellStyle name="Normal 31 6" xfId="3331"/>
    <cellStyle name="Normal 31 7" xfId="3332"/>
    <cellStyle name="Normal 31 8" xfId="3333"/>
    <cellStyle name="Normal 31 9" xfId="3334"/>
    <cellStyle name="Normal 32" xfId="3335"/>
    <cellStyle name="Normal 34" xfId="3336"/>
    <cellStyle name="Normal 34 10" xfId="3337"/>
    <cellStyle name="Normal 34 11" xfId="3338"/>
    <cellStyle name="Normal 34 2" xfId="3339"/>
    <cellStyle name="Normal 34 3" xfId="3340"/>
    <cellStyle name="Normal 34 4" xfId="3341"/>
    <cellStyle name="Normal 34 5" xfId="3342"/>
    <cellStyle name="Normal 34 6" xfId="3343"/>
    <cellStyle name="Normal 34 7" xfId="3344"/>
    <cellStyle name="Normal 34 8" xfId="3345"/>
    <cellStyle name="Normal 34 9" xfId="3346"/>
    <cellStyle name="Normal 35" xfId="3347"/>
    <cellStyle name="Normal 35 10" xfId="3348"/>
    <cellStyle name="Normal 35 11" xfId="3349"/>
    <cellStyle name="Normal 35 2" xfId="3350"/>
    <cellStyle name="Normal 35 3" xfId="3351"/>
    <cellStyle name="Normal 35 4" xfId="3352"/>
    <cellStyle name="Normal 35 5" xfId="3353"/>
    <cellStyle name="Normal 35 6" xfId="3354"/>
    <cellStyle name="Normal 35 7" xfId="3355"/>
    <cellStyle name="Normal 35 8" xfId="3356"/>
    <cellStyle name="Normal 35 9" xfId="3357"/>
    <cellStyle name="Normal 36" xfId="3358"/>
    <cellStyle name="Normal 36 10" xfId="3359"/>
    <cellStyle name="Normal 36 11" xfId="3360"/>
    <cellStyle name="Normal 36 2" xfId="3361"/>
    <cellStyle name="Normal 36 3" xfId="3362"/>
    <cellStyle name="Normal 36 4" xfId="3363"/>
    <cellStyle name="Normal 36 5" xfId="3364"/>
    <cellStyle name="Normal 36 6" xfId="3365"/>
    <cellStyle name="Normal 36 7" xfId="3366"/>
    <cellStyle name="Normal 36 8" xfId="3367"/>
    <cellStyle name="Normal 36 9" xfId="3368"/>
    <cellStyle name="Normal 38" xfId="3369"/>
    <cellStyle name="Normal 38 10" xfId="3370"/>
    <cellStyle name="Normal 38 11" xfId="3371"/>
    <cellStyle name="Normal 38 2" xfId="3372"/>
    <cellStyle name="Normal 38 3" xfId="3373"/>
    <cellStyle name="Normal 38 4" xfId="3374"/>
    <cellStyle name="Normal 38 5" xfId="3375"/>
    <cellStyle name="Normal 38 6" xfId="3376"/>
    <cellStyle name="Normal 38 7" xfId="3377"/>
    <cellStyle name="Normal 38 8" xfId="3378"/>
    <cellStyle name="Normal 38 9" xfId="3379"/>
    <cellStyle name="Normal 39" xfId="3380"/>
    <cellStyle name="Normal 39 10" xfId="3381"/>
    <cellStyle name="Normal 39 11" xfId="3382"/>
    <cellStyle name="Normal 39 2" xfId="3383"/>
    <cellStyle name="Normal 39 3" xfId="3384"/>
    <cellStyle name="Normal 39 4" xfId="3385"/>
    <cellStyle name="Normal 39 5" xfId="3386"/>
    <cellStyle name="Normal 39 6" xfId="3387"/>
    <cellStyle name="Normal 39 7" xfId="3388"/>
    <cellStyle name="Normal 39 8" xfId="3389"/>
    <cellStyle name="Normal 39 9" xfId="3390"/>
    <cellStyle name="Normal 4" xfId="3391"/>
    <cellStyle name="Normal 4 10" xfId="3392"/>
    <cellStyle name="Normal 4 11" xfId="3393"/>
    <cellStyle name="Normal 4 12" xfId="3394"/>
    <cellStyle name="Normal 4 13" xfId="3395"/>
    <cellStyle name="Normal 4 14" xfId="3396"/>
    <cellStyle name="Normal 4 15" xfId="3397"/>
    <cellStyle name="Normal 4 16" xfId="3398"/>
    <cellStyle name="Normal 4 17" xfId="3399"/>
    <cellStyle name="Normal 4 18" xfId="3400"/>
    <cellStyle name="Normal 4 19" xfId="3401"/>
    <cellStyle name="Normal 4 2" xfId="3402"/>
    <cellStyle name="Normal 4 2 10" xfId="3403"/>
    <cellStyle name="Normal 4 2 11" xfId="3404"/>
    <cellStyle name="Normal 4 2 12" xfId="3405"/>
    <cellStyle name="Normal 4 2 13" xfId="3406"/>
    <cellStyle name="Normal 4 2 14" xfId="3407"/>
    <cellStyle name="Normal 4 2 15" xfId="3408"/>
    <cellStyle name="Normal 4 2 16" xfId="3409"/>
    <cellStyle name="Normal 4 2 17" xfId="3410"/>
    <cellStyle name="Normal 4 2 18" xfId="3411"/>
    <cellStyle name="Normal 4 2 19" xfId="3412"/>
    <cellStyle name="Normal 4 2 2" xfId="3413"/>
    <cellStyle name="Normal 4 2 20" xfId="3414"/>
    <cellStyle name="Normal 4 2 21" xfId="3415"/>
    <cellStyle name="Normal 4 2 22" xfId="3416"/>
    <cellStyle name="Normal 4 2 23" xfId="3417"/>
    <cellStyle name="Normal 4 2 24" xfId="3418"/>
    <cellStyle name="Normal 4 2 25" xfId="3419"/>
    <cellStyle name="Normal 4 2 26" xfId="3420"/>
    <cellStyle name="Normal 4 2 27" xfId="3421"/>
    <cellStyle name="Normal 4 2 28" xfId="3422"/>
    <cellStyle name="Normal 4 2 29" xfId="3423"/>
    <cellStyle name="Normal 4 2 3" xfId="3424"/>
    <cellStyle name="Normal 4 2 30" xfId="3425"/>
    <cellStyle name="Normal 4 2 31" xfId="3426"/>
    <cellStyle name="Normal 4 2 32" xfId="3427"/>
    <cellStyle name="Normal 4 2 33" xfId="3428"/>
    <cellStyle name="Normal 4 2 34" xfId="3429"/>
    <cellStyle name="Normal 4 2 35" xfId="3430"/>
    <cellStyle name="Normal 4 2 36" xfId="3431"/>
    <cellStyle name="Normal 4 2 37" xfId="3432"/>
    <cellStyle name="Normal 4 2 38" xfId="3433"/>
    <cellStyle name="Normal 4 2 4" xfId="3434"/>
    <cellStyle name="Normal 4 2 5" xfId="3435"/>
    <cellStyle name="Normal 4 2 6" xfId="3436"/>
    <cellStyle name="Normal 4 2 7" xfId="3437"/>
    <cellStyle name="Normal 4 2 8" xfId="3438"/>
    <cellStyle name="Normal 4 2 9" xfId="3439"/>
    <cellStyle name="Normal 4 20" xfId="3440"/>
    <cellStyle name="Normal 4 21" xfId="3441"/>
    <cellStyle name="Normal 4 22" xfId="3442"/>
    <cellStyle name="Normal 4 22 10" xfId="3443"/>
    <cellStyle name="Normal 4 22 11" xfId="3444"/>
    <cellStyle name="Normal 4 22 12" xfId="3445"/>
    <cellStyle name="Normal 4 22 13" xfId="3446"/>
    <cellStyle name="Normal 4 22 14" xfId="3447"/>
    <cellStyle name="Normal 4 22 15" xfId="3448"/>
    <cellStyle name="Normal 4 22 16" xfId="3449"/>
    <cellStyle name="Normal 4 22 17" xfId="3450"/>
    <cellStyle name="Normal 4 22 18" xfId="3451"/>
    <cellStyle name="Normal 4 22 19" xfId="3452"/>
    <cellStyle name="Normal 4 22 2" xfId="3453"/>
    <cellStyle name="Normal 4 22 20" xfId="3454"/>
    <cellStyle name="Normal 4 22 21" xfId="3455"/>
    <cellStyle name="Normal 4 22 22" xfId="3456"/>
    <cellStyle name="Normal 4 22 23" xfId="3457"/>
    <cellStyle name="Normal 4 22 24" xfId="3458"/>
    <cellStyle name="Normal 4 22 25" xfId="3459"/>
    <cellStyle name="Normal 4 22 3" xfId="3460"/>
    <cellStyle name="Normal 4 22 4" xfId="3461"/>
    <cellStyle name="Normal 4 22 5" xfId="3462"/>
    <cellStyle name="Normal 4 22 6" xfId="3463"/>
    <cellStyle name="Normal 4 22 7" xfId="3464"/>
    <cellStyle name="Normal 4 22 8" xfId="3465"/>
    <cellStyle name="Normal 4 22 9" xfId="3466"/>
    <cellStyle name="Normal 4 23" xfId="3467"/>
    <cellStyle name="Normal 4 24" xfId="3468"/>
    <cellStyle name="Normal 4 25" xfId="3469"/>
    <cellStyle name="Normal 4 26" xfId="3470"/>
    <cellStyle name="Normal 4 27" xfId="3471"/>
    <cellStyle name="Normal 4 28" xfId="3472"/>
    <cellStyle name="Normal 4 29" xfId="3473"/>
    <cellStyle name="Normal 4 3" xfId="3474"/>
    <cellStyle name="Normal 4 30" xfId="3475"/>
    <cellStyle name="Normal 4 31" xfId="3476"/>
    <cellStyle name="Normal 4 32" xfId="3477"/>
    <cellStyle name="Normal 4 32 2" xfId="3478"/>
    <cellStyle name="Normal 4 32 3" xfId="3479"/>
    <cellStyle name="Normal 4 32 4" xfId="3480"/>
    <cellStyle name="Normal 4 32 5" xfId="3481"/>
    <cellStyle name="Normal 4 32 6" xfId="3482"/>
    <cellStyle name="Normal 4 32 7" xfId="3483"/>
    <cellStyle name="Normal 4 32 8" xfId="3484"/>
    <cellStyle name="Normal 4 32 9" xfId="3485"/>
    <cellStyle name="Normal 4 33" xfId="3486"/>
    <cellStyle name="Normal 4 33 2" xfId="3487"/>
    <cellStyle name="Normal 4 33 3" xfId="3488"/>
    <cellStyle name="Normal 4 33 4" xfId="3489"/>
    <cellStyle name="Normal 4 33 5" xfId="3490"/>
    <cellStyle name="Normal 4 33 6" xfId="3491"/>
    <cellStyle name="Normal 4 33 7" xfId="3492"/>
    <cellStyle name="Normal 4 33 8" xfId="3493"/>
    <cellStyle name="Normal 4 33 9" xfId="3494"/>
    <cellStyle name="Normal 4 34" xfId="3495"/>
    <cellStyle name="Normal 4 34 2" xfId="3496"/>
    <cellStyle name="Normal 4 34 3" xfId="3497"/>
    <cellStyle name="Normal 4 34 4" xfId="3498"/>
    <cellStyle name="Normal 4 34 5" xfId="3499"/>
    <cellStyle name="Normal 4 34 6" xfId="3500"/>
    <cellStyle name="Normal 4 34 7" xfId="3501"/>
    <cellStyle name="Normal 4 34 8" xfId="3502"/>
    <cellStyle name="Normal 4 34 9" xfId="3503"/>
    <cellStyle name="Normal 4 35" xfId="3504"/>
    <cellStyle name="Normal 4 36" xfId="3505"/>
    <cellStyle name="Normal 4 37" xfId="3506"/>
    <cellStyle name="Normal 4 4" xfId="3507"/>
    <cellStyle name="Normal 4 5" xfId="3508"/>
    <cellStyle name="Normal 4 6" xfId="3509"/>
    <cellStyle name="Normal 4 7" xfId="3510"/>
    <cellStyle name="Normal 4 8" xfId="3511"/>
    <cellStyle name="Normal 4 9" xfId="3512"/>
    <cellStyle name="Normal 4_Bank Borrowings 08" xfId="3513"/>
    <cellStyle name="Normal 40" xfId="3514"/>
    <cellStyle name="Normal 40 10" xfId="3515"/>
    <cellStyle name="Normal 40 11" xfId="3516"/>
    <cellStyle name="Normal 40 2" xfId="3517"/>
    <cellStyle name="Normal 40 3" xfId="3518"/>
    <cellStyle name="Normal 40 4" xfId="3519"/>
    <cellStyle name="Normal 40 5" xfId="3520"/>
    <cellStyle name="Normal 40 6" xfId="3521"/>
    <cellStyle name="Normal 40 7" xfId="3522"/>
    <cellStyle name="Normal 40 8" xfId="3523"/>
    <cellStyle name="Normal 40 9" xfId="3524"/>
    <cellStyle name="Normal 41" xfId="3525"/>
    <cellStyle name="Normal 41 10" xfId="3526"/>
    <cellStyle name="Normal 41 11" xfId="3527"/>
    <cellStyle name="Normal 41 12" xfId="3528"/>
    <cellStyle name="Normal 41 13" xfId="3529"/>
    <cellStyle name="Normal 41 14" xfId="3530"/>
    <cellStyle name="Normal 41 15" xfId="3531"/>
    <cellStyle name="Normal 41 16" xfId="3532"/>
    <cellStyle name="Normal 41 17" xfId="3533"/>
    <cellStyle name="Normal 41 2" xfId="3534"/>
    <cellStyle name="Normal 41 3" xfId="3535"/>
    <cellStyle name="Normal 41 4" xfId="3536"/>
    <cellStyle name="Normal 41 5" xfId="3537"/>
    <cellStyle name="Normal 41 6" xfId="3538"/>
    <cellStyle name="Normal 41 7" xfId="3539"/>
    <cellStyle name="Normal 41 8" xfId="3540"/>
    <cellStyle name="Normal 41 9" xfId="3541"/>
    <cellStyle name="Normal 42" xfId="3542"/>
    <cellStyle name="Normal 42 10" xfId="3543"/>
    <cellStyle name="Normal 42 11" xfId="3544"/>
    <cellStyle name="Normal 42 12" xfId="3545"/>
    <cellStyle name="Normal 42 13" xfId="3546"/>
    <cellStyle name="Normal 42 14" xfId="3547"/>
    <cellStyle name="Normal 42 15" xfId="3548"/>
    <cellStyle name="Normal 42 16" xfId="3549"/>
    <cellStyle name="Normal 42 2" xfId="3550"/>
    <cellStyle name="Normal 42 3" xfId="3551"/>
    <cellStyle name="Normal 42 4" xfId="3552"/>
    <cellStyle name="Normal 42 5" xfId="3553"/>
    <cellStyle name="Normal 42 6" xfId="3554"/>
    <cellStyle name="Normal 42 7" xfId="3555"/>
    <cellStyle name="Normal 42 8" xfId="3556"/>
    <cellStyle name="Normal 42 9" xfId="3557"/>
    <cellStyle name="Normal 43" xfId="3558"/>
    <cellStyle name="Normal 43 10" xfId="3559"/>
    <cellStyle name="Normal 43 11" xfId="3560"/>
    <cellStyle name="Normal 43 12" xfId="3561"/>
    <cellStyle name="Normal 43 13" xfId="3562"/>
    <cellStyle name="Normal 43 14" xfId="3563"/>
    <cellStyle name="Normal 43 15" xfId="3564"/>
    <cellStyle name="Normal 43 16" xfId="3565"/>
    <cellStyle name="Normal 43 2" xfId="3566"/>
    <cellStyle name="Normal 43 3" xfId="3567"/>
    <cellStyle name="Normal 43 4" xfId="3568"/>
    <cellStyle name="Normal 43 5" xfId="3569"/>
    <cellStyle name="Normal 43 6" xfId="3570"/>
    <cellStyle name="Normal 43 7" xfId="3571"/>
    <cellStyle name="Normal 43 8" xfId="3572"/>
    <cellStyle name="Normal 43 9" xfId="3573"/>
    <cellStyle name="Normal 45" xfId="3574"/>
    <cellStyle name="Normal 45 2" xfId="3575"/>
    <cellStyle name="Normal 45 3" xfId="3576"/>
    <cellStyle name="Normal 45 4" xfId="3577"/>
    <cellStyle name="Normal 45 5" xfId="3578"/>
    <cellStyle name="Normal 46" xfId="3579"/>
    <cellStyle name="Normal 48" xfId="3580"/>
    <cellStyle name="Normal 49" xfId="3581"/>
    <cellStyle name="Normal 5" xfId="3582"/>
    <cellStyle name="Normal 5 10" xfId="3583"/>
    <cellStyle name="Normal 5 11" xfId="3584"/>
    <cellStyle name="Normal 5 12" xfId="3585"/>
    <cellStyle name="Normal 5 13" xfId="3586"/>
    <cellStyle name="Normal 5 14" xfId="3587"/>
    <cellStyle name="Normal 5 15" xfId="3588"/>
    <cellStyle name="Normal 5 16" xfId="3589"/>
    <cellStyle name="Normal 5 17" xfId="3590"/>
    <cellStyle name="Normal 5 18" xfId="3591"/>
    <cellStyle name="Normal 5 19" xfId="3592"/>
    <cellStyle name="Normal 5 2" xfId="3593"/>
    <cellStyle name="Normal 5 2 10" xfId="3594"/>
    <cellStyle name="Normal 5 2 11" xfId="3595"/>
    <cellStyle name="Normal 5 2 12" xfId="3596"/>
    <cellStyle name="Normal 5 2 13" xfId="3597"/>
    <cellStyle name="Normal 5 2 14" xfId="3598"/>
    <cellStyle name="Normal 5 2 15" xfId="3599"/>
    <cellStyle name="Normal 5 2 16" xfId="3600"/>
    <cellStyle name="Normal 5 2 17" xfId="3601"/>
    <cellStyle name="Normal 5 2 18" xfId="3602"/>
    <cellStyle name="Normal 5 2 19" xfId="3603"/>
    <cellStyle name="Normal 5 2 2" xfId="3604"/>
    <cellStyle name="Normal 5 2 20" xfId="3605"/>
    <cellStyle name="Normal 5 2 21" xfId="3606"/>
    <cellStyle name="Normal 5 2 22" xfId="3607"/>
    <cellStyle name="Normal 5 2 23" xfId="3608"/>
    <cellStyle name="Normal 5 2 24" xfId="3609"/>
    <cellStyle name="Normal 5 2 25" xfId="3610"/>
    <cellStyle name="Normal 5 2 26" xfId="3611"/>
    <cellStyle name="Normal 5 2 27" xfId="3612"/>
    <cellStyle name="Normal 5 2 28" xfId="3613"/>
    <cellStyle name="Normal 5 2 29" xfId="3614"/>
    <cellStyle name="Normal 5 2 3" xfId="3615"/>
    <cellStyle name="Normal 5 2 30" xfId="3616"/>
    <cellStyle name="Normal 5 2 31" xfId="3617"/>
    <cellStyle name="Normal 5 2 32" xfId="3618"/>
    <cellStyle name="Normal 5 2 33" xfId="3619"/>
    <cellStyle name="Normal 5 2 34" xfId="3620"/>
    <cellStyle name="Normal 5 2 35" xfId="3621"/>
    <cellStyle name="Normal 5 2 36" xfId="3622"/>
    <cellStyle name="Normal 5 2 37" xfId="3623"/>
    <cellStyle name="Normal 5 2 4" xfId="3624"/>
    <cellStyle name="Normal 5 2 5" xfId="3625"/>
    <cellStyle name="Normal 5 2 6" xfId="3626"/>
    <cellStyle name="Normal 5 2 7" xfId="3627"/>
    <cellStyle name="Normal 5 2 8" xfId="3628"/>
    <cellStyle name="Normal 5 2 9" xfId="3629"/>
    <cellStyle name="Normal 5 20" xfId="3630"/>
    <cellStyle name="Normal 5 21" xfId="3631"/>
    <cellStyle name="Normal 5 22" xfId="3632"/>
    <cellStyle name="Normal 5 22 10" xfId="3633"/>
    <cellStyle name="Normal 5 22 11" xfId="3634"/>
    <cellStyle name="Normal 5 22 12" xfId="3635"/>
    <cellStyle name="Normal 5 22 13" xfId="3636"/>
    <cellStyle name="Normal 5 22 14" xfId="3637"/>
    <cellStyle name="Normal 5 22 15" xfId="3638"/>
    <cellStyle name="Normal 5 22 16" xfId="3639"/>
    <cellStyle name="Normal 5 22 17" xfId="3640"/>
    <cellStyle name="Normal 5 22 18" xfId="3641"/>
    <cellStyle name="Normal 5 22 19" xfId="3642"/>
    <cellStyle name="Normal 5 22 2" xfId="3643"/>
    <cellStyle name="Normal 5 22 20" xfId="3644"/>
    <cellStyle name="Normal 5 22 21" xfId="3645"/>
    <cellStyle name="Normal 5 22 22" xfId="3646"/>
    <cellStyle name="Normal 5 22 23" xfId="3647"/>
    <cellStyle name="Normal 5 22 24" xfId="3648"/>
    <cellStyle name="Normal 5 22 25" xfId="3649"/>
    <cellStyle name="Normal 5 22 3" xfId="3650"/>
    <cellStyle name="Normal 5 22 4" xfId="3651"/>
    <cellStyle name="Normal 5 22 5" xfId="3652"/>
    <cellStyle name="Normal 5 22 6" xfId="3653"/>
    <cellStyle name="Normal 5 22 7" xfId="3654"/>
    <cellStyle name="Normal 5 22 8" xfId="3655"/>
    <cellStyle name="Normal 5 22 9" xfId="3656"/>
    <cellStyle name="Normal 5 23" xfId="3657"/>
    <cellStyle name="Normal 5 24" xfId="3658"/>
    <cellStyle name="Normal 5 25" xfId="3659"/>
    <cellStyle name="Normal 5 26" xfId="3660"/>
    <cellStyle name="Normal 5 27" xfId="3661"/>
    <cellStyle name="Normal 5 28" xfId="3662"/>
    <cellStyle name="Normal 5 29" xfId="3663"/>
    <cellStyle name="Normal 5 3" xfId="3664"/>
    <cellStyle name="Normal 5 30" xfId="3665"/>
    <cellStyle name="Normal 5 31" xfId="3666"/>
    <cellStyle name="Normal 5 32" xfId="3667"/>
    <cellStyle name="Normal 5 32 2" xfId="3668"/>
    <cellStyle name="Normal 5 32 3" xfId="3669"/>
    <cellStyle name="Normal 5 32 4" xfId="3670"/>
    <cellStyle name="Normal 5 32 5" xfId="3671"/>
    <cellStyle name="Normal 5 32 6" xfId="3672"/>
    <cellStyle name="Normal 5 32 7" xfId="3673"/>
    <cellStyle name="Normal 5 32 8" xfId="3674"/>
    <cellStyle name="Normal 5 32 9" xfId="3675"/>
    <cellStyle name="Normal 5 33" xfId="3676"/>
    <cellStyle name="Normal 5 33 2" xfId="3677"/>
    <cellStyle name="Normal 5 33 3" xfId="3678"/>
    <cellStyle name="Normal 5 33 4" xfId="3679"/>
    <cellStyle name="Normal 5 33 5" xfId="3680"/>
    <cellStyle name="Normal 5 33 6" xfId="3681"/>
    <cellStyle name="Normal 5 33 7" xfId="3682"/>
    <cellStyle name="Normal 5 33 8" xfId="3683"/>
    <cellStyle name="Normal 5 33 9" xfId="3684"/>
    <cellStyle name="Normal 5 34" xfId="3685"/>
    <cellStyle name="Normal 5 34 2" xfId="3686"/>
    <cellStyle name="Normal 5 34 3" xfId="3687"/>
    <cellStyle name="Normal 5 34 4" xfId="3688"/>
    <cellStyle name="Normal 5 34 5" xfId="3689"/>
    <cellStyle name="Normal 5 34 6" xfId="3690"/>
    <cellStyle name="Normal 5 34 7" xfId="3691"/>
    <cellStyle name="Normal 5 34 8" xfId="3692"/>
    <cellStyle name="Normal 5 34 9" xfId="3693"/>
    <cellStyle name="Normal 5 35" xfId="3694"/>
    <cellStyle name="Normal 5 36" xfId="3695"/>
    <cellStyle name="Normal 5 37" xfId="3696"/>
    <cellStyle name="Normal 5 38" xfId="3697"/>
    <cellStyle name="Normal 5 4" xfId="3698"/>
    <cellStyle name="Normal 5 5" xfId="3699"/>
    <cellStyle name="Normal 5 6" xfId="3700"/>
    <cellStyle name="Normal 5 7" xfId="3701"/>
    <cellStyle name="Normal 5 8" xfId="3702"/>
    <cellStyle name="Normal 5 9" xfId="3703"/>
    <cellStyle name="Normal 50" xfId="3704"/>
    <cellStyle name="Normal 51" xfId="3705"/>
    <cellStyle name="Normal 52" xfId="3706"/>
    <cellStyle name="Normal 53" xfId="3707"/>
    <cellStyle name="Normal 54" xfId="3708"/>
    <cellStyle name="Normal 56" xfId="3709"/>
    <cellStyle name="Normal 57" xfId="3710"/>
    <cellStyle name="Normal 57 2" xfId="3711"/>
    <cellStyle name="Normal 57 3" xfId="3712"/>
    <cellStyle name="Normal 6" xfId="3713"/>
    <cellStyle name="Normal 6 2" xfId="3714"/>
    <cellStyle name="Normal 6 2 2" xfId="3715"/>
    <cellStyle name="Normal 6 2 3" xfId="3716"/>
    <cellStyle name="Normal 6 2 4" xfId="3717"/>
    <cellStyle name="Normal 6 2 5" xfId="3718"/>
    <cellStyle name="Normal 6 2 6" xfId="3719"/>
    <cellStyle name="Normal 6 3" xfId="3720"/>
    <cellStyle name="Normal 6 3 2" xfId="3721"/>
    <cellStyle name="Normal 6 3 3" xfId="3722"/>
    <cellStyle name="Normal 6 3 4" xfId="3723"/>
    <cellStyle name="Normal 6 3 5" xfId="3724"/>
    <cellStyle name="Normal 6 3 6" xfId="3725"/>
    <cellStyle name="Normal 6 4" xfId="3726"/>
    <cellStyle name="Normal 6 5" xfId="3727"/>
    <cellStyle name="Normal 6 6" xfId="3728"/>
    <cellStyle name="Normal 60" xfId="3729"/>
    <cellStyle name="Normal 60 10" xfId="3730"/>
    <cellStyle name="Normal 60 11" xfId="3731"/>
    <cellStyle name="Normal 60 12" xfId="3732"/>
    <cellStyle name="Normal 60 13" xfId="3733"/>
    <cellStyle name="Normal 60 14" xfId="3734"/>
    <cellStyle name="Normal 60 15" xfId="3735"/>
    <cellStyle name="Normal 60 16" xfId="3736"/>
    <cellStyle name="Normal 60 2" xfId="3737"/>
    <cellStyle name="Normal 60 3" xfId="3738"/>
    <cellStyle name="Normal 60 4" xfId="3739"/>
    <cellStyle name="Normal 60 5" xfId="3740"/>
    <cellStyle name="Normal 60 6" xfId="3741"/>
    <cellStyle name="Normal 60 7" xfId="3742"/>
    <cellStyle name="Normal 60 8" xfId="3743"/>
    <cellStyle name="Normal 60 9" xfId="3744"/>
    <cellStyle name="Normal 61" xfId="3745"/>
    <cellStyle name="Normal 61 2" xfId="3746"/>
    <cellStyle name="Normal 61 3" xfId="3747"/>
    <cellStyle name="Normal 62" xfId="3748"/>
    <cellStyle name="Normal 62 2" xfId="3749"/>
    <cellStyle name="Normal 62 3" xfId="3750"/>
    <cellStyle name="Normal 65 2" xfId="3751"/>
    <cellStyle name="Normal 65 3" xfId="3752"/>
    <cellStyle name="Normal 65 4" xfId="3753"/>
    <cellStyle name="Normal 65 5" xfId="3754"/>
    <cellStyle name="Normal 66 2" xfId="3755"/>
    <cellStyle name="Normal 67 2" xfId="3756"/>
    <cellStyle name="Normal 67 3" xfId="3757"/>
    <cellStyle name="Normal 67 4" xfId="3758"/>
    <cellStyle name="Normal 68 2" xfId="3759"/>
    <cellStyle name="Normal 68 3" xfId="3760"/>
    <cellStyle name="Normal 69 2" xfId="3761"/>
    <cellStyle name="Normal 7" xfId="3762"/>
    <cellStyle name="Normal 70 2" xfId="3763"/>
    <cellStyle name="Normal 71" xfId="3764"/>
    <cellStyle name="Normal 71 10" xfId="3765"/>
    <cellStyle name="Normal 71 11" xfId="3766"/>
    <cellStyle name="Normal 71 12" xfId="3767"/>
    <cellStyle name="Normal 71 13" xfId="3768"/>
    <cellStyle name="Normal 71 14" xfId="3769"/>
    <cellStyle name="Normal 71 15" xfId="3770"/>
    <cellStyle name="Normal 71 16" xfId="3771"/>
    <cellStyle name="Normal 71 17" xfId="3772"/>
    <cellStyle name="Normal 71 18" xfId="3773"/>
    <cellStyle name="Normal 71 19" xfId="3774"/>
    <cellStyle name="Normal 71 2" xfId="3775"/>
    <cellStyle name="Normal 71 20" xfId="3776"/>
    <cellStyle name="Normal 71 21" xfId="3777"/>
    <cellStyle name="Normal 71 22" xfId="3778"/>
    <cellStyle name="Normal 71 23" xfId="3779"/>
    <cellStyle name="Normal 71 24" xfId="3780"/>
    <cellStyle name="Normal 71 25" xfId="3781"/>
    <cellStyle name="Normal 71 26" xfId="3782"/>
    <cellStyle name="Normal 71 27" xfId="3783"/>
    <cellStyle name="Normal 71 28" xfId="3784"/>
    <cellStyle name="Normal 71 29" xfId="3785"/>
    <cellStyle name="Normal 71 3" xfId="3786"/>
    <cellStyle name="Normal 71 4" xfId="3787"/>
    <cellStyle name="Normal 71 5" xfId="3788"/>
    <cellStyle name="Normal 71 6" xfId="3789"/>
    <cellStyle name="Normal 71 7" xfId="3790"/>
    <cellStyle name="Normal 71 8" xfId="3791"/>
    <cellStyle name="Normal 71 9" xfId="3792"/>
    <cellStyle name="Normal 74" xfId="3793"/>
    <cellStyle name="Normal 74 10" xfId="3794"/>
    <cellStyle name="Normal 74 11" xfId="3795"/>
    <cellStyle name="Normal 74 12" xfId="3796"/>
    <cellStyle name="Normal 74 13" xfId="3797"/>
    <cellStyle name="Normal 74 14" xfId="3798"/>
    <cellStyle name="Normal 74 15" xfId="3799"/>
    <cellStyle name="Normal 74 16" xfId="3800"/>
    <cellStyle name="Normal 74 17" xfId="3801"/>
    <cellStyle name="Normal 74 18" xfId="3802"/>
    <cellStyle name="Normal 74 19" xfId="3803"/>
    <cellStyle name="Normal 74 2" xfId="3804"/>
    <cellStyle name="Normal 74 20" xfId="3805"/>
    <cellStyle name="Normal 74 21" xfId="3806"/>
    <cellStyle name="Normal 74 22" xfId="3807"/>
    <cellStyle name="Normal 74 23" xfId="3808"/>
    <cellStyle name="Normal 74 24" xfId="3809"/>
    <cellStyle name="Normal 74 25" xfId="3810"/>
    <cellStyle name="Normal 74 26" xfId="3811"/>
    <cellStyle name="Normal 74 27" xfId="3812"/>
    <cellStyle name="Normal 74 28" xfId="3813"/>
    <cellStyle name="Normal 74 29" xfId="3814"/>
    <cellStyle name="Normal 74 3" xfId="3815"/>
    <cellStyle name="Normal 74 4" xfId="3816"/>
    <cellStyle name="Normal 74 5" xfId="3817"/>
    <cellStyle name="Normal 74 6" xfId="3818"/>
    <cellStyle name="Normal 74 7" xfId="3819"/>
    <cellStyle name="Normal 74 8" xfId="3820"/>
    <cellStyle name="Normal 74 9" xfId="3821"/>
    <cellStyle name="Normal 75" xfId="3822"/>
    <cellStyle name="Normal 75 10" xfId="3823"/>
    <cellStyle name="Normal 75 11" xfId="3824"/>
    <cellStyle name="Normal 75 12" xfId="3825"/>
    <cellStyle name="Normal 75 13" xfId="3826"/>
    <cellStyle name="Normal 75 14" xfId="3827"/>
    <cellStyle name="Normal 75 15" xfId="3828"/>
    <cellStyle name="Normal 75 16" xfId="3829"/>
    <cellStyle name="Normal 75 17" xfId="3830"/>
    <cellStyle name="Normal 75 18" xfId="3831"/>
    <cellStyle name="Normal 75 19" xfId="3832"/>
    <cellStyle name="Normal 75 2" xfId="3833"/>
    <cellStyle name="Normal 75 20" xfId="3834"/>
    <cellStyle name="Normal 75 21" xfId="3835"/>
    <cellStyle name="Normal 75 22" xfId="3836"/>
    <cellStyle name="Normal 75 23" xfId="3837"/>
    <cellStyle name="Normal 75 24" xfId="3838"/>
    <cellStyle name="Normal 75 25" xfId="3839"/>
    <cellStyle name="Normal 75 26" xfId="3840"/>
    <cellStyle name="Normal 75 27" xfId="3841"/>
    <cellStyle name="Normal 75 28" xfId="3842"/>
    <cellStyle name="Normal 75 29" xfId="3843"/>
    <cellStyle name="Normal 75 3" xfId="3844"/>
    <cellStyle name="Normal 75 4" xfId="3845"/>
    <cellStyle name="Normal 75 5" xfId="3846"/>
    <cellStyle name="Normal 75 6" xfId="3847"/>
    <cellStyle name="Normal 75 7" xfId="3848"/>
    <cellStyle name="Normal 75 8" xfId="3849"/>
    <cellStyle name="Normal 75 9" xfId="3850"/>
    <cellStyle name="Normal 79 2" xfId="3851"/>
    <cellStyle name="Normal 79 3" xfId="3852"/>
    <cellStyle name="Normal 79 4" xfId="3853"/>
    <cellStyle name="Normal 8" xfId="3854"/>
    <cellStyle name="Normal 80 2" xfId="3855"/>
    <cellStyle name="Normal 80 3" xfId="3856"/>
    <cellStyle name="Normal 81 2" xfId="3857"/>
    <cellStyle name="Normal 81 3" xfId="3858"/>
    <cellStyle name="Normal 81 4" xfId="3859"/>
    <cellStyle name="Normal 82 2" xfId="3860"/>
    <cellStyle name="Normal 82 3" xfId="3861"/>
    <cellStyle name="Normal 82 4" xfId="3862"/>
    <cellStyle name="Normal 82 5" xfId="3863"/>
    <cellStyle name="Normal 82 6" xfId="3864"/>
    <cellStyle name="Normal 82 7" xfId="3865"/>
    <cellStyle name="Normal 82 8" xfId="3866"/>
    <cellStyle name="Normal 82 9" xfId="3867"/>
    <cellStyle name="Normal 83 2" xfId="3868"/>
    <cellStyle name="Normal 83 3" xfId="3869"/>
    <cellStyle name="Normal 83 4" xfId="3870"/>
    <cellStyle name="Normal 83 5" xfId="3871"/>
    <cellStyle name="Normal 83 6" xfId="3872"/>
    <cellStyle name="Normal 83 7" xfId="3873"/>
    <cellStyle name="Normal 83 8" xfId="3874"/>
    <cellStyle name="Normal 83 9" xfId="3875"/>
    <cellStyle name="Normal 84 10" xfId="3876"/>
    <cellStyle name="Normal 84 11" xfId="3877"/>
    <cellStyle name="Normal 84 12" xfId="3878"/>
    <cellStyle name="Normal 84 13" xfId="3879"/>
    <cellStyle name="Normal 84 14" xfId="3880"/>
    <cellStyle name="Normal 84 15" xfId="3881"/>
    <cellStyle name="Normal 84 16" xfId="3882"/>
    <cellStyle name="Normal 84 17" xfId="3883"/>
    <cellStyle name="Normal 84 18" xfId="3884"/>
    <cellStyle name="Normal 84 2" xfId="3885"/>
    <cellStyle name="Normal 84 3" xfId="3886"/>
    <cellStyle name="Normal 84 4" xfId="3887"/>
    <cellStyle name="Normal 84 5" xfId="3888"/>
    <cellStyle name="Normal 84 6" xfId="3889"/>
    <cellStyle name="Normal 84 7" xfId="3890"/>
    <cellStyle name="Normal 84 8" xfId="3891"/>
    <cellStyle name="Normal 84 9" xfId="3892"/>
    <cellStyle name="Normal 85 2" xfId="3893"/>
    <cellStyle name="Normal 85 3" xfId="3894"/>
    <cellStyle name="Normal 85 4" xfId="3895"/>
    <cellStyle name="Normal 85 5" xfId="3896"/>
    <cellStyle name="Normal 85 6" xfId="3897"/>
    <cellStyle name="Normal 85 7" xfId="3898"/>
    <cellStyle name="Normal 85 8" xfId="3899"/>
    <cellStyle name="Normal 85 9" xfId="3900"/>
    <cellStyle name="Normal 88 2" xfId="3901"/>
    <cellStyle name="Normal 89 2" xfId="3902"/>
    <cellStyle name="Normal 9" xfId="3903"/>
    <cellStyle name="Normal 9 10 2" xfId="3904"/>
    <cellStyle name="Normal 9 2" xfId="3905"/>
    <cellStyle name="Normal 9 3" xfId="3906"/>
    <cellStyle name="Normal 9 4" xfId="3907"/>
    <cellStyle name="Normal 9 5" xfId="3908"/>
    <cellStyle name="Normal 9 6" xfId="3909"/>
    <cellStyle name="Normal 9 7" xfId="3910"/>
    <cellStyle name="Normal 9 8" xfId="3911"/>
    <cellStyle name="Normal 90 2" xfId="3912"/>
    <cellStyle name="Normal 91 2" xfId="3913"/>
    <cellStyle name="Normal 92 2" xfId="3914"/>
    <cellStyle name="Normal 93 2" xfId="3915"/>
    <cellStyle name="Normal 93 3" xfId="3916"/>
    <cellStyle name="Normal 95 10" xfId="3917"/>
    <cellStyle name="Normal 95 11" xfId="3918"/>
    <cellStyle name="Normal 95 12" xfId="3919"/>
    <cellStyle name="Normal 95 13" xfId="3920"/>
    <cellStyle name="Normal 95 2" xfId="3921"/>
    <cellStyle name="Normal 95 3" xfId="3922"/>
    <cellStyle name="Normal 95 4" xfId="3923"/>
    <cellStyle name="Normal 95 5" xfId="3924"/>
    <cellStyle name="Normal 95 6" xfId="3925"/>
    <cellStyle name="Normal 95 7" xfId="3926"/>
    <cellStyle name="Normal 95 8" xfId="3927"/>
    <cellStyle name="Normal 95 9" xfId="3928"/>
    <cellStyle name="Normal 96 2" xfId="3929"/>
    <cellStyle name="Normal 98 2" xfId="3930"/>
    <cellStyle name="Normal 98 3" xfId="3931"/>
    <cellStyle name="Normal 98 4" xfId="3932"/>
    <cellStyle name="Normal 98 5" xfId="3933"/>
    <cellStyle name="Normal 98 6" xfId="3934"/>
    <cellStyle name="Normal 98 7" xfId="3935"/>
    <cellStyle name="Normal 98 8" xfId="3936"/>
    <cellStyle name="Normal 99 2" xfId="3937"/>
    <cellStyle name="Normal1" xfId="3938"/>
    <cellStyle name="Normal2" xfId="3939"/>
    <cellStyle name="Normal3" xfId="3940"/>
    <cellStyle name="Normal4" xfId="3941"/>
    <cellStyle name="Normale_Cartel1" xfId="3942"/>
    <cellStyle name="Œ…‹æØ‚è [0.00]_PLDT" xfId="3943"/>
    <cellStyle name="Œ…‹æØ‚è_PLDT" xfId="3944"/>
    <cellStyle name="oft Excel]_x000a__x000a_Comment=open=/f を指定すると、ユーザー定義関数を関数貼り付けの一覧に登録することができます。_x000a__x000a_Maximized" xfId="3945"/>
    <cellStyle name="oft Excel]_x000a__x000a_Options5=1155_x000a__x000a_Pos=-12,9,1048,771_x000a__x000a_MRUFuncs=345,205,221,1,65,28,37,24,3,36_x000a__x000a_StickyPtX=574_x000a__x000a_StickyPtY=45" xfId="3946"/>
    <cellStyle name="oft Excel]_x000d__x000a_Comment=open=/f を指定すると、ユーザー定義関数を関数貼り付けの一覧に登録することができます。_x000d__x000a_Maximized" xfId="3947"/>
    <cellStyle name="oft Excel]_x000d__x000a_Options5=1155_x000d__x000a_Pos=-12,9,1048,771_x000d__x000a_MRUFuncs=345,205,221,1,65,28,37,24,3,36_x000d__x000a_StickyPtX=574_x000d__x000a_StickyPtY=45" xfId="3948"/>
    <cellStyle name="per.style" xfId="3949"/>
    <cellStyle name="Percent" xfId="2" builtinId="5"/>
    <cellStyle name="Percent [2]" xfId="3950"/>
    <cellStyle name="Percent 16 2" xfId="3951"/>
    <cellStyle name="Percent 16 2 2" xfId="3952"/>
    <cellStyle name="Percent 16 3" xfId="3953"/>
    <cellStyle name="Percent 16 4" xfId="3954"/>
    <cellStyle name="Percent 16 5" xfId="3955"/>
    <cellStyle name="Percent 17 2" xfId="3956"/>
    <cellStyle name="Percent 17 3" xfId="3957"/>
    <cellStyle name="Percent 17 4" xfId="3958"/>
    <cellStyle name="Percent 17 5" xfId="3959"/>
    <cellStyle name="Percent 2" xfId="3960"/>
    <cellStyle name="Percent 2 2" xfId="3961"/>
    <cellStyle name="Percent 2 2 2" xfId="3962"/>
    <cellStyle name="Percent 2 2 3" xfId="3963"/>
    <cellStyle name="Percent 2 2 4" xfId="3964"/>
    <cellStyle name="Percent 2 2 5" xfId="3965"/>
    <cellStyle name="Percent 2 2 6" xfId="3966"/>
    <cellStyle name="Percent 2 3" xfId="3967"/>
    <cellStyle name="Percent 2 4" xfId="3968"/>
    <cellStyle name="Percent 2 5" xfId="3969"/>
    <cellStyle name="Percent 2 6" xfId="3970"/>
    <cellStyle name="Percent 2 7" xfId="3971"/>
    <cellStyle name="Percent 2 8" xfId="3972"/>
    <cellStyle name="Percent 2 9" xfId="3973"/>
    <cellStyle name="Percent 27 2" xfId="3974"/>
    <cellStyle name="Percent 27 3" xfId="3975"/>
    <cellStyle name="Percent 27 4" xfId="3976"/>
    <cellStyle name="Percent 29 2" xfId="3977"/>
    <cellStyle name="Percent 3" xfId="3978"/>
    <cellStyle name="Percent 3 2" xfId="3979"/>
    <cellStyle name="Percent 3 3" xfId="3980"/>
    <cellStyle name="Percent 3 4" xfId="3981"/>
    <cellStyle name="Percent 3 5" xfId="3982"/>
    <cellStyle name="Percent 3 6" xfId="3983"/>
    <cellStyle name="Percent 3 7" xfId="3984"/>
    <cellStyle name="Percent 3 8" xfId="3985"/>
    <cellStyle name="Percent 4" xfId="3986"/>
    <cellStyle name="Percent 4 2" xfId="3987"/>
    <cellStyle name="Percent 4 3" xfId="3988"/>
    <cellStyle name="Percent 4 4" xfId="3989"/>
    <cellStyle name="Percent 4 5" xfId="3990"/>
    <cellStyle name="Percent 4 6" xfId="3991"/>
    <cellStyle name="Percent 4 7" xfId="3992"/>
    <cellStyle name="Percent 5" xfId="3993"/>
    <cellStyle name="Percent 6" xfId="3994"/>
    <cellStyle name="Percent 7" xfId="3995"/>
    <cellStyle name="Percent 7 2" xfId="3996"/>
    <cellStyle name="Percent 7 3" xfId="3997"/>
    <cellStyle name="Percent 7 4" xfId="3998"/>
    <cellStyle name="Percent 7 5" xfId="3999"/>
    <cellStyle name="Percent 7 6" xfId="4000"/>
    <cellStyle name="Percent 7 7" xfId="4001"/>
    <cellStyle name="Percent 7 8" xfId="4002"/>
    <cellStyle name="Percent 8" xfId="4003"/>
    <cellStyle name="Percent 9 2" xfId="4004"/>
    <cellStyle name="Percent 9 3" xfId="4005"/>
    <cellStyle name="Percent 9 4" xfId="4006"/>
    <cellStyle name="Percent 9 5" xfId="4007"/>
    <cellStyle name="Percent 9 6" xfId="4008"/>
    <cellStyle name="Percent 9 7" xfId="4009"/>
    <cellStyle name="Percent 9 8" xfId="4010"/>
    <cellStyle name="protocol\StdFileEditing" xfId="4011"/>
    <cellStyle name="PSChar" xfId="4012"/>
    <cellStyle name="PSHeading" xfId="4013"/>
    <cellStyle name="RowLevel_0" xfId="4014"/>
    <cellStyle name="SAPBEXstdData" xfId="4015"/>
    <cellStyle name="SAPBEXundefined" xfId="4016"/>
    <cellStyle name="SAS FM Client calculated data cell (data entry table)" xfId="4017"/>
    <cellStyle name="SAS FM Client calculated data cell (read only table)" xfId="4018"/>
    <cellStyle name="SAS FM Column drillable header" xfId="4019"/>
    <cellStyle name="SAS FM Column header" xfId="4020"/>
    <cellStyle name="SAS FM Drill path" xfId="4021"/>
    <cellStyle name="SAS FM Invalid data cell" xfId="4022"/>
    <cellStyle name="SAS FM No query data cell" xfId="4023"/>
    <cellStyle name="SAS FM Protected member data cell" xfId="4024"/>
    <cellStyle name="SAS FM Read-only data cell (data entry table)" xfId="4025"/>
    <cellStyle name="SAS FM Read-only data cell (read-only table)" xfId="4026"/>
    <cellStyle name="SAS FM Row drillable header" xfId="4027"/>
    <cellStyle name="SAS FM Row header" xfId="4028"/>
    <cellStyle name="SAS FM Slicers" xfId="4029"/>
    <cellStyle name="SAS FM Supplemented member data cell" xfId="4030"/>
    <cellStyle name="SAS FM Writeable data cell" xfId="4031"/>
    <cellStyle name="server" xfId="4032"/>
    <cellStyle name="Style 1" xfId="4033"/>
    <cellStyle name="subhead" xfId="4034"/>
    <cellStyle name="User Defined" xfId="4035"/>
    <cellStyle name="Valuta (0)_Cartel1" xfId="4036"/>
    <cellStyle name="Valuta_Cartel1" xfId="4037"/>
    <cellStyle name="z" xfId="4038"/>
    <cellStyle name="z_Book1" xfId="4039"/>
    <cellStyle name="z_Book9" xfId="4040"/>
    <cellStyle name="z_LANs様0403提出用" xfId="4041"/>
    <cellStyle name="z_LANs様0403提出用_Book1" xfId="4042"/>
    <cellStyle name="z_LANs様0403提出用_Book1_Book1" xfId="4043"/>
    <cellStyle name="z_LANs様0403提出用_Book1_Book9" xfId="4044"/>
    <cellStyle name="z_LANs様0403提出用_Book1_LANs様0501" xfId="4045"/>
    <cellStyle name="z_LANs様0403提出用_Book1_LANs様0607" xfId="4046"/>
    <cellStyle name="z_LANs様0403提出用_Book1_LANs様0608" xfId="4047"/>
    <cellStyle name="z_LANs様0403提出用_Book1_LANs様0612提出用" xfId="4048"/>
    <cellStyle name="z_LANs様0403提出用_Book1_LANs様0701提出用" xfId="4049"/>
    <cellStyle name="z_LANs様0403提出用_Book1_LANs様0704提出用" xfId="4050"/>
    <cellStyle name="z_LANs様0403提出用_Book1_LANs様0705" xfId="4051"/>
    <cellStyle name="z_LANs様0403提出用_Book1_LANs様0706" xfId="4052"/>
    <cellStyle name="z_LANs様0403提出用_Book1_Ｚ付与依頼20060405" xfId="4053"/>
    <cellStyle name="z_LANs様0403提出用_Book1_出動、別途請求200603" xfId="4054"/>
    <cellStyle name="z_LANs様0403提出用_Book1_出動、別途請求200608" xfId="4055"/>
    <cellStyle name="z_LANs様0403提出用_Book1_請求明細案" xfId="4056"/>
    <cellStyle name="z_LANs様0403提出用_LANs様0404提出用" xfId="4057"/>
    <cellStyle name="z_LANs様0403提出用_LANs様0404提出用_Book1" xfId="4058"/>
    <cellStyle name="z_LANs様0403提出用_LANs様0404提出用_Book9" xfId="4059"/>
    <cellStyle name="z_LANs様0403提出用_LANs様0404提出用_LANs様0501" xfId="4060"/>
    <cellStyle name="z_LANs様0403提出用_LANs様0404提出用_LANs様0607" xfId="4061"/>
    <cellStyle name="z_LANs様0403提出用_LANs様0404提出用_LANs様0608" xfId="4062"/>
    <cellStyle name="z_LANs様0403提出用_LANs様0404提出用_LANs様0612提出用" xfId="4063"/>
    <cellStyle name="z_LANs様0403提出用_LANs様0404提出用_LANs様0701提出用" xfId="4064"/>
    <cellStyle name="z_LANs様0403提出用_LANs様0404提出用_LANs様0704提出用" xfId="4065"/>
    <cellStyle name="z_LANs様0403提出用_LANs様0404提出用_LANs様0705" xfId="4066"/>
    <cellStyle name="z_LANs様0403提出用_LANs様0404提出用_LANs様0706" xfId="4067"/>
    <cellStyle name="z_LANs様0403提出用_LANs様0404提出用_Ｚ付与依頼20060405" xfId="4068"/>
    <cellStyle name="z_LANs様0403提出用_LANs様0404提出用_出動、別途請求200603" xfId="4069"/>
    <cellStyle name="z_LANs様0403提出用_LANs様0404提出用_出動、別途請求200608" xfId="4070"/>
    <cellStyle name="z_LANs様0403提出用_LANs様0404提出用_請求明細案" xfId="4071"/>
    <cellStyle name="z_LANs様0403提出用_LANs様0405提出用" xfId="4072"/>
    <cellStyle name="z_LANs様0403提出用_LANs様0405提出用_Book1" xfId="4073"/>
    <cellStyle name="z_LANs様0403提出用_LANs様0405提出用_Book9" xfId="4074"/>
    <cellStyle name="z_LANs様0403提出用_LANs様0405提出用_LANs様0501" xfId="4075"/>
    <cellStyle name="z_LANs様0403提出用_LANs様0405提出用_LANs様0607" xfId="4076"/>
    <cellStyle name="z_LANs様0403提出用_LANs様0405提出用_LANs様0608" xfId="4077"/>
    <cellStyle name="z_LANs様0403提出用_LANs様0405提出用_LANs様0612提出用" xfId="4078"/>
    <cellStyle name="z_LANs様0403提出用_LANs様0405提出用_LANs様0701提出用" xfId="4079"/>
    <cellStyle name="z_LANs様0403提出用_LANs様0405提出用_LANs様0704提出用" xfId="4080"/>
    <cellStyle name="z_LANs様0403提出用_LANs様0405提出用_LANs様0705" xfId="4081"/>
    <cellStyle name="z_LANs様0403提出用_LANs様0405提出用_LANs様0706" xfId="4082"/>
    <cellStyle name="z_LANs様0403提出用_LANs様0405提出用_Ｚ付与依頼20060405" xfId="4083"/>
    <cellStyle name="z_LANs様0403提出用_LANs様0405提出用_出動、別途請求200603" xfId="4084"/>
    <cellStyle name="z_LANs様0403提出用_LANs様0405提出用_出動、別途請求200608" xfId="4085"/>
    <cellStyle name="z_LANs様0403提出用_LANs様0405提出用_請求明細案" xfId="4086"/>
    <cellStyle name="z_LANs様0501" xfId="4087"/>
    <cellStyle name="z_LANs様0607" xfId="4088"/>
    <cellStyle name="z_LANs様0608" xfId="4089"/>
    <cellStyle name="z_LANs様0612提出用" xfId="4090"/>
    <cellStyle name="z_LANs様0701提出用" xfId="4091"/>
    <cellStyle name="z_LANs様0704提出用" xfId="4092"/>
    <cellStyle name="z_LANs様0705" xfId="4093"/>
    <cellStyle name="z_LANs様0706" xfId="4094"/>
    <cellStyle name="z_Ｚ付与依頼20060405" xfId="4095"/>
    <cellStyle name="z_出動、別途請求200603" xfId="4096"/>
    <cellStyle name="z_出動、別途請求200608" xfId="4097"/>
    <cellStyle name="z_請求明細案" xfId="4098"/>
    <cellStyle name="あい" xfId="4099"/>
    <cellStyle name="アクセント 1" xfId="4100"/>
    <cellStyle name="アクセント 2" xfId="4101"/>
    <cellStyle name="アクセント 3" xfId="4102"/>
    <cellStyle name="アクセント 4" xfId="4103"/>
    <cellStyle name="アクセント 5" xfId="4104"/>
    <cellStyle name="アクセント 6" xfId="4105"/>
    <cellStyle name="カンマ" xfId="4106"/>
    <cellStyle name="スタイル 1" xfId="4107"/>
    <cellStyle name="タイトル" xfId="4108"/>
    <cellStyle name="チェック セル" xfId="4109"/>
    <cellStyle name="テーブル 1" xfId="4110"/>
    <cellStyle name="どちらでもない" xfId="4111"/>
    <cellStyle name="パーセンテージ" xfId="4112"/>
    <cellStyle name="パーセント 2" xfId="4113"/>
    <cellStyle name="パーセント()" xfId="4114"/>
    <cellStyle name="パーセント(0.00)" xfId="4115"/>
    <cellStyle name="パーセント[0.00]" xfId="4116"/>
    <cellStyle name="メモ" xfId="4117"/>
    <cellStyle name="ユーザー定義" xfId="4118"/>
    <cellStyle name="リンク セル" xfId="4119"/>
    <cellStyle name="ปกติ_BKK" xfId="4120"/>
    <cellStyle name="금액" xfId="4121"/>
    <cellStyle name="뒤에 오는 하이퍼링크" xfId="4122"/>
    <cellStyle name="쉼표 [0]_2002년사업계획(환율1270원)" xfId="4123"/>
    <cellStyle name="안건회계법인" xfId="4124"/>
    <cellStyle name="열어 본 하이퍼링크_A 주간업무보고(0505)_1주_02" xfId="4125"/>
    <cellStyle name="_x001c_준_12.18(누계)_x001c__x000c_표준_12.19(누계)" xfId="4126"/>
    <cellStyle name="_x0018_준_매출9812" xfId="4127"/>
    <cellStyle name="지정되지 않음" xfId="4128"/>
    <cellStyle name="콤마 [0]_(2)" xfId="4129"/>
    <cellStyle name="콤마_(2)" xfId="4130"/>
    <cellStyle name="표준_(생산)" xfId="4131"/>
    <cellStyle name="하이퍼링크_A 주간업무보고(0505)_1주_02" xfId="4132"/>
    <cellStyle name="一般_Book1" xfId="4133"/>
    <cellStyle name="予算比 赤" xfId="4134"/>
    <cellStyle name="予算比 青" xfId="4135"/>
    <cellStyle name="入力" xfId="4136"/>
    <cellStyle name="円" xfId="4137"/>
    <cellStyle name="出力" xfId="4138"/>
    <cellStyle name="単価" xfId="4139"/>
    <cellStyle name="合計" xfId="4140"/>
    <cellStyle name="小数" xfId="4141"/>
    <cellStyle name="常?_LDF_LDSB_SFD01A?客管理情?" xfId="4142"/>
    <cellStyle name="常规_LDF_LDSB_SFD01A顾客管理情报" xfId="4143"/>
    <cellStyle name="年月" xfId="4144"/>
    <cellStyle name="悪い" xfId="4145"/>
    <cellStyle name="折り返し" xfId="4146"/>
    <cellStyle name="日付" xfId="4147"/>
    <cellStyle name="未定義" xfId="4148"/>
    <cellStyle name="未定義 2" xfId="4149"/>
    <cellStyle name="未定義 3" xfId="4150"/>
    <cellStyle name="未定義 4" xfId="4151"/>
    <cellStyle name="未定義 5" xfId="4152"/>
    <cellStyle name="未定義 6" xfId="4153"/>
    <cellStyle name="未定義 7" xfId="4154"/>
    <cellStyle name="未定義 8" xfId="4155"/>
    <cellStyle name="桁区切り [0.00] 2" xfId="4156"/>
    <cellStyle name="桁区切り [0.00] 9" xfId="4157"/>
    <cellStyle name="桁区切り [0.00]_BM format CMD" xfId="4158"/>
    <cellStyle name="桁区切り 2" xfId="4159"/>
    <cellStyle name="桁区切り 2 2" xfId="4160"/>
    <cellStyle name="桁区切り 3" xfId="4161"/>
    <cellStyle name="桁区切り 9" xfId="4162"/>
    <cellStyle name="桁区切り_【アジア】2011下重点実施(海外連結）0705（2000）佐藤修正" xfId="4163"/>
    <cellStyle name="標準 15" xfId="4164"/>
    <cellStyle name="標準 2" xfId="4165"/>
    <cellStyle name="標準 2 2" xfId="4166"/>
    <cellStyle name="標準 3" xfId="4167"/>
    <cellStyle name="標準 4" xfId="4168"/>
    <cellStyle name="標準_(page06)branch PL" xfId="4169"/>
    <cellStyle name="組み込み" xfId="4170"/>
    <cellStyle name="脱浦 [0.00]_AP" xfId="4171"/>
    <cellStyle name="脱浦_AP" xfId="4172"/>
    <cellStyle name="良い" xfId="4173"/>
    <cellStyle name="見出し 1" xfId="4174"/>
    <cellStyle name="見出し 2" xfId="4175"/>
    <cellStyle name="見出し 3" xfId="4176"/>
    <cellStyle name="見出し 4" xfId="4177"/>
    <cellStyle name="見出し１" xfId="4178"/>
    <cellStyle name="見出し２" xfId="4179"/>
    <cellStyle name="計算" xfId="4180"/>
    <cellStyle name="説明文" xfId="4181"/>
    <cellStyle name="警告文" xfId="4182"/>
    <cellStyle name="通貨 [0.00]_FY05 Sales Target 140205" xfId="4183"/>
    <cellStyle name="通貨 2" xfId="4184"/>
    <cellStyle name="集計" xfId="418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MY"/>
            </a:pPr>
            <a:r>
              <a:rPr lang="en-US"/>
              <a:t>PF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'PF PL'!$BI$219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'PF PL'!$BJ$218:$BU$218</c:f>
              <c:strCache>
                <c:ptCount val="12"/>
                <c:pt idx="0">
                  <c:v>Apr'14</c:v>
                </c:pt>
                <c:pt idx="1">
                  <c:v>May'14</c:v>
                </c:pt>
                <c:pt idx="2">
                  <c:v>June'14</c:v>
                </c:pt>
                <c:pt idx="3">
                  <c:v>July'14</c:v>
                </c:pt>
                <c:pt idx="4">
                  <c:v>Aug'14</c:v>
                </c:pt>
                <c:pt idx="5">
                  <c:v>Sept'14</c:v>
                </c:pt>
                <c:pt idx="6">
                  <c:v>Oct'14</c:v>
                </c:pt>
                <c:pt idx="7">
                  <c:v>Nov'14</c:v>
                </c:pt>
                <c:pt idx="8">
                  <c:v>Dec'14</c:v>
                </c:pt>
                <c:pt idx="9">
                  <c:v>Jan'15</c:v>
                </c:pt>
                <c:pt idx="10">
                  <c:v>Feb'15</c:v>
                </c:pt>
                <c:pt idx="11">
                  <c:v>Mac'15</c:v>
                </c:pt>
              </c:strCache>
            </c:strRef>
          </c:cat>
          <c:val>
            <c:numRef>
              <c:f>'PF PL'!$BJ$219:$BU$219</c:f>
              <c:numCache>
                <c:formatCode>#,##0,</c:formatCode>
                <c:ptCount val="12"/>
                <c:pt idx="0">
                  <c:v>40110911.229999997</c:v>
                </c:pt>
                <c:pt idx="1">
                  <c:v>34396476.340000004</c:v>
                </c:pt>
                <c:pt idx="2">
                  <c:v>41438278.399999999</c:v>
                </c:pt>
                <c:pt idx="3">
                  <c:v>41814112.509999998</c:v>
                </c:pt>
                <c:pt idx="4">
                  <c:v>37680076.700000003</c:v>
                </c:pt>
                <c:pt idx="5">
                  <c:v>39245643.759999998</c:v>
                </c:pt>
                <c:pt idx="6">
                  <c:v>36214470.519999996</c:v>
                </c:pt>
                <c:pt idx="7">
                  <c:v>42434509.609999999</c:v>
                </c:pt>
                <c:pt idx="8">
                  <c:v>44178670.350000001</c:v>
                </c:pt>
                <c:pt idx="9">
                  <c:v>34254915.630000003</c:v>
                </c:pt>
                <c:pt idx="10">
                  <c:v>41441554.310000002</c:v>
                </c:pt>
                <c:pt idx="11">
                  <c:v>35154888.869999997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5504"/>
        <c:axId val="35426304"/>
      </c:lineChart>
      <c:catAx>
        <c:axId val="760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MY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5426304"/>
        <c:crosses val="autoZero"/>
        <c:auto val="1"/>
        <c:lblAlgn val="ctr"/>
        <c:lblOffset val="100"/>
        <c:noMultiLvlLbl val="0"/>
      </c:catAx>
      <c:valAx>
        <c:axId val="354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MY"/>
                </a:pPr>
                <a:r>
                  <a:rPr lang="en-US"/>
                  <a:t>RM'000</a:t>
                </a:r>
              </a:p>
            </c:rich>
          </c:tx>
          <c:overlay val="0"/>
        </c:title>
        <c:numFmt formatCode="#,##0," sourceLinked="1"/>
        <c:majorTickMark val="none"/>
        <c:minorTickMark val="none"/>
        <c:tickLblPos val="nextTo"/>
        <c:txPr>
          <a:bodyPr/>
          <a:lstStyle/>
          <a:p>
            <a:pPr>
              <a:defRPr lang="en-MY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6085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MY"/>
            </a:pPr>
            <a:r>
              <a:rPr lang="en-US"/>
              <a:t>Revenue vs Operating profit before Support Cost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19992459154417"/>
          <c:y val="0.11238530854953488"/>
          <c:w val="0.73799978643425734"/>
          <c:h val="0.78946667152044958"/>
        </c:manualLayout>
      </c:layout>
      <c:lineChart>
        <c:grouping val="standard"/>
        <c:varyColors val="0"/>
        <c:ser>
          <c:idx val="0"/>
          <c:order val="0"/>
          <c:tx>
            <c:strRef>
              <c:f>'PF PL'!$BI$220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'PF PL'!$BJ$218:$BU$218</c:f>
              <c:strCache>
                <c:ptCount val="12"/>
                <c:pt idx="0">
                  <c:v>Apr'14</c:v>
                </c:pt>
                <c:pt idx="1">
                  <c:v>May'14</c:v>
                </c:pt>
                <c:pt idx="2">
                  <c:v>June'14</c:v>
                </c:pt>
                <c:pt idx="3">
                  <c:v>July'14</c:v>
                </c:pt>
                <c:pt idx="4">
                  <c:v>Aug'14</c:v>
                </c:pt>
                <c:pt idx="5">
                  <c:v>Sept'14</c:v>
                </c:pt>
                <c:pt idx="6">
                  <c:v>Oct'14</c:v>
                </c:pt>
                <c:pt idx="7">
                  <c:v>Nov'14</c:v>
                </c:pt>
                <c:pt idx="8">
                  <c:v>Dec'14</c:v>
                </c:pt>
                <c:pt idx="9">
                  <c:v>Jan'15</c:v>
                </c:pt>
                <c:pt idx="10">
                  <c:v>Feb'15</c:v>
                </c:pt>
                <c:pt idx="11">
                  <c:v>Mac'15</c:v>
                </c:pt>
              </c:strCache>
            </c:strRef>
          </c:cat>
          <c:val>
            <c:numRef>
              <c:f>'PF PL'!$BJ$220:$BU$220</c:f>
              <c:numCache>
                <c:formatCode>#,##0,</c:formatCode>
                <c:ptCount val="12"/>
                <c:pt idx="0">
                  <c:v>14978375.74</c:v>
                </c:pt>
                <c:pt idx="1">
                  <c:v>15051585.519999998</c:v>
                </c:pt>
                <c:pt idx="2">
                  <c:v>14946918.510000002</c:v>
                </c:pt>
                <c:pt idx="3">
                  <c:v>15464647.67</c:v>
                </c:pt>
                <c:pt idx="4">
                  <c:v>14564672.560000002</c:v>
                </c:pt>
                <c:pt idx="5">
                  <c:v>14617568.479999999</c:v>
                </c:pt>
                <c:pt idx="6">
                  <c:v>15451139.109999999</c:v>
                </c:pt>
                <c:pt idx="7">
                  <c:v>14492221.5</c:v>
                </c:pt>
                <c:pt idx="8">
                  <c:v>15609238.789999999</c:v>
                </c:pt>
                <c:pt idx="9">
                  <c:v>15217424.67</c:v>
                </c:pt>
                <c:pt idx="10">
                  <c:v>15725100.500000002</c:v>
                </c:pt>
                <c:pt idx="11">
                  <c:v>17052710.640000001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'PF PL'!$BI$221</c:f>
              <c:strCache>
                <c:ptCount val="1"/>
                <c:pt idx="0">
                  <c:v>Op. Profit before Support Cost</c:v>
                </c:pt>
              </c:strCache>
            </c:strRef>
          </c:tx>
          <c:cat>
            <c:strRef>
              <c:f>'PF PL'!$BJ$218:$BU$218</c:f>
              <c:strCache>
                <c:ptCount val="12"/>
                <c:pt idx="0">
                  <c:v>Apr'14</c:v>
                </c:pt>
                <c:pt idx="1">
                  <c:v>May'14</c:v>
                </c:pt>
                <c:pt idx="2">
                  <c:v>June'14</c:v>
                </c:pt>
                <c:pt idx="3">
                  <c:v>July'14</c:v>
                </c:pt>
                <c:pt idx="4">
                  <c:v>Aug'14</c:v>
                </c:pt>
                <c:pt idx="5">
                  <c:v>Sept'14</c:v>
                </c:pt>
                <c:pt idx="6">
                  <c:v>Oct'14</c:v>
                </c:pt>
                <c:pt idx="7">
                  <c:v>Nov'14</c:v>
                </c:pt>
                <c:pt idx="8">
                  <c:v>Dec'14</c:v>
                </c:pt>
                <c:pt idx="9">
                  <c:v>Jan'15</c:v>
                </c:pt>
                <c:pt idx="10">
                  <c:v>Feb'15</c:v>
                </c:pt>
                <c:pt idx="11">
                  <c:v>Mac'15</c:v>
                </c:pt>
              </c:strCache>
            </c:strRef>
          </c:cat>
          <c:val>
            <c:numRef>
              <c:f>'PF PL'!$BJ$221:$BU$221</c:f>
              <c:numCache>
                <c:formatCode>#,##0,</c:formatCode>
                <c:ptCount val="12"/>
                <c:pt idx="0">
                  <c:v>4323176.3935067356</c:v>
                </c:pt>
                <c:pt idx="1">
                  <c:v>5719002.5779342111</c:v>
                </c:pt>
                <c:pt idx="2">
                  <c:v>4210852.1729485244</c:v>
                </c:pt>
                <c:pt idx="3">
                  <c:v>6105801.7221498359</c:v>
                </c:pt>
                <c:pt idx="4">
                  <c:v>3446011.5086869486</c:v>
                </c:pt>
                <c:pt idx="5">
                  <c:v>4775370.3969721962</c:v>
                </c:pt>
                <c:pt idx="6">
                  <c:v>5654387.5525305867</c:v>
                </c:pt>
                <c:pt idx="7">
                  <c:v>2519977.3505535498</c:v>
                </c:pt>
                <c:pt idx="8">
                  <c:v>5847309.6617768928</c:v>
                </c:pt>
                <c:pt idx="9">
                  <c:v>5346438.8116918113</c:v>
                </c:pt>
                <c:pt idx="10">
                  <c:v>5076242.432041904</c:v>
                </c:pt>
                <c:pt idx="11">
                  <c:v>5165285.7493867502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1776"/>
        <c:axId val="36653312"/>
      </c:lineChart>
      <c:catAx>
        <c:axId val="366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MY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6653312"/>
        <c:crosses val="autoZero"/>
        <c:auto val="1"/>
        <c:lblAlgn val="ctr"/>
        <c:lblOffset val="100"/>
        <c:noMultiLvlLbl val="0"/>
      </c:catAx>
      <c:valAx>
        <c:axId val="366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MY"/>
                </a:pPr>
                <a:r>
                  <a:rPr lang="en-US"/>
                  <a:t>RM'000</a:t>
                </a:r>
              </a:p>
            </c:rich>
          </c:tx>
          <c:overlay val="0"/>
        </c:title>
        <c:numFmt formatCode="#,##0," sourceLinked="1"/>
        <c:majorTickMark val="none"/>
        <c:minorTickMark val="none"/>
        <c:tickLblPos val="nextTo"/>
        <c:txPr>
          <a:bodyPr/>
          <a:lstStyle/>
          <a:p>
            <a:pPr>
              <a:defRPr lang="en-MY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665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06681320069778"/>
          <c:y val="0.25511731323458431"/>
          <c:w val="0.12902196582119921"/>
          <c:h val="0.29263491570885575"/>
        </c:manualLayout>
      </c:layout>
      <c:overlay val="0"/>
      <c:txPr>
        <a:bodyPr/>
        <a:lstStyle/>
        <a:p>
          <a:pPr>
            <a:defRPr lang="en-MY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762001</xdr:colOff>
      <xdr:row>222</xdr:row>
      <xdr:rowOff>142876</xdr:rowOff>
    </xdr:from>
    <xdr:to>
      <xdr:col>73</xdr:col>
      <xdr:colOff>619125</xdr:colOff>
      <xdr:row>239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35716</xdr:colOff>
      <xdr:row>239</xdr:row>
      <xdr:rowOff>166684</xdr:rowOff>
    </xdr:from>
    <xdr:to>
      <xdr:col>73</xdr:col>
      <xdr:colOff>642936</xdr:colOff>
      <xdr:row>262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2001\Tax3\Wei450\Tax%20comp2001\Comp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DATA\Year_End_2000\Examples\Aw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t.GHOPEMDF\Local%20Settings\Temp\Temporary%20Directory%202%20for%20Budget%202004.zip\MRU%20-%20Sub%20contract%20sawmil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zuhairi.GHOPEMDF\My%20Documents\Budget\Budget%202004\DFB\2.%20Final\Budget%202004%20Main%20Schedul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st334\Ye00\AWP\Nst334_Awp1_without%20ad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.4&#50900;\&#44208;&#49328;&#49552;&#51061;&#44228;&#49328;&#49436;&#508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S&#12288;J.SUZUKI\2003&#24180;2&#26376;&#26399;&#27770;&#31639;&#36039;&#26009;\Consolidation%20package(Original&#65289;\Package2003.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hinyichang\My%20Documents\Work%20Folder\Rexpak%20Sdn%20Bhd\Final\Rexpak%20AWPs%202005%20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iewchenchua\Desktop\Assignments\Svedala%20(M)\awps\Assignments\Svedala%20(M)\Assignments\Svedala%20(M)\FA\fmw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KB\My%20Documents\My%20files\DWAH\Monthly%20MA\&#53440;&#49828;&#54252;_&#51088;&#54924;&#49324;&#44288;&#47532;&#51648;&#54364;('04.1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Documents%20and%20Settings/account/My%20Documents/&#44221;&#50689;&#44288;&#47532;/&#44592;&#54925;&#50629;&#47924;/&#45824;&#49457;&#49552;&#51061;/0110&#49552;&#51061;/&#51228;&#51312;&#52280;&#44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mail/191029.nsf/($webinbox)/AB591EE80A45269749256DB00025A4D2/$FILE/_p26td04e7q88r9qohobrh3d7b270rc4e7kkk34c1g6co3gcph273vc4e0ssmh3fm8270vga9ef1m76_/&#48516;&#54624;&#45824;&#52264;&#45824;&#51312;&#54364;(2003.08.31&#44592;&#51456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116;&#44256;&#44288;&#47532;\LPM&#50896;&#51648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reen.dongwha.co.kr/Documents%20and%20Settings/account/My%20Documents/&#44221;&#50689;&#44288;&#47532;/&#44592;&#54925;&#50629;&#47924;/&#45824;&#49457;&#49552;&#51061;/0111&#49552;&#51061;/&#51228;&#51312;&#52280;&#4425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1116;&#44256;&#51312;&#49324;071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&#20250;&#31038;&#21029;&#12497;&#12483;&#12465;&#12540;&#12472;\J(USA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3212/Desktop/hptan/EC%20meeting/FYE%202016/Apr%2015/Product%20PL%20Apr%202015_140515%20(FINAL)_included%20accured%20rev%20for%20FY%2013%2014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it344\Ye99\AWPs\Nit344_AWP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inancial%20Projections%20-%20Peter%20English%2030.04.011(bank)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file\Aud2\Pel146\2002\Hock%20Lam%2002\final02\Year_End_2000\Examples\Aw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SOFFICE\EXCEL\MTHACCTS\MPSB'2K\MP2K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Documents%20and%20Settings\siewchenchua\Desktop\Assignments\Svedala%20(M)\awps\Assignments\Svedala%20(M)\Assignments\Svedala%20(M)\FA\fm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0205073\&#36899;&#32080;\&#26368;&#26032;&#29256;RP&#65288;&#33521;&#35486;&#29256;&#65289;\RP(JA)\RPAC030829J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F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"/>
      <sheetName val="Lampiran"/>
      <sheetName val="FMC"/>
      <sheetName val="S108-2001"/>
      <sheetName val="108 (IRB)"/>
      <sheetName val="RA"/>
      <sheetName val="108"/>
      <sheetName val="EXEMP"/>
      <sheetName val="CONT"/>
      <sheetName val="Com"/>
      <sheetName val="COV"/>
      <sheetName val="AE"/>
      <sheetName val="MFA"/>
      <sheetName val="DFA"/>
      <sheetName val="AFA"/>
      <sheetName val="BSI"/>
      <sheetName val="HP"/>
      <sheetName val="CA"/>
      <sheetName val="CA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. 9 - Administration"/>
      <sheetName val="MRU"/>
      <sheetName val="P&amp;L-Sawmill"/>
      <sheetName val="Cost"/>
      <sheetName val="Bases - Wood Supply"/>
      <sheetName val="Bases - Sawmill"/>
      <sheetName val="FAsset"/>
      <sheetName val="Conversion"/>
      <sheetName val="MRU - Sub contract sawmill"/>
      <sheetName val="Chip Log"/>
      <sheetName val="#REF"/>
    </sheetNames>
    <sheetDataSet>
      <sheetData sheetId="0">
        <row r="4">
          <cell r="C4" t="str">
            <v>PRODUCTION DAYS</v>
          </cell>
        </row>
        <row r="5">
          <cell r="C5" t="str">
            <v>GROSS PRODUCTION VOLUME (m3)</v>
          </cell>
        </row>
        <row r="7">
          <cell r="A7" t="str">
            <v>(SUMMARY)</v>
          </cell>
          <cell r="F7" t="str">
            <v xml:space="preserve">SUPPORTING </v>
          </cell>
        </row>
        <row r="8">
          <cell r="A8" t="str">
            <v>ADMINISTRATION</v>
          </cell>
          <cell r="F8" t="str">
            <v xml:space="preserve"> SCH. REF.</v>
          </cell>
        </row>
        <row r="11">
          <cell r="B11" t="str">
            <v xml:space="preserve">ITEMS </v>
          </cell>
          <cell r="G11" t="str">
            <v>RM</v>
          </cell>
          <cell r="H11" t="str">
            <v>RM</v>
          </cell>
          <cell r="I11" t="str">
            <v>RM</v>
          </cell>
          <cell r="J11" t="str">
            <v>RM</v>
          </cell>
          <cell r="K11" t="str">
            <v>RM</v>
          </cell>
          <cell r="L11" t="str">
            <v>RM</v>
          </cell>
          <cell r="M11" t="str">
            <v>RM</v>
          </cell>
          <cell r="N11" t="str">
            <v>RM</v>
          </cell>
          <cell r="O11" t="str">
            <v>RM</v>
          </cell>
          <cell r="P11" t="str">
            <v>RM</v>
          </cell>
          <cell r="Q11" t="str">
            <v>RM</v>
          </cell>
        </row>
        <row r="13">
          <cell r="B13" t="str">
            <v>Manpower Costs</v>
          </cell>
          <cell r="G13">
            <v>753650.03333333344</v>
          </cell>
          <cell r="H13">
            <v>521330.8</v>
          </cell>
          <cell r="I13">
            <v>155094.6</v>
          </cell>
          <cell r="J13">
            <v>64262.26666666667</v>
          </cell>
          <cell r="K13">
            <v>436463.7666666666</v>
          </cell>
          <cell r="L13">
            <v>129524.06666666667</v>
          </cell>
          <cell r="M13">
            <v>243486.46</v>
          </cell>
          <cell r="N13">
            <v>2489754.9333333331</v>
          </cell>
          <cell r="O13">
            <v>282604.7666666666</v>
          </cell>
          <cell r="P13">
            <v>81917.600000000006</v>
          </cell>
          <cell r="Q13">
            <v>5158089.293333333</v>
          </cell>
        </row>
        <row r="14">
          <cell r="B14" t="str">
            <v>Other Overhead Costs</v>
          </cell>
          <cell r="G14">
            <v>195907.8</v>
          </cell>
          <cell r="H14">
            <v>580926</v>
          </cell>
          <cell r="I14">
            <v>23405</v>
          </cell>
          <cell r="J14">
            <v>28999</v>
          </cell>
          <cell r="K14">
            <v>105000</v>
          </cell>
          <cell r="L14">
            <v>61200</v>
          </cell>
          <cell r="M14">
            <v>83965</v>
          </cell>
          <cell r="N14">
            <v>994700</v>
          </cell>
          <cell r="O14">
            <v>79300</v>
          </cell>
          <cell r="P14">
            <v>263231.59999999998</v>
          </cell>
          <cell r="Q14">
            <v>2416634.4</v>
          </cell>
        </row>
        <row r="15">
          <cell r="B15" t="str">
            <v>TOTAL - ADMINISTRATION</v>
          </cell>
          <cell r="G15">
            <v>949557.83333333349</v>
          </cell>
          <cell r="H15">
            <v>1102256.8</v>
          </cell>
          <cell r="I15">
            <v>178499.6</v>
          </cell>
          <cell r="J15">
            <v>93261.266666666663</v>
          </cell>
          <cell r="K15">
            <v>541463.7666666666</v>
          </cell>
          <cell r="L15">
            <v>190724.06666666665</v>
          </cell>
          <cell r="M15">
            <v>327451.45999999996</v>
          </cell>
          <cell r="N15">
            <v>3484454.9333333331</v>
          </cell>
          <cell r="O15">
            <v>361904.7666666666</v>
          </cell>
          <cell r="P15">
            <v>345149.19999999995</v>
          </cell>
          <cell r="Q15">
            <v>7574723.6933333334</v>
          </cell>
        </row>
        <row r="17">
          <cell r="A17" t="str">
            <v>(DETAILS)</v>
          </cell>
        </row>
        <row r="18">
          <cell r="A18" t="str">
            <v>ADMINISTRATION</v>
          </cell>
        </row>
        <row r="19">
          <cell r="G19" t="str">
            <v>Human Resources</v>
          </cell>
          <cell r="H19" t="str">
            <v>Administration</v>
          </cell>
          <cell r="I19" t="str">
            <v>Purchasing</v>
          </cell>
          <cell r="J19" t="str">
            <v>Weighbridge</v>
          </cell>
          <cell r="K19" t="str">
            <v>Finished Goods Store</v>
          </cell>
          <cell r="L19" t="str">
            <v>Shipping</v>
          </cell>
          <cell r="M19" t="str">
            <v>MRU</v>
          </cell>
          <cell r="N19" t="str">
            <v>GM's Office</v>
          </cell>
          <cell r="O19" t="str">
            <v>Finance</v>
          </cell>
          <cell r="P19" t="str">
            <v>IT</v>
          </cell>
          <cell r="Q19" t="str">
            <v>TOTAL Administration</v>
          </cell>
        </row>
        <row r="20">
          <cell r="M20">
            <v>0.7</v>
          </cell>
        </row>
        <row r="21">
          <cell r="B21" t="str">
            <v xml:space="preserve">ITEMS </v>
          </cell>
          <cell r="G21" t="str">
            <v>RM</v>
          </cell>
          <cell r="H21" t="str">
            <v>RM</v>
          </cell>
          <cell r="I21" t="str">
            <v>RM</v>
          </cell>
          <cell r="J21" t="str">
            <v>RM</v>
          </cell>
          <cell r="K21" t="str">
            <v>RM</v>
          </cell>
          <cell r="L21" t="str">
            <v>RM</v>
          </cell>
          <cell r="M21" t="str">
            <v>RM</v>
          </cell>
          <cell r="N21" t="str">
            <v>RM</v>
          </cell>
          <cell r="O21" t="str">
            <v>RM</v>
          </cell>
          <cell r="P21" t="str">
            <v>RM</v>
          </cell>
          <cell r="Q21" t="str">
            <v>RM</v>
          </cell>
        </row>
        <row r="22">
          <cell r="B22" t="str">
            <v xml:space="preserve">MANPOWER COSTS </v>
          </cell>
        </row>
        <row r="23">
          <cell r="B23" t="str">
            <v>Salaries/Wages</v>
          </cell>
          <cell r="G23">
            <v>123701</v>
          </cell>
          <cell r="H23">
            <v>141498</v>
          </cell>
          <cell r="I23">
            <v>89611</v>
          </cell>
          <cell r="J23">
            <v>26158</v>
          </cell>
          <cell r="K23">
            <v>175417</v>
          </cell>
          <cell r="L23">
            <v>74302</v>
          </cell>
          <cell r="M23">
            <v>128923.2</v>
          </cell>
          <cell r="N23">
            <v>1791140</v>
          </cell>
          <cell r="O23">
            <v>192994</v>
          </cell>
          <cell r="P23">
            <v>44176</v>
          </cell>
          <cell r="Q23">
            <v>2787920.2</v>
          </cell>
        </row>
        <row r="24">
          <cell r="B24" t="str">
            <v>Bonus Provision</v>
          </cell>
          <cell r="G24">
            <v>20616.833333333332</v>
          </cell>
          <cell r="H24">
            <v>23583</v>
          </cell>
          <cell r="I24">
            <v>15955</v>
          </cell>
          <cell r="J24">
            <v>4359.666666666667</v>
          </cell>
          <cell r="K24">
            <v>29236.166666666668</v>
          </cell>
          <cell r="L24">
            <v>12383.666666666666</v>
          </cell>
          <cell r="M24">
            <v>21487.199999999997</v>
          </cell>
          <cell r="N24">
            <v>298523.33333333331</v>
          </cell>
          <cell r="O24">
            <v>32165.666666666668</v>
          </cell>
          <cell r="P24">
            <v>8004</v>
          </cell>
          <cell r="Q24">
            <v>466314.53333333333</v>
          </cell>
        </row>
        <row r="25">
          <cell r="B25" t="str">
            <v>Other Benefits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Accomodation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139200</v>
          </cell>
          <cell r="O26">
            <v>0</v>
          </cell>
          <cell r="P26">
            <v>0</v>
          </cell>
          <cell r="Q26">
            <v>139200</v>
          </cell>
        </row>
        <row r="27">
          <cell r="C27" t="str">
            <v>Car (rented)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27600</v>
          </cell>
          <cell r="O27">
            <v>0</v>
          </cell>
          <cell r="P27">
            <v>0</v>
          </cell>
          <cell r="Q27">
            <v>27600</v>
          </cell>
        </row>
        <row r="28">
          <cell r="C28" t="str">
            <v>Child School Fees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105000</v>
          </cell>
          <cell r="O28">
            <v>0</v>
          </cell>
          <cell r="P28">
            <v>0</v>
          </cell>
          <cell r="Q28">
            <v>105000</v>
          </cell>
        </row>
        <row r="29">
          <cell r="C29" t="str">
            <v>Utility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13800</v>
          </cell>
          <cell r="O29">
            <v>0</v>
          </cell>
          <cell r="P29">
            <v>0</v>
          </cell>
          <cell r="Q29">
            <v>13800</v>
          </cell>
        </row>
        <row r="30">
          <cell r="C30" t="str">
            <v>Telephone/Mobile phone claims</v>
          </cell>
          <cell r="G30">
            <v>780</v>
          </cell>
          <cell r="H30">
            <v>252</v>
          </cell>
          <cell r="I30">
            <v>612</v>
          </cell>
          <cell r="J30">
            <v>0</v>
          </cell>
          <cell r="K30">
            <v>0</v>
          </cell>
          <cell r="L30">
            <v>252</v>
          </cell>
          <cell r="M30">
            <v>172.2</v>
          </cell>
          <cell r="N30">
            <v>9798</v>
          </cell>
          <cell r="O30">
            <v>756</v>
          </cell>
          <cell r="P30">
            <v>252</v>
          </cell>
          <cell r="Q30">
            <v>12874.2</v>
          </cell>
        </row>
        <row r="31">
          <cell r="C31" t="str">
            <v>Leave Passage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24000</v>
          </cell>
          <cell r="O31">
            <v>0</v>
          </cell>
          <cell r="P31">
            <v>0</v>
          </cell>
          <cell r="Q31">
            <v>24000</v>
          </cell>
        </row>
        <row r="32">
          <cell r="B32" t="str">
            <v>Shift Allowance</v>
          </cell>
          <cell r="G32">
            <v>0</v>
          </cell>
          <cell r="H32">
            <v>11856</v>
          </cell>
          <cell r="I32">
            <v>0</v>
          </cell>
          <cell r="J32">
            <v>0</v>
          </cell>
          <cell r="K32">
            <v>13200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25056</v>
          </cell>
        </row>
        <row r="33">
          <cell r="B33" t="str">
            <v>Meal Allowance</v>
          </cell>
          <cell r="G33">
            <v>936</v>
          </cell>
          <cell r="H33">
            <v>3432</v>
          </cell>
          <cell r="I33">
            <v>312</v>
          </cell>
          <cell r="J33">
            <v>624</v>
          </cell>
          <cell r="K33">
            <v>3744</v>
          </cell>
          <cell r="L33">
            <v>624</v>
          </cell>
          <cell r="M33">
            <v>2184</v>
          </cell>
          <cell r="N33">
            <v>624</v>
          </cell>
          <cell r="O33">
            <v>1560</v>
          </cell>
          <cell r="P33">
            <v>312</v>
          </cell>
          <cell r="Q33">
            <v>14352</v>
          </cell>
        </row>
        <row r="34">
          <cell r="B34" t="str">
            <v>Other Allowance</v>
          </cell>
          <cell r="G34">
            <v>0</v>
          </cell>
          <cell r="H34">
            <v>1320</v>
          </cell>
          <cell r="I34">
            <v>0</v>
          </cell>
          <cell r="J34">
            <v>0</v>
          </cell>
          <cell r="K34">
            <v>6000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7320</v>
          </cell>
        </row>
        <row r="35">
          <cell r="B35" t="str">
            <v>Transport Allowance</v>
          </cell>
          <cell r="G35">
            <v>1980</v>
          </cell>
          <cell r="H35">
            <v>8220</v>
          </cell>
          <cell r="I35">
            <v>660</v>
          </cell>
          <cell r="J35">
            <v>1584</v>
          </cell>
          <cell r="K35">
            <v>9504</v>
          </cell>
          <cell r="L35">
            <v>1320</v>
          </cell>
          <cell r="M35">
            <v>5451.5999999999995</v>
          </cell>
          <cell r="N35">
            <v>1320</v>
          </cell>
          <cell r="O35">
            <v>3300</v>
          </cell>
          <cell r="P35">
            <v>660</v>
          </cell>
          <cell r="Q35">
            <v>33999.599999999999</v>
          </cell>
        </row>
        <row r="36">
          <cell r="B36" t="str">
            <v>Attendance Allowance</v>
          </cell>
          <cell r="G36">
            <v>1800</v>
          </cell>
          <cell r="H36">
            <v>6600</v>
          </cell>
          <cell r="I36">
            <v>600</v>
          </cell>
          <cell r="J36">
            <v>1200</v>
          </cell>
          <cell r="K36">
            <v>7200</v>
          </cell>
          <cell r="L36">
            <v>1200</v>
          </cell>
          <cell r="M36">
            <v>4200</v>
          </cell>
          <cell r="N36">
            <v>1200</v>
          </cell>
          <cell r="O36">
            <v>3000</v>
          </cell>
          <cell r="P36">
            <v>600</v>
          </cell>
          <cell r="Q36">
            <v>27600</v>
          </cell>
        </row>
        <row r="37">
          <cell r="B37" t="str">
            <v>Overtime</v>
          </cell>
          <cell r="G37">
            <v>31668</v>
          </cell>
          <cell r="H37">
            <v>107856</v>
          </cell>
          <cell r="I37">
            <v>18000</v>
          </cell>
          <cell r="J37">
            <v>18000</v>
          </cell>
          <cell r="K37">
            <v>135000</v>
          </cell>
          <cell r="L37">
            <v>13200</v>
          </cell>
          <cell r="M37">
            <v>42000</v>
          </cell>
          <cell r="N37">
            <v>18000</v>
          </cell>
          <cell r="O37">
            <v>37464</v>
          </cell>
          <cell r="P37">
            <v>6000</v>
          </cell>
          <cell r="Q37">
            <v>427188</v>
          </cell>
        </row>
        <row r="38">
          <cell r="B38" t="str">
            <v>Incentive Allowance</v>
          </cell>
          <cell r="G38">
            <v>276000</v>
          </cell>
          <cell r="H38" t="str">
            <v>HR</v>
          </cell>
          <cell r="I38" t="str">
            <v>HR</v>
          </cell>
          <cell r="J38" t="str">
            <v>HR</v>
          </cell>
          <cell r="K38" t="str">
            <v>HR</v>
          </cell>
          <cell r="L38" t="str">
            <v>HR</v>
          </cell>
          <cell r="M38" t="str">
            <v>HR</v>
          </cell>
          <cell r="N38" t="str">
            <v>HR</v>
          </cell>
          <cell r="O38" t="str">
            <v>HR</v>
          </cell>
          <cell r="P38" t="str">
            <v>HR</v>
          </cell>
          <cell r="Q38">
            <v>276000</v>
          </cell>
        </row>
        <row r="39">
          <cell r="B39" t="str">
            <v>EPF</v>
          </cell>
          <cell r="G39">
            <v>22393</v>
          </cell>
          <cell r="H39">
            <v>29278</v>
          </cell>
          <cell r="I39">
            <v>15725</v>
          </cell>
          <cell r="J39">
            <v>5089</v>
          </cell>
          <cell r="K39">
            <v>35745</v>
          </cell>
          <cell r="L39">
            <v>13513</v>
          </cell>
          <cell r="M39">
            <v>24362.799999999999</v>
          </cell>
          <cell r="N39">
            <v>314416</v>
          </cell>
          <cell r="O39">
            <v>35029</v>
          </cell>
          <cell r="P39">
            <v>7874</v>
          </cell>
          <cell r="Q39">
            <v>503424.8</v>
          </cell>
        </row>
        <row r="40">
          <cell r="B40" t="str">
            <v>SOCSO</v>
          </cell>
        </row>
        <row r="41">
          <cell r="B41" t="str">
            <v>Uniforms</v>
          </cell>
        </row>
        <row r="42">
          <cell r="B42" t="str">
            <v>Welfare/Canteen</v>
          </cell>
        </row>
        <row r="43">
          <cell r="B43" t="str">
            <v>Suggestion Scheme</v>
          </cell>
        </row>
        <row r="44">
          <cell r="B44" t="str">
            <v>Medical</v>
          </cell>
        </row>
        <row r="45">
          <cell r="B45" t="str">
            <v>Transportation</v>
          </cell>
        </row>
        <row r="46">
          <cell r="B46" t="str">
            <v>Accomodation</v>
          </cell>
        </row>
        <row r="47">
          <cell r="B47" t="str">
            <v>Training Expenses</v>
          </cell>
        </row>
        <row r="48">
          <cell r="B48" t="str">
            <v>Recruitment</v>
          </cell>
        </row>
        <row r="49">
          <cell r="B49" t="str">
            <v>Sports&amp;Recreation</v>
          </cell>
        </row>
        <row r="50">
          <cell r="B50" t="str">
            <v>Contract Labour</v>
          </cell>
        </row>
        <row r="51">
          <cell r="B51" t="str">
            <v>Transfer to Sawn Timber Operations</v>
          </cell>
        </row>
        <row r="54">
          <cell r="B54" t="str">
            <v>TOTAL MANPOWER COST - WEIGHBRIDGE</v>
          </cell>
        </row>
        <row r="57">
          <cell r="A57" t="str">
            <v>(DETAILS)</v>
          </cell>
        </row>
        <row r="58">
          <cell r="A58" t="str">
            <v>ADMINISTRATION</v>
          </cell>
        </row>
        <row r="61">
          <cell r="B61" t="str">
            <v xml:space="preserve">ITEMS </v>
          </cell>
        </row>
        <row r="62">
          <cell r="B62" t="str">
            <v>OTHER COSTS / OVERHEADS</v>
          </cell>
        </row>
        <row r="63">
          <cell r="B63" t="str">
            <v>Packing Material</v>
          </cell>
        </row>
        <row r="64">
          <cell r="B64" t="str">
            <v>Carpentary</v>
          </cell>
        </row>
        <row r="65">
          <cell r="B65" t="str">
            <v>Advertising &amp; Promotion - Local</v>
          </cell>
          <cell r="E65" t="str">
            <v>Advert &amp; Promotion-Local</v>
          </cell>
        </row>
        <row r="66">
          <cell r="B66" t="str">
            <v>Seminars</v>
          </cell>
        </row>
        <row r="67">
          <cell r="B67" t="str">
            <v>Travelling - Local</v>
          </cell>
        </row>
        <row r="68">
          <cell r="B68" t="str">
            <v>Travelling - Overseas</v>
          </cell>
        </row>
        <row r="69">
          <cell r="B69" t="str">
            <v>Entertainment</v>
          </cell>
        </row>
        <row r="70">
          <cell r="B70" t="str">
            <v>Meeting &amp; Function</v>
          </cell>
        </row>
        <row r="71">
          <cell r="B71" t="str">
            <v>Training</v>
          </cell>
        </row>
        <row r="72">
          <cell r="B72" t="str">
            <v>Subscriptions/memberships</v>
          </cell>
        </row>
        <row r="73">
          <cell r="B73" t="str">
            <v>Bad Debts</v>
          </cell>
        </row>
        <row r="74">
          <cell r="B74" t="str">
            <v>Cleaning Services</v>
          </cell>
        </row>
        <row r="75">
          <cell r="B75" t="str">
            <v>Compound</v>
          </cell>
        </row>
        <row r="76">
          <cell r="B76" t="str">
            <v xml:space="preserve">Repair &amp; Maintenance </v>
          </cell>
        </row>
        <row r="77">
          <cell r="B77" t="str">
            <v>Equipment/Vehicles/Running</v>
          </cell>
        </row>
        <row r="78">
          <cell r="B78" t="str">
            <v>Stationery</v>
          </cell>
        </row>
        <row r="79">
          <cell r="B79" t="str">
            <v>Books &amp; Periodical</v>
          </cell>
        </row>
        <row r="80">
          <cell r="B80" t="str">
            <v>Telephone.Telefax/Telex</v>
          </cell>
        </row>
        <row r="81">
          <cell r="B81" t="str">
            <v>Postages/Courier</v>
          </cell>
        </row>
        <row r="82">
          <cell r="B82" t="str">
            <v>Insurance - General</v>
          </cell>
        </row>
        <row r="83">
          <cell r="B83" t="str">
            <v>Security</v>
          </cell>
        </row>
        <row r="84">
          <cell r="B84" t="str">
            <v>Safety</v>
          </cell>
        </row>
        <row r="85">
          <cell r="B85" t="str">
            <v>Rental</v>
          </cell>
        </row>
        <row r="86">
          <cell r="B86" t="str">
            <v>Quit Rent/Assesment/Rates</v>
          </cell>
        </row>
        <row r="87">
          <cell r="B87" t="str">
            <v>EDP Expenses</v>
          </cell>
        </row>
        <row r="88">
          <cell r="B88" t="str">
            <v>Legal Fees</v>
          </cell>
        </row>
        <row r="89">
          <cell r="B89" t="str">
            <v>Audit Fees</v>
          </cell>
        </row>
        <row r="90">
          <cell r="B90" t="str">
            <v>Professional Fees</v>
          </cell>
        </row>
        <row r="91">
          <cell r="B91" t="str">
            <v>Bank Charges</v>
          </cell>
        </row>
        <row r="92">
          <cell r="B92" t="str">
            <v>Interest</v>
          </cell>
        </row>
        <row r="93">
          <cell r="B93" t="str">
            <v>Docomentation Charges</v>
          </cell>
        </row>
        <row r="94">
          <cell r="B94" t="str">
            <v>Sundries</v>
          </cell>
        </row>
        <row r="95">
          <cell r="B95" t="str">
            <v>Donation</v>
          </cell>
        </row>
        <row r="96">
          <cell r="B96" t="str">
            <v>Transfer to Sawn Timber Operations</v>
          </cell>
        </row>
        <row r="106">
          <cell r="B106" t="str">
            <v>Transfer to Sawntimber Operation</v>
          </cell>
        </row>
        <row r="107">
          <cell r="B107" t="str">
            <v>Manager</v>
          </cell>
          <cell r="C107">
            <v>0.2</v>
          </cell>
          <cell r="D107" t="str">
            <v>(Salary/EPF/Bonus)</v>
          </cell>
        </row>
        <row r="108">
          <cell r="B108" t="str">
            <v>Executive</v>
          </cell>
          <cell r="C108">
            <v>0.3</v>
          </cell>
          <cell r="D108" t="str">
            <v>(Salary/EPF/Bonus)</v>
          </cell>
        </row>
        <row r="109">
          <cell r="B109" t="str">
            <v>Assistant</v>
          </cell>
          <cell r="C109">
            <v>1</v>
          </cell>
          <cell r="D109" t="str">
            <v>(Salary/EPF/Bonus)</v>
          </cell>
        </row>
        <row r="111">
          <cell r="B111" t="str">
            <v>Transfer to Sawntimber Operation</v>
          </cell>
        </row>
        <row r="112">
          <cell r="B112" t="str">
            <v>Stationery</v>
          </cell>
          <cell r="D112">
            <v>0.2</v>
          </cell>
        </row>
        <row r="113">
          <cell r="B113" t="str">
            <v>EDP Expenses</v>
          </cell>
          <cell r="D113">
            <v>0.2</v>
          </cell>
        </row>
        <row r="114">
          <cell r="B114" t="str">
            <v>Audit Fees</v>
          </cell>
          <cell r="D114">
            <v>0.2</v>
          </cell>
        </row>
        <row r="115">
          <cell r="B115" t="str">
            <v>Professional Fees</v>
          </cell>
          <cell r="D115">
            <v>0.2</v>
          </cell>
        </row>
        <row r="117">
          <cell r="B117" t="str">
            <v>Basis : Turnover Sawntimber to MDF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tion"/>
      <sheetName val="Overall P&amp;L"/>
      <sheetName val="Fireboard"/>
      <sheetName val="P&amp;L Summary"/>
      <sheetName val="P&amp;L - MDF"/>
      <sheetName val="P&amp;L-MRU"/>
      <sheetName val="Mthly P&amp;L-MDF"/>
      <sheetName val="Mthly P&amp;L-MRU"/>
      <sheetName val="Sch. 1 - Production"/>
      <sheetName val="Sch. 2 - Sales"/>
      <sheetName val="Sch. 3 - Claims &amp; Commissions"/>
      <sheetName val="Sch. 4 - Direct Selling Exp"/>
      <sheetName val="Costing Sheet for AB"/>
      <sheetName val="Sch. 5 - Direct Cost of Sales"/>
      <sheetName val="Sch. 6 - Depreciation"/>
      <sheetName val="Depreciation- Amended"/>
      <sheetName val="Sch. 7 - Factory O-heads Others"/>
      <sheetName val="Sch. 8 - Marketing"/>
      <sheetName val="Sch. 9 - Administration"/>
      <sheetName val="Manpower"/>
      <sheetName val="Cost Chip Log FY04"/>
      <sheetName val="HRcopy"/>
      <sheetName val="Actual Admin Manpower 2003"/>
      <sheetName val="Actual General O-H 2003"/>
      <sheetName val="Actual General O-H 2003 (2)"/>
      <sheetName val="Admin Cost 03 Raw"/>
      <sheetName val="Capital Improvements"/>
      <sheetName val="Capex timing"/>
      <sheetName val="Sensitivity"/>
      <sheetName val="Volume &amp; Raw Mat"/>
      <sheetName val="Revised Dgrade"/>
      <sheetName val="Budget 2004 Main Schedules"/>
      <sheetName val="hour"/>
      <sheetName val="C1"/>
    </sheetNames>
    <definedNames>
      <definedName name="FORM1_조회"/>
    </defined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Attach"/>
      <sheetName val="Hypo"/>
      <sheetName val="F-11"/>
      <sheetName val="F-22"/>
      <sheetName val="AP110 sup"/>
      <sheetName val="AP110sup"/>
      <sheetName val="A"/>
      <sheetName val="B"/>
      <sheetName val="B-10"/>
      <sheetName val="C"/>
      <sheetName val="L"/>
      <sheetName val="U"/>
      <sheetName val="AA"/>
      <sheetName val="BB"/>
      <sheetName val="BB-10"/>
      <sheetName val="BB-30"/>
      <sheetName val="CC"/>
      <sheetName val="FF"/>
      <sheetName val="FF "/>
      <sheetName val="FF-1"/>
      <sheetName val="FF-2 (1)"/>
      <sheetName val="FF-2 (2)"/>
      <sheetName val="FF-2 (3)"/>
      <sheetName val="FF-3"/>
      <sheetName val="FF-6"/>
      <sheetName val="KK-1"/>
      <sheetName val="MM"/>
      <sheetName val="MM-1"/>
      <sheetName val="MM-10"/>
      <sheetName val="NN"/>
      <sheetName val="NN-1"/>
      <sheetName val="10"/>
      <sheetName val="20"/>
      <sheetName val="30"/>
      <sheetName val="Payroll"/>
    </sheetNames>
    <sheetDataSet>
      <sheetData sheetId="0" refreshError="1">
        <row r="1">
          <cell r="A1" t="str">
            <v>IDSM ELECTRONICS SDN BHD</v>
          </cell>
        </row>
        <row r="2">
          <cell r="A2" t="str">
            <v>FOR THE YEAR ENDED 31 DECEMBER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</sheetNames>
    <sheetDataSet>
      <sheetData sheetId="0" refreshError="1">
        <row r="2">
          <cell r="A2" t="str">
            <v xml:space="preserve">                月 次 損 益 計 算 書 </v>
          </cell>
        </row>
        <row r="3">
          <cell r="A3" t="str">
            <v xml:space="preserve">                                 (1996년12월 31일 현재)</v>
          </cell>
        </row>
        <row r="5">
          <cell r="A5" t="str">
            <v xml:space="preserve"> (주)대경코퍼레이션</v>
          </cell>
          <cell r="E5" t="str">
            <v>(단위 : 원)</v>
          </cell>
        </row>
        <row r="6">
          <cell r="A6" t="str">
            <v>科   目</v>
          </cell>
          <cell r="B6" t="str">
            <v xml:space="preserve">     11월차</v>
          </cell>
          <cell r="C6" t="str">
            <v>손 익</v>
          </cell>
          <cell r="D6" t="str">
            <v xml:space="preserve">     12월차</v>
          </cell>
          <cell r="E6" t="str">
            <v>손 익</v>
          </cell>
        </row>
        <row r="7">
          <cell r="A7" t="str">
            <v xml:space="preserve"> </v>
          </cell>
          <cell r="B7" t="str">
            <v>金</v>
          </cell>
          <cell r="C7" t="str">
            <v xml:space="preserve">  額</v>
          </cell>
          <cell r="D7" t="str">
            <v>金</v>
          </cell>
          <cell r="E7" t="str">
            <v xml:space="preserve">  額</v>
          </cell>
        </row>
        <row r="8">
          <cell r="A8" t="str">
            <v xml:space="preserve"> 1. 매출총액</v>
          </cell>
          <cell r="C8">
            <v>356071636</v>
          </cell>
          <cell r="E8">
            <v>180870197</v>
          </cell>
        </row>
        <row r="9">
          <cell r="A9" t="str">
            <v xml:space="preserve">  1) 상품수출</v>
          </cell>
          <cell r="B9">
            <v>0</v>
          </cell>
          <cell r="D9">
            <v>40870199</v>
          </cell>
        </row>
        <row r="10">
          <cell r="A10" t="str">
            <v xml:space="preserve">  2) 창호공사매출</v>
          </cell>
          <cell r="B10">
            <v>356071636</v>
          </cell>
          <cell r="D10">
            <v>139999998</v>
          </cell>
        </row>
        <row r="11">
          <cell r="A11" t="str">
            <v xml:space="preserve"> 2. 매출원가</v>
          </cell>
          <cell r="C11">
            <v>362812348</v>
          </cell>
          <cell r="D11" t="str">
            <v xml:space="preserve"> </v>
          </cell>
          <cell r="E11">
            <v>216588624</v>
          </cell>
        </row>
        <row r="12">
          <cell r="A12" t="str">
            <v xml:space="preserve">  1) 상품수출원가</v>
          </cell>
          <cell r="B12">
            <v>0</v>
          </cell>
          <cell r="D12">
            <v>38843529</v>
          </cell>
        </row>
        <row r="13">
          <cell r="A13" t="str">
            <v xml:space="preserve">  2) 창호공사매출원가</v>
          </cell>
          <cell r="B13">
            <v>362812348</v>
          </cell>
          <cell r="D13">
            <v>177745095</v>
          </cell>
        </row>
        <row r="14">
          <cell r="A14" t="str">
            <v xml:space="preserve">   ① 원재료비 </v>
          </cell>
          <cell r="B14">
            <v>183059606</v>
          </cell>
          <cell r="D14">
            <v>37295423</v>
          </cell>
        </row>
        <row r="15">
          <cell r="A15" t="str">
            <v xml:space="preserve">   ② 부재료비</v>
          </cell>
          <cell r="B15">
            <v>10080837</v>
          </cell>
          <cell r="D15">
            <v>11355100</v>
          </cell>
        </row>
        <row r="16">
          <cell r="A16" t="str">
            <v xml:space="preserve">   ③ 노 무 비</v>
          </cell>
          <cell r="B16">
            <v>21938550</v>
          </cell>
          <cell r="D16">
            <v>13055000</v>
          </cell>
        </row>
        <row r="17">
          <cell r="A17" t="str">
            <v xml:space="preserve">      임    금</v>
          </cell>
          <cell r="B17">
            <v>8740000</v>
          </cell>
          <cell r="D17">
            <v>8540000</v>
          </cell>
        </row>
        <row r="18">
          <cell r="A18" t="str">
            <v xml:space="preserve">      상    여</v>
          </cell>
          <cell r="B18">
            <v>4275000</v>
          </cell>
          <cell r="D18">
            <v>4515000</v>
          </cell>
        </row>
        <row r="19">
          <cell r="A19" t="str">
            <v xml:space="preserve">      잡    급</v>
          </cell>
          <cell r="B19">
            <v>8411000</v>
          </cell>
          <cell r="D19">
            <v>0</v>
          </cell>
        </row>
        <row r="20">
          <cell r="A20" t="str">
            <v xml:space="preserve">      복리후생비</v>
          </cell>
          <cell r="B20">
            <v>512550</v>
          </cell>
          <cell r="D20">
            <v>0</v>
          </cell>
        </row>
        <row r="21">
          <cell r="A21" t="str">
            <v xml:space="preserve">   ④ 제조경비</v>
          </cell>
          <cell r="B21">
            <v>147733355</v>
          </cell>
          <cell r="D21">
            <v>116039572</v>
          </cell>
        </row>
        <row r="22">
          <cell r="A22" t="str">
            <v xml:space="preserve">      소 모 품비</v>
          </cell>
          <cell r="B22">
            <v>270430</v>
          </cell>
          <cell r="D22">
            <v>238750</v>
          </cell>
        </row>
        <row r="23">
          <cell r="A23" t="str">
            <v xml:space="preserve">      수도광열비</v>
          </cell>
          <cell r="B23">
            <v>82020</v>
          </cell>
          <cell r="D23">
            <v>0</v>
          </cell>
        </row>
        <row r="24">
          <cell r="A24" t="str">
            <v xml:space="preserve">      세금과공과</v>
          </cell>
          <cell r="B24">
            <v>50000</v>
          </cell>
          <cell r="D24">
            <v>399510</v>
          </cell>
        </row>
        <row r="25">
          <cell r="A25" t="str">
            <v xml:space="preserve">      여비교통비</v>
          </cell>
          <cell r="B25">
            <v>476200</v>
          </cell>
          <cell r="D25">
            <v>150800</v>
          </cell>
        </row>
        <row r="26">
          <cell r="A26" t="str">
            <v xml:space="preserve">      통  신  비</v>
          </cell>
          <cell r="B26">
            <v>0</v>
          </cell>
          <cell r="D26">
            <v>29618</v>
          </cell>
        </row>
        <row r="27">
          <cell r="A27" t="str">
            <v xml:space="preserve">      차량유지비</v>
          </cell>
          <cell r="B27">
            <v>1311918</v>
          </cell>
          <cell r="D27">
            <v>866082</v>
          </cell>
        </row>
        <row r="28">
          <cell r="A28" t="str">
            <v xml:space="preserve">      접  대  비</v>
          </cell>
          <cell r="B28">
            <v>226660</v>
          </cell>
          <cell r="D28">
            <v>0</v>
          </cell>
        </row>
        <row r="29">
          <cell r="A29" t="str">
            <v xml:space="preserve">      지급임차료</v>
          </cell>
          <cell r="B29">
            <v>1000000</v>
          </cell>
          <cell r="D29">
            <v>0</v>
          </cell>
        </row>
        <row r="30">
          <cell r="A30" t="str">
            <v xml:space="preserve">      운  반  비</v>
          </cell>
          <cell r="B30">
            <v>1800000</v>
          </cell>
          <cell r="D30">
            <v>14150000</v>
          </cell>
        </row>
        <row r="31">
          <cell r="A31" t="str">
            <v xml:space="preserve">      도서인쇄비</v>
          </cell>
          <cell r="B31">
            <v>8000</v>
          </cell>
          <cell r="D31">
            <v>0</v>
          </cell>
        </row>
        <row r="32">
          <cell r="A32" t="str">
            <v xml:space="preserve">      보  험  료</v>
          </cell>
          <cell r="D32">
            <v>1798712</v>
          </cell>
        </row>
        <row r="33">
          <cell r="A33" t="str">
            <v xml:space="preserve">      지급수수료</v>
          </cell>
          <cell r="B33">
            <v>20800</v>
          </cell>
          <cell r="D33">
            <v>136000</v>
          </cell>
        </row>
        <row r="34">
          <cell r="A34" t="str">
            <v xml:space="preserve">      외주가공비</v>
          </cell>
          <cell r="B34">
            <v>142042727</v>
          </cell>
          <cell r="D34">
            <v>96000000</v>
          </cell>
        </row>
        <row r="35">
          <cell r="A35" t="str">
            <v xml:space="preserve">      잡자재대</v>
          </cell>
          <cell r="B35">
            <v>444600</v>
          </cell>
          <cell r="D35">
            <v>2270100</v>
          </cell>
        </row>
        <row r="36">
          <cell r="A36" t="str">
            <v xml:space="preserve"> 3. 매출총이익</v>
          </cell>
          <cell r="C36">
            <v>-6740712</v>
          </cell>
          <cell r="E36">
            <v>-35718427</v>
          </cell>
        </row>
        <row r="37">
          <cell r="A37" t="str">
            <v xml:space="preserve"> 4. 판매비와일반관리비</v>
          </cell>
          <cell r="C37">
            <v>24007966</v>
          </cell>
          <cell r="E37">
            <v>26773240</v>
          </cell>
        </row>
        <row r="38">
          <cell r="A38" t="str">
            <v xml:space="preserve">   1) 인 건 비</v>
          </cell>
          <cell r="B38">
            <v>13329926</v>
          </cell>
          <cell r="D38">
            <v>14613540</v>
          </cell>
        </row>
        <row r="39">
          <cell r="A39" t="str">
            <v xml:space="preserve">      급      료</v>
          </cell>
          <cell r="B39">
            <v>6440000</v>
          </cell>
          <cell r="D39">
            <v>5540000</v>
          </cell>
        </row>
        <row r="40">
          <cell r="A40" t="str">
            <v xml:space="preserve">      상  여  금</v>
          </cell>
          <cell r="B40">
            <v>4596000</v>
          </cell>
          <cell r="D40">
            <v>4740000</v>
          </cell>
        </row>
        <row r="41">
          <cell r="A41" t="str">
            <v xml:space="preserve">      잡      급</v>
          </cell>
          <cell r="B41">
            <v>310000</v>
          </cell>
          <cell r="D41">
            <v>0</v>
          </cell>
        </row>
        <row r="42">
          <cell r="A42" t="str">
            <v xml:space="preserve">      복리후생비</v>
          </cell>
          <cell r="B42">
            <v>1983926</v>
          </cell>
          <cell r="D42">
            <v>4333540</v>
          </cell>
        </row>
        <row r="43">
          <cell r="A43" t="str">
            <v xml:space="preserve">   2) 물 건 비</v>
          </cell>
          <cell r="B43">
            <v>10678040</v>
          </cell>
          <cell r="D43">
            <v>12159700</v>
          </cell>
        </row>
        <row r="44">
          <cell r="A44" t="str">
            <v xml:space="preserve">      소 모 품비</v>
          </cell>
          <cell r="B44">
            <v>485600</v>
          </cell>
          <cell r="D44">
            <v>223260</v>
          </cell>
        </row>
        <row r="45">
          <cell r="A45" t="str">
            <v xml:space="preserve">      수선유지비</v>
          </cell>
          <cell r="B45">
            <v>1530000</v>
          </cell>
          <cell r="D45">
            <v>2900000</v>
          </cell>
        </row>
        <row r="46">
          <cell r="A46" t="str">
            <v xml:space="preserve">      세금과공과</v>
          </cell>
          <cell r="B46">
            <v>41700</v>
          </cell>
          <cell r="D46">
            <v>0</v>
          </cell>
        </row>
        <row r="47">
          <cell r="A47" t="str">
            <v xml:space="preserve">      여비교통비</v>
          </cell>
          <cell r="B47">
            <v>2167800</v>
          </cell>
          <cell r="D47">
            <v>1151006</v>
          </cell>
        </row>
        <row r="48">
          <cell r="A48" t="str">
            <v xml:space="preserve">      통  신  비</v>
          </cell>
          <cell r="B48">
            <v>920310</v>
          </cell>
          <cell r="D48">
            <v>813291</v>
          </cell>
        </row>
        <row r="49">
          <cell r="A49" t="str">
            <v xml:space="preserve">      차량유지비</v>
          </cell>
          <cell r="B49">
            <v>839488</v>
          </cell>
          <cell r="D49">
            <v>0</v>
          </cell>
        </row>
        <row r="50">
          <cell r="A50" t="str">
            <v xml:space="preserve">      접  대  비</v>
          </cell>
          <cell r="B50">
            <v>201000</v>
          </cell>
          <cell r="D50">
            <v>5080150</v>
          </cell>
        </row>
        <row r="51">
          <cell r="A51" t="str">
            <v xml:space="preserve">      기  밀  비</v>
          </cell>
          <cell r="B51">
            <v>500000</v>
          </cell>
          <cell r="D51">
            <v>500000</v>
          </cell>
        </row>
        <row r="52">
          <cell r="A52" t="str">
            <v xml:space="preserve">      지급임차료</v>
          </cell>
        </row>
        <row r="53">
          <cell r="A53" t="str">
            <v xml:space="preserve">      운  반  비</v>
          </cell>
          <cell r="B53">
            <v>429000</v>
          </cell>
          <cell r="D53">
            <v>0</v>
          </cell>
        </row>
        <row r="54">
          <cell r="A54" t="str">
            <v xml:space="preserve">      도서인쇄비</v>
          </cell>
          <cell r="B54">
            <v>8000</v>
          </cell>
          <cell r="D54">
            <v>281000</v>
          </cell>
        </row>
        <row r="55">
          <cell r="A55" t="str">
            <v xml:space="preserve">      지급수수료</v>
          </cell>
          <cell r="B55">
            <v>1280350</v>
          </cell>
          <cell r="D55">
            <v>1076289</v>
          </cell>
        </row>
        <row r="56">
          <cell r="A56" t="str">
            <v xml:space="preserve">      광고선전비</v>
          </cell>
          <cell r="B56">
            <v>1850560</v>
          </cell>
          <cell r="D56">
            <v>0</v>
          </cell>
        </row>
        <row r="57">
          <cell r="A57" t="str">
            <v xml:space="preserve">      판매촉진비</v>
          </cell>
          <cell r="D57">
            <v>0</v>
          </cell>
        </row>
        <row r="58">
          <cell r="A58" t="str">
            <v xml:space="preserve">      수출제경비</v>
          </cell>
          <cell r="B58">
            <v>424232</v>
          </cell>
          <cell r="D58">
            <v>134704</v>
          </cell>
        </row>
        <row r="59">
          <cell r="A59" t="str">
            <v xml:space="preserve">      잡      비</v>
          </cell>
        </row>
        <row r="60">
          <cell r="A60" t="str">
            <v xml:space="preserve"> 5. 영업이익</v>
          </cell>
          <cell r="C60">
            <v>-30748678</v>
          </cell>
          <cell r="E60">
            <v>-62491667</v>
          </cell>
        </row>
        <row r="61">
          <cell r="A61" t="str">
            <v xml:space="preserve"> 6. 영업외수익</v>
          </cell>
          <cell r="C61">
            <v>1459641</v>
          </cell>
          <cell r="E61">
            <v>709352</v>
          </cell>
        </row>
        <row r="62">
          <cell r="A62" t="str">
            <v xml:space="preserve">     수입이자와할인료</v>
          </cell>
          <cell r="B62">
            <v>656835</v>
          </cell>
          <cell r="D62">
            <v>59717</v>
          </cell>
        </row>
        <row r="63">
          <cell r="A63" t="str">
            <v xml:space="preserve">     외 환 차 익</v>
          </cell>
          <cell r="B63">
            <v>674183</v>
          </cell>
          <cell r="D63">
            <v>649534</v>
          </cell>
        </row>
        <row r="64">
          <cell r="A64" t="str">
            <v xml:space="preserve">     잡   이  익</v>
          </cell>
          <cell r="B64">
            <v>128623</v>
          </cell>
          <cell r="D64">
            <v>101</v>
          </cell>
        </row>
        <row r="65">
          <cell r="A65" t="str">
            <v xml:space="preserve"> 7. 영업외비용</v>
          </cell>
          <cell r="C65">
            <v>7614725</v>
          </cell>
          <cell r="E65">
            <v>21601061</v>
          </cell>
        </row>
        <row r="66">
          <cell r="A66" t="str">
            <v xml:space="preserve">     지급이자와할인료</v>
          </cell>
          <cell r="B66">
            <v>7614725</v>
          </cell>
          <cell r="D66">
            <v>18684606</v>
          </cell>
        </row>
        <row r="67">
          <cell r="A67" t="str">
            <v xml:space="preserve">     잡손실</v>
          </cell>
          <cell r="B67">
            <v>0</v>
          </cell>
          <cell r="D67">
            <v>2916455</v>
          </cell>
        </row>
        <row r="68">
          <cell r="A68" t="str">
            <v xml:space="preserve"> 8. 경상이익</v>
          </cell>
          <cell r="C68">
            <v>-36903762</v>
          </cell>
          <cell r="E68">
            <v>-83383376</v>
          </cell>
        </row>
        <row r="69">
          <cell r="A69" t="str">
            <v xml:space="preserve"> 9. 특별이익</v>
          </cell>
          <cell r="C69">
            <v>0</v>
          </cell>
          <cell r="E69">
            <v>723969717</v>
          </cell>
        </row>
        <row r="70">
          <cell r="A70" t="str">
            <v xml:space="preserve">     채무면제이익</v>
          </cell>
          <cell r="D70">
            <v>723969717</v>
          </cell>
        </row>
        <row r="71">
          <cell r="A71" t="str">
            <v>XII. 당기순이익</v>
          </cell>
          <cell r="C71">
            <v>-36903762</v>
          </cell>
          <cell r="E71">
            <v>640586341</v>
          </cell>
        </row>
        <row r="74">
          <cell r="A74" t="str">
            <v xml:space="preserve">   주) 발생기준에 의하여 월차손익 계상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counting policies"/>
      <sheetName val="BS(1)"/>
      <sheetName val="BS(2)"/>
      <sheetName val="PL"/>
      <sheetName val="CF"/>
      <sheetName val="FormA1"/>
      <sheetName val="FormA2"/>
      <sheetName val="FormB1"/>
      <sheetName val="FormC1"/>
      <sheetName val="FormBC2"/>
      <sheetName val="FormB3"/>
      <sheetName val="FormD"/>
      <sheetName val="FormE-1"/>
      <sheetName val="FormE-2"/>
      <sheetName val="FormF"/>
      <sheetName val="FormG"/>
      <sheetName val="FormH1"/>
      <sheetName val="FormH2-1"/>
      <sheetName val="FormH2-4"/>
      <sheetName val="FormH2-5"/>
      <sheetName val="FormH2-6"/>
      <sheetName val="FormH3"/>
      <sheetName val="FormH4"/>
      <sheetName val="FormI"/>
      <sheetName val="FormJ"/>
      <sheetName val="FormJ-2"/>
      <sheetName val="FormK-1"/>
      <sheetName val="FormK-2"/>
      <sheetName val="FormL"/>
      <sheetName val="FormM1"/>
      <sheetName val="FormM2"/>
      <sheetName val="FormM3"/>
      <sheetName val="FormM4"/>
      <sheetName val="FormM5"/>
      <sheetName val="FormN"/>
      <sheetName val="FormO"/>
      <sheetName val="FormP"/>
      <sheetName val="FormQ-1"/>
      <sheetName val="FormQ-2"/>
      <sheetName val="FormQ-3"/>
      <sheetName val="FormQ-4"/>
      <sheetName val="FormQ-5"/>
      <sheetName val="FormQ-6"/>
      <sheetName val="FormQ-7"/>
      <sheetName val="FormR"/>
      <sheetName val="FormS"/>
      <sheetName val="FormS-2"/>
      <sheetName val="連結BS(資産の部)"/>
      <sheetName val="連結BS(負債・資本の部)"/>
      <sheetName val="連結PL(営業損益)"/>
      <sheetName val="連結PL(営業外損益剰余金)"/>
      <sheetName val="関係会社間取引"/>
      <sheetName val="ｷｬｯｼｭﾌﾛｰ (外貨建)"/>
      <sheetName val="ｷｬｯｼｭﾌﾛｰ"/>
      <sheetName val="会社設定"/>
      <sheetName val="TB.tb"/>
      <sheetName val="Module2"/>
      <sheetName val="Module3"/>
      <sheetName val="Module4"/>
      <sheetName val="Module1"/>
      <sheetName val="BS_1_"/>
      <sheetName val="BS_2_"/>
      <sheetName val="FormH2_6"/>
      <sheetName val="共通事項"/>
      <sheetName val="業務統括・開発・支店"/>
      <sheetName val="販促企画　事業開発"/>
      <sheetName val="総務事項"/>
      <sheetName val="人事事項"/>
      <sheetName val="財務事項"/>
      <sheetName val="会計・控制"/>
      <sheetName val="資訊事項"/>
      <sheetName val="支払権限表"/>
      <sheetName val="MstCU"/>
      <sheetName val="CF_Q4"/>
      <sheetName val="Journal"/>
      <sheetName val="LTAn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1 (2)"/>
      <sheetName val="BS (3)"/>
      <sheetName val="D1 (3)"/>
      <sheetName val="E1  (3)"/>
      <sheetName val="F1  (3)"/>
      <sheetName val="G1  (3)"/>
      <sheetName val="J1 (3)"/>
      <sheetName val="J3 (3)"/>
      <sheetName val="M1 (3)"/>
      <sheetName val="M1-1 (3)"/>
      <sheetName val="M1-2 (3)"/>
      <sheetName val="N1 (3)"/>
      <sheetName val="General info"/>
      <sheetName val="PBSE BS"/>
      <sheetName val="comp of re pack"/>
      <sheetName val="CF Statements"/>
      <sheetName val="Stmt of equity"/>
      <sheetName val="SUAD"/>
      <sheetName val="A5-1"/>
      <sheetName val="A13"/>
      <sheetName val="FB1"/>
      <sheetName val="FB2"/>
      <sheetName val="GP analysis"/>
      <sheetName val="FB3"/>
      <sheetName val="PBSE PL"/>
      <sheetName val="FB4 Sch9 Disclosure"/>
      <sheetName val="HCC1"/>
      <sheetName val="HCC4"/>
      <sheetName val="HCC5"/>
      <sheetName val="HHH1"/>
      <sheetName val="BS"/>
      <sheetName val="D1"/>
      <sheetName val="D1-1"/>
      <sheetName val="E1 "/>
      <sheetName val="FE3"/>
      <sheetName val="FE3-1"/>
      <sheetName val="HLL1"/>
      <sheetName val="E4"/>
      <sheetName val="HE1"/>
      <sheetName val="HE2-1"/>
      <sheetName val="HE2"/>
      <sheetName val="F1 "/>
      <sheetName val="G1 "/>
      <sheetName val="J1"/>
      <sheetName val="J3"/>
      <sheetName val="Tax"/>
      <sheetName val="M1"/>
      <sheetName val="M1-1"/>
      <sheetName val="M1-2"/>
      <sheetName val="N1"/>
      <sheetName val="General info (2)"/>
      <sheetName val="BS (2)"/>
      <sheetName val="CF Statements (2)"/>
      <sheetName val="Stmt of equity (2)"/>
      <sheetName val="B1"/>
      <sheetName val="D1 (2)"/>
      <sheetName val="D1-1 (2)"/>
      <sheetName val="E1  (2)"/>
      <sheetName val="F1  (2)"/>
      <sheetName val="G1  (2)"/>
      <sheetName val="J1 (2)"/>
      <sheetName val="J3 (2)"/>
      <sheetName val="Tax (2)"/>
      <sheetName val="L1 (2)"/>
      <sheetName val="L1-1"/>
      <sheetName val="M1 (2)"/>
      <sheetName val="M1-1 (2)"/>
      <sheetName val="M1-2 (2)"/>
      <sheetName val="N1 (2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>
        <row r="1">
          <cell r="E1" t="str">
            <v>Rexpak Sdn Bhd</v>
          </cell>
          <cell r="F1" t="str">
            <v>Adjustments on financial statement captions</v>
          </cell>
        </row>
        <row r="2">
          <cell r="E2">
            <v>38352</v>
          </cell>
          <cell r="F2" t="str">
            <v>Net Income</v>
          </cell>
          <cell r="I2" t="str">
            <v>Balance Sheet</v>
          </cell>
          <cell r="N2" t="str">
            <v>Cash Flow</v>
          </cell>
        </row>
        <row r="3">
          <cell r="F3" t="str">
            <v>Unadjusted misstatements arising in</v>
          </cell>
        </row>
        <row r="4">
          <cell r="E4" t="str">
            <v>Description</v>
          </cell>
          <cell r="F4" t="str">
            <v>Current Year</v>
          </cell>
          <cell r="G4" t="str">
            <v>Prior Year</v>
          </cell>
          <cell r="H4" t="str">
            <v>Total</v>
          </cell>
          <cell r="I4" t="str">
            <v>Stockholders' Equity</v>
          </cell>
          <cell r="J4" t="str">
            <v>Current Assets</v>
          </cell>
          <cell r="K4" t="str">
            <v>Non-Current Assets</v>
          </cell>
          <cell r="L4" t="str">
            <v>Current Liabilities</v>
          </cell>
          <cell r="M4" t="str">
            <v>Non-Current Liabilities</v>
          </cell>
          <cell r="N4" t="str">
            <v>Operating Activities</v>
          </cell>
          <cell r="O4" t="str">
            <v>Investing Activities</v>
          </cell>
          <cell r="P4" t="str">
            <v>Financing Activities</v>
          </cell>
        </row>
        <row r="7">
          <cell r="E7" t="str">
            <v>Effect of prior year unrecorded audit differences:</v>
          </cell>
        </row>
        <row r="10">
          <cell r="E10" t="str">
            <v>Pre-tax Adjustments:</v>
          </cell>
        </row>
        <row r="11">
          <cell r="H11">
            <v>0</v>
          </cell>
        </row>
        <row r="12">
          <cell r="F12">
            <v>13057</v>
          </cell>
          <cell r="H12">
            <v>13057</v>
          </cell>
          <cell r="L12">
            <v>-8057</v>
          </cell>
          <cell r="M12">
            <v>-5000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I28">
            <v>0</v>
          </cell>
        </row>
        <row r="29">
          <cell r="D29" t="str">
            <v>Total pretax adjustments not recorded</v>
          </cell>
          <cell r="F29">
            <v>13057</v>
          </cell>
          <cell r="G29">
            <v>0</v>
          </cell>
          <cell r="H29">
            <v>13057</v>
          </cell>
          <cell r="I29">
            <v>0</v>
          </cell>
          <cell r="J29">
            <v>0</v>
          </cell>
          <cell r="K29">
            <v>0</v>
          </cell>
          <cell r="L29">
            <v>-8057</v>
          </cell>
          <cell r="M29">
            <v>-5000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Tax effect of pretax adjustments not recorded</v>
          </cell>
        </row>
        <row r="31">
          <cell r="D31" t="str">
            <v>After tax impact of adjustments not recorded</v>
          </cell>
          <cell r="F31">
            <v>13057</v>
          </cell>
          <cell r="G31">
            <v>0</v>
          </cell>
          <cell r="H31">
            <v>13057</v>
          </cell>
          <cell r="I31">
            <v>0</v>
          </cell>
          <cell r="J31">
            <v>0</v>
          </cell>
          <cell r="K31">
            <v>0</v>
          </cell>
          <cell r="L31">
            <v>-8057</v>
          </cell>
          <cell r="M31">
            <v>-5000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Foreign currency (FX) translation effect of adjustment not recorded</v>
          </cell>
        </row>
        <row r="33">
          <cell r="D33" t="str">
            <v>After tax and FX adjustment not recorded</v>
          </cell>
          <cell r="F33">
            <v>13057</v>
          </cell>
          <cell r="G33">
            <v>0</v>
          </cell>
          <cell r="H33">
            <v>13057</v>
          </cell>
          <cell r="I33">
            <v>0</v>
          </cell>
          <cell r="J33">
            <v>0</v>
          </cell>
          <cell r="K33">
            <v>0</v>
          </cell>
          <cell r="L33">
            <v>-8057</v>
          </cell>
          <cell r="M33">
            <v>-5000</v>
          </cell>
          <cell r="N33">
            <v>0</v>
          </cell>
          <cell r="O33">
            <v>0</v>
          </cell>
          <cell r="P33">
            <v>0</v>
          </cell>
        </row>
        <row r="35">
          <cell r="D35" t="str">
            <v>Financial statement amounts</v>
          </cell>
        </row>
        <row r="37">
          <cell r="D37" t="str">
            <v>After tax and FX impact as a percentage of f/s amounts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04년사업계획"/>
      <sheetName val="사업목표달성도"/>
      <sheetName val="경영효율"/>
      <sheetName val="인력효율"/>
      <sheetName val="세부"/>
      <sheetName val="동화기업"/>
      <sheetName val="동화세부"/>
      <sheetName val="인원"/>
      <sheetName val="일반현황"/>
      <sheetName val="작성참조"/>
      <sheetName val="그래프"/>
      <sheetName val="정보화지수"/>
      <sheetName val="동월인원"/>
      <sheetName val="주식가치"/>
      <sheetName val="동화기업인원현황"/>
      <sheetName val="FF-4"/>
      <sheetName val="January"/>
    </sheetNames>
    <sheetDataSet>
      <sheetData sheetId="0" refreshError="1"/>
      <sheetData sheetId="1" refreshError="1"/>
      <sheetData sheetId="2">
        <row r="25">
          <cell r="E25">
            <v>880.52</v>
          </cell>
        </row>
      </sheetData>
      <sheetData sheetId="3" refreshError="1"/>
      <sheetData sheetId="4" refreshError="1"/>
      <sheetData sheetId="5">
        <row r="10">
          <cell r="D10" t="str">
            <v>매출A</v>
          </cell>
          <cell r="Q10" t="str">
            <v>지급이자</v>
          </cell>
          <cell r="Y10" t="str">
            <v>총자산</v>
          </cell>
          <cell r="AF10" t="str">
            <v>부채</v>
          </cell>
          <cell r="AG10" t="str">
            <v>자본</v>
          </cell>
          <cell r="AI10" t="str">
            <v>매출채권</v>
          </cell>
          <cell r="AJ10" t="str">
            <v>매입채무</v>
          </cell>
          <cell r="AK10" t="str">
            <v>차입금</v>
          </cell>
          <cell r="AL10" t="str">
            <v>재고자산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세부"/>
      <sheetName val="사업목표달성도"/>
      <sheetName val="FF-4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할BS(20030831현재)"/>
      <sheetName val="합잔-base"/>
      <sheetName val="현금"/>
      <sheetName val="단기금융상품"/>
      <sheetName val="유가증권"/>
      <sheetName val="외상매출"/>
      <sheetName val="외상매출금(전자어음)"/>
      <sheetName val="외화외상매출"/>
      <sheetName val="외상매출금"/>
      <sheetName val="외화외상매출금"/>
      <sheetName val="전도금"/>
      <sheetName val="선급비용(제경비)"/>
      <sheetName val="선급비용(보험료)"/>
      <sheetName val="세부(보험료1)"/>
      <sheetName val="세부(보험료2)"/>
      <sheetName val="세부(재산세)"/>
      <sheetName val="미착품"/>
      <sheetName val="유형자산명세서"/>
      <sheetName val="토지"/>
      <sheetName val="건물"/>
      <sheetName val="구축물"/>
      <sheetName val="기계"/>
      <sheetName val="차량"/>
      <sheetName val="공기구"/>
      <sheetName val="건설중인자산"/>
      <sheetName val="투자유가증권"/>
      <sheetName val="예치보증금"/>
      <sheetName val="외상매입금"/>
      <sheetName val="외화외상매입금"/>
      <sheetName val="구매카드"/>
      <sheetName val="미지급금"/>
      <sheetName val="미지급비용"/>
      <sheetName val="미지급비용(생산직상여)"/>
      <sheetName val="미지급비용(관리직상여)"/>
      <sheetName val="퇴충"/>
      <sheetName val="분할퇴직금추계액"/>
      <sheetName val="퇴직보험예치금"/>
      <sheetName val="퇴직보험예치금(세부)"/>
      <sheetName val="교보생명"/>
      <sheetName val="삼성생명"/>
      <sheetName val="차입금1"/>
      <sheetName val="차입금2"/>
      <sheetName val="매출채권(케미칼)"/>
      <sheetName val="매입채무(케미칼)"/>
      <sheetName val="토지(동화캐미칼)"/>
      <sheetName val="건물(동화캐미칼)"/>
      <sheetName val="기타자산(동화캐미칼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가공,임가공 판매계획"/>
      <sheetName val="수출계획"/>
      <sheetName val="마루판 생산계획"/>
      <sheetName val="스페이스,콤퍼넌트원재료"/>
      <sheetName val="판매,타계정계획총괄"/>
      <sheetName val="원,부재료사용계획총괄"/>
      <sheetName val=" 소판종류별사용계획"/>
      <sheetName val="판매용 원재료 사용계획 "/>
      <sheetName val="LPM사용계획 "/>
      <sheetName val="MFB가동계획"/>
      <sheetName val="소판집계실제 "/>
      <sheetName val="원지현황"/>
      <sheetName val="요약"/>
      <sheetName val="9907"/>
      <sheetName val="9908"/>
      <sheetName val="9909"/>
      <sheetName val="9910"/>
      <sheetName val="DF"/>
      <sheetName val="과잉체화"/>
      <sheetName val="실재고"/>
      <sheetName val="사용모듈"/>
      <sheetName val="전송모듈"/>
      <sheetName val="Module2"/>
      <sheetName val="가동계획"/>
      <sheetName val="원부재M"/>
      <sheetName val="영업"/>
      <sheetName val="판타M"/>
      <sheetName val="MFB판매계획실제 "/>
      <sheetName val="LPM사용계획"/>
      <sheetName val="소모품"/>
      <sheetName val="포장비"/>
      <sheetName val="수선유지"/>
      <sheetName val="B-C유 사용량"/>
      <sheetName val="LPM원지"/>
      <sheetName val="세부"/>
      <sheetName val="사업목표달성도"/>
    </sheetNames>
    <definedNames>
      <definedName name="실재고불러오기" refersTo="#REF!"/>
      <definedName name="재고분류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B"/>
      <sheetName val="January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시데이타"/>
      <sheetName val="집계(원본)"/>
      <sheetName val="(계산용)"/>
      <sheetName val="선발행"/>
      <sheetName val="당일출고"/>
      <sheetName val="분류"/>
      <sheetName val="재고조사071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資本の部異動"/>
      <sheetName val="連結BS(資産の部)"/>
      <sheetName val="連結BS(負債・資本の部)"/>
      <sheetName val="連結PL(営業損益)"/>
      <sheetName val="連結PL(営業外損益)・剰余金"/>
      <sheetName val="関係会社間取引"/>
      <sheetName val="ｷｬｯｼｭﾌﾛｰ (外貨建)"/>
      <sheetName val="ｷｬｯｼｭﾌﾛｰ"/>
      <sheetName val="会社設定"/>
      <sheetName val="勘定設定"/>
      <sheetName val="TB.tb"/>
      <sheetName val="Module2"/>
      <sheetName val="Module3"/>
      <sheetName val="Module4"/>
      <sheetName val="Module1"/>
      <sheetName val="MstCU"/>
      <sheetName val="Dating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>
        <row r="1">
          <cell r="A1" t="str">
            <v>勘定設定一覧</v>
          </cell>
        </row>
        <row r="2">
          <cell r="A2" t="str">
            <v>コード</v>
          </cell>
          <cell r="B2" t="str">
            <v>名称</v>
          </cell>
        </row>
        <row r="3">
          <cell r="A3">
            <v>10</v>
          </cell>
          <cell r="B3" t="str">
            <v>定期預金・積金</v>
          </cell>
          <cell r="C3" t="str">
            <v>0010</v>
          </cell>
        </row>
        <row r="4">
          <cell r="A4">
            <v>20</v>
          </cell>
          <cell r="B4" t="str">
            <v>現金及びその他の預金</v>
          </cell>
          <cell r="C4" t="str">
            <v>0020</v>
          </cell>
        </row>
        <row r="5">
          <cell r="A5">
            <v>200</v>
          </cell>
          <cell r="B5" t="str">
            <v>現金及び預金計</v>
          </cell>
          <cell r="C5" t="str">
            <v>0200</v>
          </cell>
        </row>
        <row r="6">
          <cell r="A6">
            <v>310</v>
          </cell>
          <cell r="B6" t="str">
            <v>受取手形</v>
          </cell>
          <cell r="C6" t="str">
            <v>0310</v>
          </cell>
        </row>
        <row r="7">
          <cell r="A7">
            <v>311</v>
          </cell>
          <cell r="B7" t="str">
            <v>受手-連結会社</v>
          </cell>
          <cell r="C7" t="str">
            <v>0311</v>
          </cell>
        </row>
        <row r="8">
          <cell r="A8">
            <v>312</v>
          </cell>
          <cell r="B8" t="str">
            <v>受手-非連子・関連会社</v>
          </cell>
          <cell r="C8" t="str">
            <v>0312</v>
          </cell>
        </row>
        <row r="9">
          <cell r="A9">
            <v>313</v>
          </cell>
          <cell r="B9" t="str">
            <v>受手-その他</v>
          </cell>
          <cell r="C9" t="str">
            <v>0313</v>
          </cell>
        </row>
        <row r="10">
          <cell r="A10">
            <v>330</v>
          </cell>
          <cell r="B10" t="str">
            <v>売掛金</v>
          </cell>
          <cell r="C10" t="str">
            <v>0330</v>
          </cell>
        </row>
        <row r="11">
          <cell r="A11">
            <v>331</v>
          </cell>
          <cell r="B11" t="str">
            <v>売掛金-連結会社</v>
          </cell>
          <cell r="C11" t="str">
            <v>0331</v>
          </cell>
        </row>
        <row r="12">
          <cell r="A12">
            <v>332</v>
          </cell>
          <cell r="B12" t="str">
            <v>売掛金-非連子・関連会社</v>
          </cell>
          <cell r="C12" t="str">
            <v>0332</v>
          </cell>
        </row>
        <row r="13">
          <cell r="A13">
            <v>333</v>
          </cell>
          <cell r="B13" t="str">
            <v>売掛金-その他</v>
          </cell>
          <cell r="C13" t="str">
            <v>0333</v>
          </cell>
        </row>
        <row r="14">
          <cell r="A14">
            <v>350</v>
          </cell>
          <cell r="B14" t="str">
            <v>有価証券</v>
          </cell>
          <cell r="C14" t="str">
            <v>0350</v>
          </cell>
        </row>
        <row r="15">
          <cell r="A15">
            <v>351</v>
          </cell>
          <cell r="B15" t="str">
            <v>有価証券-自己株式</v>
          </cell>
          <cell r="C15" t="str">
            <v>0351</v>
          </cell>
        </row>
        <row r="16">
          <cell r="A16">
            <v>352</v>
          </cell>
          <cell r="B16" t="str">
            <v>有価証券-その他</v>
          </cell>
          <cell r="C16" t="str">
            <v>0352</v>
          </cell>
        </row>
        <row r="17">
          <cell r="A17">
            <v>360</v>
          </cell>
          <cell r="B17" t="str">
            <v>商品</v>
          </cell>
          <cell r="C17" t="str">
            <v>0360</v>
          </cell>
        </row>
        <row r="18">
          <cell r="A18">
            <v>370</v>
          </cell>
          <cell r="B18" t="str">
            <v>貯蔵品</v>
          </cell>
          <cell r="C18" t="str">
            <v>0370</v>
          </cell>
        </row>
        <row r="19">
          <cell r="A19">
            <v>380</v>
          </cell>
          <cell r="B19" t="str">
            <v>前渡金</v>
          </cell>
          <cell r="C19" t="str">
            <v>0380</v>
          </cell>
        </row>
        <row r="20">
          <cell r="A20">
            <v>381</v>
          </cell>
          <cell r="B20" t="str">
            <v>前渡金-連結会社</v>
          </cell>
          <cell r="C20" t="str">
            <v>0381</v>
          </cell>
        </row>
        <row r="21">
          <cell r="A21">
            <v>382</v>
          </cell>
          <cell r="B21" t="str">
            <v>前渡金-非連子・関連会社</v>
          </cell>
          <cell r="C21" t="str">
            <v>0382</v>
          </cell>
        </row>
        <row r="22">
          <cell r="A22">
            <v>383</v>
          </cell>
          <cell r="B22" t="str">
            <v>前渡金-その他</v>
          </cell>
          <cell r="C22" t="str">
            <v>0383</v>
          </cell>
        </row>
        <row r="23">
          <cell r="A23">
            <v>400</v>
          </cell>
          <cell r="B23" t="str">
            <v>前払費用</v>
          </cell>
          <cell r="C23" t="str">
            <v>0400</v>
          </cell>
        </row>
        <row r="24">
          <cell r="A24">
            <v>401</v>
          </cell>
          <cell r="B24" t="str">
            <v>前払費用-連結会社</v>
          </cell>
          <cell r="C24" t="str">
            <v>0401</v>
          </cell>
        </row>
        <row r="25">
          <cell r="A25">
            <v>402</v>
          </cell>
          <cell r="B25" t="str">
            <v>前払費用-非連子・関連会社</v>
          </cell>
          <cell r="C25" t="str">
            <v>0402</v>
          </cell>
        </row>
        <row r="26">
          <cell r="A26">
            <v>403</v>
          </cell>
          <cell r="B26" t="str">
            <v>前払費用-その他</v>
          </cell>
          <cell r="C26" t="str">
            <v>0403</v>
          </cell>
        </row>
        <row r="27">
          <cell r="A27">
            <v>410</v>
          </cell>
          <cell r="B27" t="str">
            <v>未収収益</v>
          </cell>
          <cell r="C27" t="str">
            <v>0410</v>
          </cell>
        </row>
        <row r="28">
          <cell r="A28">
            <v>411</v>
          </cell>
          <cell r="B28" t="str">
            <v>未収収益-連結会社</v>
          </cell>
          <cell r="C28" t="str">
            <v>0411</v>
          </cell>
        </row>
        <row r="29">
          <cell r="A29">
            <v>412</v>
          </cell>
          <cell r="B29" t="str">
            <v>未収収益-非連子・関連会社</v>
          </cell>
          <cell r="C29" t="str">
            <v>0412</v>
          </cell>
        </row>
        <row r="30">
          <cell r="A30">
            <v>413</v>
          </cell>
          <cell r="B30" t="str">
            <v>未収収益-その他</v>
          </cell>
          <cell r="C30" t="str">
            <v>0413</v>
          </cell>
        </row>
        <row r="31">
          <cell r="A31">
            <v>430</v>
          </cell>
          <cell r="B31" t="str">
            <v>短期貸付金</v>
          </cell>
          <cell r="C31" t="str">
            <v>0430</v>
          </cell>
        </row>
        <row r="32">
          <cell r="A32">
            <v>431</v>
          </cell>
          <cell r="B32" t="str">
            <v>短期貸付金-連結会社</v>
          </cell>
          <cell r="C32" t="str">
            <v>0431</v>
          </cell>
        </row>
        <row r="33">
          <cell r="A33">
            <v>432</v>
          </cell>
          <cell r="B33" t="str">
            <v>短期貸付金-非連子・関連会社</v>
          </cell>
          <cell r="C33" t="str">
            <v>0432</v>
          </cell>
        </row>
        <row r="34">
          <cell r="A34">
            <v>433</v>
          </cell>
          <cell r="B34" t="str">
            <v>短期貸付金-その他</v>
          </cell>
          <cell r="C34" t="str">
            <v>0433</v>
          </cell>
        </row>
        <row r="35">
          <cell r="A35">
            <v>450</v>
          </cell>
          <cell r="B35" t="str">
            <v>未収入金</v>
          </cell>
          <cell r="C35" t="str">
            <v>0450</v>
          </cell>
        </row>
        <row r="36">
          <cell r="A36">
            <v>451</v>
          </cell>
          <cell r="B36" t="str">
            <v>未収入金-連結会社</v>
          </cell>
          <cell r="C36" t="str">
            <v>0451</v>
          </cell>
        </row>
        <row r="37">
          <cell r="A37">
            <v>452</v>
          </cell>
          <cell r="B37" t="str">
            <v>未収入金-非連子・関連会社</v>
          </cell>
          <cell r="C37" t="str">
            <v>0452</v>
          </cell>
        </row>
        <row r="38">
          <cell r="A38">
            <v>453</v>
          </cell>
          <cell r="B38" t="str">
            <v>未収入金-その他</v>
          </cell>
          <cell r="C38" t="str">
            <v>0453</v>
          </cell>
        </row>
        <row r="39">
          <cell r="A39">
            <v>460</v>
          </cell>
          <cell r="B39" t="str">
            <v>未収消費税</v>
          </cell>
          <cell r="C39" t="str">
            <v>0460</v>
          </cell>
        </row>
        <row r="40">
          <cell r="A40">
            <v>470</v>
          </cell>
          <cell r="B40" t="str">
            <v>立替金</v>
          </cell>
          <cell r="C40" t="str">
            <v>0470</v>
          </cell>
        </row>
        <row r="41">
          <cell r="A41">
            <v>471</v>
          </cell>
          <cell r="B41" t="str">
            <v>立替金-連結会社</v>
          </cell>
          <cell r="C41" t="str">
            <v>0471</v>
          </cell>
        </row>
        <row r="42">
          <cell r="A42">
            <v>472</v>
          </cell>
          <cell r="B42" t="str">
            <v>立替金-非連子・関連会社</v>
          </cell>
          <cell r="C42" t="str">
            <v>0472</v>
          </cell>
        </row>
        <row r="43">
          <cell r="A43">
            <v>473</v>
          </cell>
          <cell r="B43" t="str">
            <v>立替金-その他</v>
          </cell>
          <cell r="C43" t="str">
            <v>0473</v>
          </cell>
        </row>
        <row r="44">
          <cell r="A44">
            <v>490</v>
          </cell>
          <cell r="B44" t="str">
            <v>仮払金</v>
          </cell>
          <cell r="C44" t="str">
            <v>0490</v>
          </cell>
        </row>
        <row r="45">
          <cell r="A45">
            <v>491</v>
          </cell>
          <cell r="B45" t="str">
            <v>仮払金-連結会社</v>
          </cell>
          <cell r="C45" t="str">
            <v>0491</v>
          </cell>
        </row>
        <row r="46">
          <cell r="A46">
            <v>492</v>
          </cell>
          <cell r="B46" t="str">
            <v>仮払金-非連子・関連会社</v>
          </cell>
          <cell r="C46" t="str">
            <v>0492</v>
          </cell>
        </row>
        <row r="47">
          <cell r="A47">
            <v>493</v>
          </cell>
          <cell r="B47" t="str">
            <v>仮払金-その他</v>
          </cell>
          <cell r="C47" t="str">
            <v>0493</v>
          </cell>
        </row>
        <row r="48">
          <cell r="A48">
            <v>500</v>
          </cell>
          <cell r="B48" t="str">
            <v>仮払消費税</v>
          </cell>
          <cell r="C48" t="str">
            <v>0500</v>
          </cell>
        </row>
        <row r="49">
          <cell r="A49">
            <v>510</v>
          </cell>
          <cell r="B49" t="str">
            <v>1年内返済長期貸付金</v>
          </cell>
          <cell r="C49" t="str">
            <v>0510</v>
          </cell>
        </row>
        <row r="50">
          <cell r="A50">
            <v>511</v>
          </cell>
          <cell r="B50" t="str">
            <v>1年内長期貸付金-連結会社</v>
          </cell>
          <cell r="C50" t="str">
            <v>0511</v>
          </cell>
        </row>
        <row r="51">
          <cell r="A51">
            <v>512</v>
          </cell>
          <cell r="B51" t="str">
            <v>1年内長期貸付金-非連子・関連</v>
          </cell>
          <cell r="C51" t="str">
            <v>0512</v>
          </cell>
        </row>
        <row r="52">
          <cell r="A52">
            <v>513</v>
          </cell>
          <cell r="B52" t="str">
            <v>1年内長期貸付金-その他</v>
          </cell>
          <cell r="C52" t="str">
            <v>0513</v>
          </cell>
        </row>
        <row r="53">
          <cell r="A53">
            <v>530</v>
          </cell>
          <cell r="B53" t="str">
            <v>1年内返済差入保証金</v>
          </cell>
          <cell r="C53" t="str">
            <v>0530</v>
          </cell>
        </row>
        <row r="54">
          <cell r="A54">
            <v>531</v>
          </cell>
          <cell r="B54" t="str">
            <v>1年内差入保証金-連結会社</v>
          </cell>
          <cell r="C54" t="str">
            <v>0531</v>
          </cell>
        </row>
        <row r="55">
          <cell r="A55">
            <v>532</v>
          </cell>
          <cell r="B55" t="str">
            <v>1年内差入保証金-非連子・関連</v>
          </cell>
          <cell r="C55" t="str">
            <v>0532</v>
          </cell>
        </row>
        <row r="56">
          <cell r="A56">
            <v>533</v>
          </cell>
          <cell r="B56" t="str">
            <v>1年内差入保証金-その他</v>
          </cell>
          <cell r="C56" t="str">
            <v>0533</v>
          </cell>
        </row>
        <row r="57">
          <cell r="A57">
            <v>540</v>
          </cell>
          <cell r="B57" t="str">
            <v>繰延税金(短期)</v>
          </cell>
          <cell r="C57" t="str">
            <v>0540</v>
          </cell>
        </row>
        <row r="58">
          <cell r="A58">
            <v>550</v>
          </cell>
          <cell r="B58" t="str">
            <v>貸倒引当金(▲)</v>
          </cell>
          <cell r="C58" t="str">
            <v>0550</v>
          </cell>
        </row>
        <row r="59">
          <cell r="A59">
            <v>600</v>
          </cell>
          <cell r="B59" t="str">
            <v>流動資産合計</v>
          </cell>
          <cell r="C59" t="str">
            <v>0600</v>
          </cell>
        </row>
        <row r="60">
          <cell r="A60">
            <v>700</v>
          </cell>
          <cell r="B60" t="str">
            <v>建物（期首）</v>
          </cell>
          <cell r="C60" t="str">
            <v>0700</v>
          </cell>
        </row>
        <row r="61">
          <cell r="A61">
            <v>701</v>
          </cell>
          <cell r="B61" t="str">
            <v>建物（増加）</v>
          </cell>
          <cell r="C61" t="str">
            <v>0701</v>
          </cell>
        </row>
        <row r="62">
          <cell r="A62">
            <v>702</v>
          </cell>
          <cell r="B62" t="str">
            <v>建物（減少）</v>
          </cell>
          <cell r="C62" t="str">
            <v>0702</v>
          </cell>
        </row>
        <row r="63">
          <cell r="A63">
            <v>703</v>
          </cell>
          <cell r="B63" t="str">
            <v>建物（期末）</v>
          </cell>
          <cell r="C63" t="str">
            <v>0703</v>
          </cell>
        </row>
        <row r="64">
          <cell r="A64">
            <v>710</v>
          </cell>
          <cell r="B64" t="str">
            <v>建物－償却累計（期首）(▲)</v>
          </cell>
          <cell r="C64" t="str">
            <v>0710</v>
          </cell>
        </row>
        <row r="65">
          <cell r="A65">
            <v>711</v>
          </cell>
          <cell r="B65" t="str">
            <v>建物－償却累計（増加）(▲)</v>
          </cell>
          <cell r="C65" t="str">
            <v>0711</v>
          </cell>
        </row>
        <row r="66">
          <cell r="A66">
            <v>712</v>
          </cell>
          <cell r="B66" t="str">
            <v>建物－償却累計（減少）(▲)</v>
          </cell>
          <cell r="C66" t="str">
            <v>0712</v>
          </cell>
        </row>
        <row r="67">
          <cell r="A67">
            <v>713</v>
          </cell>
          <cell r="B67" t="str">
            <v>建物－償却累計（期末）(▲)</v>
          </cell>
          <cell r="C67" t="str">
            <v>0713</v>
          </cell>
        </row>
        <row r="68">
          <cell r="A68">
            <v>720</v>
          </cell>
          <cell r="B68" t="str">
            <v>建物付属設備 (期首)</v>
          </cell>
          <cell r="C68" t="str">
            <v>0720</v>
          </cell>
        </row>
        <row r="69">
          <cell r="A69">
            <v>721</v>
          </cell>
          <cell r="B69" t="str">
            <v>建物付属設備 (増加)</v>
          </cell>
          <cell r="C69" t="str">
            <v>0721</v>
          </cell>
        </row>
        <row r="70">
          <cell r="A70">
            <v>722</v>
          </cell>
          <cell r="B70" t="str">
            <v>建物付属設備 (減少)</v>
          </cell>
          <cell r="C70" t="str">
            <v>0722</v>
          </cell>
        </row>
        <row r="71">
          <cell r="A71">
            <v>723</v>
          </cell>
          <cell r="B71" t="str">
            <v>建物付属設備 (期末)</v>
          </cell>
          <cell r="C71" t="str">
            <v>0723</v>
          </cell>
        </row>
        <row r="72">
          <cell r="A72">
            <v>730</v>
          </cell>
          <cell r="B72" t="str">
            <v>建付－償却累計 (期首)(▲)</v>
          </cell>
          <cell r="C72" t="str">
            <v>0730</v>
          </cell>
        </row>
        <row r="73">
          <cell r="A73">
            <v>731</v>
          </cell>
          <cell r="B73" t="str">
            <v>建付－償却累計 (増加)(▲)</v>
          </cell>
          <cell r="C73" t="str">
            <v>0731</v>
          </cell>
        </row>
        <row r="74">
          <cell r="A74">
            <v>732</v>
          </cell>
          <cell r="B74" t="str">
            <v>建付－償却累計 (減少)(▲)</v>
          </cell>
          <cell r="C74" t="str">
            <v>0732</v>
          </cell>
        </row>
        <row r="75">
          <cell r="A75">
            <v>733</v>
          </cell>
          <cell r="B75" t="str">
            <v>建付－償却累計 (期末)(▲)</v>
          </cell>
          <cell r="C75" t="str">
            <v>0733</v>
          </cell>
        </row>
        <row r="76">
          <cell r="A76">
            <v>740</v>
          </cell>
          <cell r="B76" t="str">
            <v>構築物 (期首)</v>
          </cell>
          <cell r="C76" t="str">
            <v>0740</v>
          </cell>
        </row>
        <row r="77">
          <cell r="A77">
            <v>741</v>
          </cell>
          <cell r="B77" t="str">
            <v>構築物 (増加)</v>
          </cell>
          <cell r="C77" t="str">
            <v>0741</v>
          </cell>
        </row>
        <row r="78">
          <cell r="A78">
            <v>742</v>
          </cell>
          <cell r="B78" t="str">
            <v>構築物 (減少)</v>
          </cell>
          <cell r="C78" t="str">
            <v>0742</v>
          </cell>
        </row>
        <row r="79">
          <cell r="A79">
            <v>743</v>
          </cell>
          <cell r="B79" t="str">
            <v>構築物 (期末)</v>
          </cell>
          <cell r="C79" t="str">
            <v>0743</v>
          </cell>
        </row>
        <row r="80">
          <cell r="A80">
            <v>750</v>
          </cell>
          <cell r="B80" t="str">
            <v>構築物－償却累計 (期首)(▲)</v>
          </cell>
          <cell r="C80" t="str">
            <v>0750</v>
          </cell>
        </row>
        <row r="81">
          <cell r="A81">
            <v>751</v>
          </cell>
          <cell r="B81" t="str">
            <v>構築物－償却累計 (増加)(▲)</v>
          </cell>
          <cell r="C81" t="str">
            <v>0751</v>
          </cell>
        </row>
        <row r="82">
          <cell r="A82">
            <v>752</v>
          </cell>
          <cell r="B82" t="str">
            <v>構築物－償却累計 (減少)(▲)</v>
          </cell>
          <cell r="C82" t="str">
            <v>0752</v>
          </cell>
        </row>
        <row r="83">
          <cell r="A83">
            <v>753</v>
          </cell>
          <cell r="B83" t="str">
            <v>構築物－償却累計 (期末)(▲)</v>
          </cell>
          <cell r="C83" t="str">
            <v>0753</v>
          </cell>
        </row>
        <row r="84">
          <cell r="A84">
            <v>770</v>
          </cell>
          <cell r="B84" t="str">
            <v>機械及び装置（期首）</v>
          </cell>
          <cell r="C84" t="str">
            <v>0770</v>
          </cell>
        </row>
        <row r="85">
          <cell r="A85">
            <v>771</v>
          </cell>
          <cell r="B85" t="str">
            <v>機械及び装置（増加）</v>
          </cell>
          <cell r="C85" t="str">
            <v>0771</v>
          </cell>
        </row>
        <row r="86">
          <cell r="A86">
            <v>772</v>
          </cell>
          <cell r="B86" t="str">
            <v>機械及び装置（減少）</v>
          </cell>
          <cell r="C86" t="str">
            <v>0772</v>
          </cell>
        </row>
        <row r="87">
          <cell r="A87">
            <v>773</v>
          </cell>
          <cell r="B87" t="str">
            <v>機械及び装置（期末）</v>
          </cell>
          <cell r="C87" t="str">
            <v>0773</v>
          </cell>
        </row>
        <row r="88">
          <cell r="A88">
            <v>780</v>
          </cell>
          <cell r="B88" t="str">
            <v>機械－償却累計（期首）(▲)</v>
          </cell>
          <cell r="C88" t="str">
            <v>0780</v>
          </cell>
        </row>
        <row r="89">
          <cell r="A89">
            <v>781</v>
          </cell>
          <cell r="B89" t="str">
            <v>機械－償却累計（増加）(▲)</v>
          </cell>
          <cell r="C89" t="str">
            <v>0781</v>
          </cell>
        </row>
        <row r="90">
          <cell r="A90">
            <v>782</v>
          </cell>
          <cell r="B90" t="str">
            <v>機械－償却累計（減少）(▲)</v>
          </cell>
          <cell r="C90" t="str">
            <v>0782</v>
          </cell>
        </row>
        <row r="91">
          <cell r="A91">
            <v>783</v>
          </cell>
          <cell r="B91" t="str">
            <v>機械－償却累計（期末）(▲)</v>
          </cell>
          <cell r="C91" t="str">
            <v>0783</v>
          </cell>
        </row>
        <row r="92">
          <cell r="A92">
            <v>800</v>
          </cell>
          <cell r="B92" t="str">
            <v>車両及び運搬具 (期首)</v>
          </cell>
          <cell r="C92" t="str">
            <v>0800</v>
          </cell>
        </row>
        <row r="93">
          <cell r="A93">
            <v>801</v>
          </cell>
          <cell r="B93" t="str">
            <v>車両及び運搬具 (増加)</v>
          </cell>
          <cell r="C93" t="str">
            <v>0801</v>
          </cell>
        </row>
        <row r="94">
          <cell r="A94">
            <v>802</v>
          </cell>
          <cell r="B94" t="str">
            <v>車両及び運搬具 (減少)</v>
          </cell>
          <cell r="C94" t="str">
            <v>0802</v>
          </cell>
        </row>
        <row r="95">
          <cell r="A95">
            <v>803</v>
          </cell>
          <cell r="B95" t="str">
            <v>車両及び運搬具 (期末)</v>
          </cell>
          <cell r="C95" t="str">
            <v>0803</v>
          </cell>
        </row>
        <row r="96">
          <cell r="A96">
            <v>810</v>
          </cell>
          <cell r="B96" t="str">
            <v>車両－償却累計 (期首)(▲)</v>
          </cell>
          <cell r="C96" t="str">
            <v>0810</v>
          </cell>
        </row>
        <row r="97">
          <cell r="A97">
            <v>811</v>
          </cell>
          <cell r="B97" t="str">
            <v>車両－償却累計 (増加)(▲)</v>
          </cell>
          <cell r="C97" t="str">
            <v>0811</v>
          </cell>
        </row>
        <row r="98">
          <cell r="A98">
            <v>812</v>
          </cell>
          <cell r="B98" t="str">
            <v>車両－償却累計 (減少)(▲)</v>
          </cell>
          <cell r="C98" t="str">
            <v>0812</v>
          </cell>
        </row>
        <row r="99">
          <cell r="A99">
            <v>813</v>
          </cell>
          <cell r="B99" t="str">
            <v>車両－償却累計 (期末)(▲)</v>
          </cell>
          <cell r="C99" t="str">
            <v>0813</v>
          </cell>
        </row>
        <row r="100">
          <cell r="A100">
            <v>830</v>
          </cell>
          <cell r="B100" t="str">
            <v>器具備品 (期首)</v>
          </cell>
          <cell r="C100" t="str">
            <v>0830</v>
          </cell>
        </row>
        <row r="101">
          <cell r="A101">
            <v>831</v>
          </cell>
          <cell r="B101" t="str">
            <v>器具備品 (増加)</v>
          </cell>
          <cell r="C101" t="str">
            <v>0831</v>
          </cell>
        </row>
        <row r="102">
          <cell r="A102">
            <v>832</v>
          </cell>
          <cell r="B102" t="str">
            <v>器具備品 (減少)</v>
          </cell>
          <cell r="C102" t="str">
            <v>0832</v>
          </cell>
        </row>
        <row r="103">
          <cell r="A103">
            <v>833</v>
          </cell>
          <cell r="B103" t="str">
            <v>器具備品 (期末)</v>
          </cell>
          <cell r="C103" t="str">
            <v>0833</v>
          </cell>
        </row>
        <row r="104">
          <cell r="A104">
            <v>840</v>
          </cell>
          <cell r="B104" t="str">
            <v>器具－償却累計 (期首)(▲)</v>
          </cell>
          <cell r="C104" t="str">
            <v>0840</v>
          </cell>
        </row>
        <row r="105">
          <cell r="A105">
            <v>841</v>
          </cell>
          <cell r="B105" t="str">
            <v>器具－償却累計 (増加)(▲)</v>
          </cell>
          <cell r="C105" t="str">
            <v>0841</v>
          </cell>
        </row>
        <row r="106">
          <cell r="A106">
            <v>842</v>
          </cell>
          <cell r="B106" t="str">
            <v>器具－償却累計 (減少)(▲)</v>
          </cell>
          <cell r="C106" t="str">
            <v>0842</v>
          </cell>
        </row>
        <row r="107">
          <cell r="A107">
            <v>843</v>
          </cell>
          <cell r="B107" t="str">
            <v>器具－償却累計 (期末)(▲)</v>
          </cell>
          <cell r="C107" t="str">
            <v>0843</v>
          </cell>
        </row>
        <row r="108">
          <cell r="A108">
            <v>860</v>
          </cell>
          <cell r="B108" t="str">
            <v>土地（期首）</v>
          </cell>
          <cell r="C108" t="str">
            <v>0860</v>
          </cell>
        </row>
        <row r="109">
          <cell r="A109">
            <v>861</v>
          </cell>
          <cell r="B109" t="str">
            <v>土地（増加）</v>
          </cell>
          <cell r="C109" t="str">
            <v>0861</v>
          </cell>
        </row>
        <row r="110">
          <cell r="A110">
            <v>862</v>
          </cell>
          <cell r="B110" t="str">
            <v>土地（減少）</v>
          </cell>
          <cell r="C110" t="str">
            <v>0862</v>
          </cell>
        </row>
        <row r="111">
          <cell r="A111">
            <v>863</v>
          </cell>
          <cell r="B111" t="str">
            <v>土地（期末）</v>
          </cell>
          <cell r="C111" t="str">
            <v>0863</v>
          </cell>
        </row>
        <row r="112">
          <cell r="A112">
            <v>870</v>
          </cell>
          <cell r="B112" t="str">
            <v>建設仮勘定 (期首)</v>
          </cell>
          <cell r="C112" t="str">
            <v>0870</v>
          </cell>
        </row>
        <row r="113">
          <cell r="A113">
            <v>871</v>
          </cell>
          <cell r="B113" t="str">
            <v>建設仮勘定 (増加)</v>
          </cell>
          <cell r="C113" t="str">
            <v>0871</v>
          </cell>
        </row>
        <row r="114">
          <cell r="A114">
            <v>872</v>
          </cell>
          <cell r="B114" t="str">
            <v>建設仮勘定 (減少)</v>
          </cell>
          <cell r="C114" t="str">
            <v>0872</v>
          </cell>
        </row>
        <row r="115">
          <cell r="A115">
            <v>873</v>
          </cell>
          <cell r="B115" t="str">
            <v>建設仮勘定 (期末)</v>
          </cell>
          <cell r="C115" t="str">
            <v>0873</v>
          </cell>
        </row>
        <row r="116">
          <cell r="A116">
            <v>900</v>
          </cell>
          <cell r="B116" t="str">
            <v>有形固定資産合計</v>
          </cell>
          <cell r="C116" t="str">
            <v>0900</v>
          </cell>
        </row>
        <row r="117">
          <cell r="A117">
            <v>1010</v>
          </cell>
          <cell r="B117" t="str">
            <v>営業権</v>
          </cell>
          <cell r="C117" t="str">
            <v>1010</v>
          </cell>
        </row>
        <row r="118">
          <cell r="A118">
            <v>1020</v>
          </cell>
          <cell r="B118" t="str">
            <v>商標権</v>
          </cell>
          <cell r="C118" t="str">
            <v>1020</v>
          </cell>
        </row>
        <row r="119">
          <cell r="A119">
            <v>1030</v>
          </cell>
          <cell r="B119" t="str">
            <v>借地権</v>
          </cell>
          <cell r="C119" t="str">
            <v>1030</v>
          </cell>
        </row>
        <row r="120">
          <cell r="A120">
            <v>1040</v>
          </cell>
          <cell r="B120" t="str">
            <v>無体財産権</v>
          </cell>
          <cell r="C120" t="str">
            <v>1040</v>
          </cell>
        </row>
        <row r="121">
          <cell r="A121">
            <v>1070</v>
          </cell>
          <cell r="B121" t="str">
            <v>借家権</v>
          </cell>
          <cell r="C121" t="str">
            <v>1070</v>
          </cell>
        </row>
        <row r="122">
          <cell r="A122">
            <v>1080</v>
          </cell>
          <cell r="B122" t="str">
            <v>電話加入権</v>
          </cell>
          <cell r="C122" t="str">
            <v>1080</v>
          </cell>
        </row>
        <row r="123">
          <cell r="A123">
            <v>1090</v>
          </cell>
          <cell r="B123" t="str">
            <v>施設利用権</v>
          </cell>
          <cell r="C123" t="str">
            <v>1090</v>
          </cell>
        </row>
        <row r="124">
          <cell r="A124">
            <v>1200</v>
          </cell>
          <cell r="B124" t="str">
            <v>無形固定資産合計</v>
          </cell>
          <cell r="C124" t="str">
            <v>1200</v>
          </cell>
        </row>
        <row r="125">
          <cell r="A125">
            <v>1310</v>
          </cell>
          <cell r="B125" t="str">
            <v>投資有価証券</v>
          </cell>
          <cell r="C125" t="str">
            <v>1310</v>
          </cell>
        </row>
        <row r="126">
          <cell r="A126">
            <v>1311</v>
          </cell>
          <cell r="B126" t="str">
            <v>投資有価証券-連結会社</v>
          </cell>
          <cell r="C126" t="str">
            <v>1311</v>
          </cell>
        </row>
        <row r="127">
          <cell r="A127">
            <v>1312</v>
          </cell>
          <cell r="B127" t="str">
            <v>投資有価証券-非連子・関連会</v>
          </cell>
          <cell r="C127" t="str">
            <v>1312</v>
          </cell>
        </row>
        <row r="128">
          <cell r="A128">
            <v>1313</v>
          </cell>
          <cell r="B128" t="str">
            <v>投資有価証券-その他</v>
          </cell>
          <cell r="C128" t="str">
            <v>1313</v>
          </cell>
        </row>
        <row r="129">
          <cell r="A129">
            <v>1330</v>
          </cell>
          <cell r="B129" t="str">
            <v>出資金</v>
          </cell>
          <cell r="C129" t="str">
            <v>1330</v>
          </cell>
        </row>
        <row r="130">
          <cell r="A130">
            <v>1331</v>
          </cell>
          <cell r="B130" t="str">
            <v>出資金-連結会社</v>
          </cell>
          <cell r="C130" t="str">
            <v>1331</v>
          </cell>
        </row>
        <row r="131">
          <cell r="A131">
            <v>1332</v>
          </cell>
          <cell r="B131" t="str">
            <v>出資金-非連子・関連会社</v>
          </cell>
          <cell r="C131" t="str">
            <v>1332</v>
          </cell>
        </row>
        <row r="132">
          <cell r="A132">
            <v>1333</v>
          </cell>
          <cell r="B132" t="str">
            <v>出資金-その他</v>
          </cell>
          <cell r="C132" t="str">
            <v>1333</v>
          </cell>
        </row>
        <row r="133">
          <cell r="A133">
            <v>1350</v>
          </cell>
          <cell r="B133" t="str">
            <v>長期貸付金</v>
          </cell>
          <cell r="C133" t="str">
            <v>1350</v>
          </cell>
        </row>
        <row r="134">
          <cell r="A134">
            <v>1351</v>
          </cell>
          <cell r="B134" t="str">
            <v>長期貸付金-連結会社</v>
          </cell>
          <cell r="C134" t="str">
            <v>1351</v>
          </cell>
        </row>
        <row r="135">
          <cell r="A135">
            <v>1352</v>
          </cell>
          <cell r="B135" t="str">
            <v>長期貸付金-非連子・関連会社</v>
          </cell>
          <cell r="C135" t="str">
            <v>1352</v>
          </cell>
        </row>
        <row r="136">
          <cell r="A136">
            <v>1353</v>
          </cell>
          <cell r="B136" t="str">
            <v>長期貸付金-その他</v>
          </cell>
          <cell r="C136" t="str">
            <v>1353</v>
          </cell>
        </row>
        <row r="137">
          <cell r="A137">
            <v>1360</v>
          </cell>
          <cell r="B137" t="str">
            <v>株主・従業員・長期貸付金</v>
          </cell>
          <cell r="C137" t="str">
            <v>1360</v>
          </cell>
        </row>
        <row r="138">
          <cell r="A138">
            <v>1380</v>
          </cell>
          <cell r="B138" t="str">
            <v>長期前払費用</v>
          </cell>
          <cell r="C138" t="str">
            <v>1380</v>
          </cell>
        </row>
        <row r="139">
          <cell r="A139">
            <v>1381</v>
          </cell>
          <cell r="B139" t="str">
            <v>長期前払費用-連結会社</v>
          </cell>
          <cell r="C139" t="str">
            <v>1381</v>
          </cell>
        </row>
        <row r="140">
          <cell r="A140">
            <v>1382</v>
          </cell>
          <cell r="B140" t="str">
            <v>長期前払費用-非連子・関連会</v>
          </cell>
          <cell r="C140" t="str">
            <v>1382</v>
          </cell>
        </row>
        <row r="141">
          <cell r="A141">
            <v>1383</v>
          </cell>
          <cell r="B141" t="str">
            <v>長期前払費用-その他</v>
          </cell>
          <cell r="C141" t="str">
            <v>1383</v>
          </cell>
        </row>
        <row r="142">
          <cell r="A142">
            <v>1390</v>
          </cell>
          <cell r="B142" t="str">
            <v>差入保証金</v>
          </cell>
          <cell r="C142" t="str">
            <v>1390</v>
          </cell>
        </row>
        <row r="143">
          <cell r="A143">
            <v>1391</v>
          </cell>
          <cell r="B143" t="str">
            <v>差入保証金-連結会社</v>
          </cell>
          <cell r="C143" t="str">
            <v>1391</v>
          </cell>
        </row>
        <row r="144">
          <cell r="A144">
            <v>1392</v>
          </cell>
          <cell r="B144" t="str">
            <v>差入保証金-非連子・関連会社</v>
          </cell>
          <cell r="C144" t="str">
            <v>1392</v>
          </cell>
        </row>
        <row r="145">
          <cell r="A145">
            <v>1393</v>
          </cell>
          <cell r="B145" t="str">
            <v>差入保証金-その他</v>
          </cell>
          <cell r="C145" t="str">
            <v>1393</v>
          </cell>
        </row>
        <row r="146">
          <cell r="A146">
            <v>1410</v>
          </cell>
          <cell r="B146" t="str">
            <v>店舗賃借仮勘定</v>
          </cell>
          <cell r="C146" t="str">
            <v>1410</v>
          </cell>
        </row>
        <row r="147">
          <cell r="A147">
            <v>1411</v>
          </cell>
          <cell r="B147" t="str">
            <v>店舗賃借仮勘定-連結会社</v>
          </cell>
          <cell r="C147" t="str">
            <v>1411</v>
          </cell>
        </row>
        <row r="148">
          <cell r="A148">
            <v>1412</v>
          </cell>
          <cell r="B148" t="str">
            <v>店舗賃借仮勘定-非連子・関連</v>
          </cell>
          <cell r="C148" t="str">
            <v>1412</v>
          </cell>
        </row>
        <row r="149">
          <cell r="A149">
            <v>1413</v>
          </cell>
          <cell r="B149" t="str">
            <v>店舗賃借仮勘定-その他</v>
          </cell>
          <cell r="C149" t="str">
            <v>1413</v>
          </cell>
        </row>
        <row r="150">
          <cell r="A150">
            <v>1430</v>
          </cell>
          <cell r="B150" t="str">
            <v>その他の投資</v>
          </cell>
          <cell r="C150" t="str">
            <v>1430</v>
          </cell>
        </row>
        <row r="151">
          <cell r="A151">
            <v>1431</v>
          </cell>
          <cell r="B151" t="str">
            <v>その他の投資-連結会社</v>
          </cell>
          <cell r="C151" t="str">
            <v>1431</v>
          </cell>
        </row>
        <row r="152">
          <cell r="A152">
            <v>1432</v>
          </cell>
          <cell r="B152" t="str">
            <v>その他の投資-非連子・関連会</v>
          </cell>
          <cell r="C152" t="str">
            <v>1432</v>
          </cell>
        </row>
        <row r="153">
          <cell r="A153">
            <v>1433</v>
          </cell>
          <cell r="B153" t="str">
            <v>その他の投資-その他</v>
          </cell>
          <cell r="C153" t="str">
            <v>1433</v>
          </cell>
        </row>
        <row r="154">
          <cell r="A154">
            <v>1440</v>
          </cell>
          <cell r="B154" t="str">
            <v>貸倒引当金(▲)</v>
          </cell>
          <cell r="C154" t="str">
            <v>1440</v>
          </cell>
        </row>
        <row r="155">
          <cell r="A155">
            <v>1450</v>
          </cell>
          <cell r="B155" t="str">
            <v>繰延税金(長期)</v>
          </cell>
          <cell r="C155" t="str">
            <v>1450</v>
          </cell>
        </row>
        <row r="156">
          <cell r="A156">
            <v>1500</v>
          </cell>
          <cell r="B156" t="str">
            <v>投資等計</v>
          </cell>
          <cell r="C156" t="str">
            <v>1500</v>
          </cell>
        </row>
        <row r="157">
          <cell r="A157">
            <v>1600</v>
          </cell>
          <cell r="B157" t="str">
            <v>固定資産  合計</v>
          </cell>
          <cell r="C157" t="str">
            <v>1600</v>
          </cell>
        </row>
        <row r="158">
          <cell r="A158">
            <v>1700</v>
          </cell>
          <cell r="B158" t="str">
            <v>社債発行費</v>
          </cell>
          <cell r="C158" t="str">
            <v>1700</v>
          </cell>
        </row>
        <row r="159">
          <cell r="A159">
            <v>1710</v>
          </cell>
          <cell r="B159" t="str">
            <v>新株発行費</v>
          </cell>
          <cell r="C159" t="str">
            <v>1710</v>
          </cell>
        </row>
        <row r="160">
          <cell r="A160">
            <v>1730</v>
          </cell>
          <cell r="B160" t="str">
            <v>社債発行差金</v>
          </cell>
          <cell r="C160" t="str">
            <v>1730</v>
          </cell>
        </row>
        <row r="161">
          <cell r="A161">
            <v>1740</v>
          </cell>
          <cell r="B161" t="str">
            <v>その他繰延資産</v>
          </cell>
          <cell r="C161">
            <v>1740</v>
          </cell>
        </row>
        <row r="162">
          <cell r="A162">
            <v>1800</v>
          </cell>
          <cell r="B162" t="str">
            <v>繰延資産</v>
          </cell>
          <cell r="C162" t="str">
            <v>1800</v>
          </cell>
        </row>
        <row r="163">
          <cell r="A163">
            <v>1900</v>
          </cell>
          <cell r="B163" t="str">
            <v>資産合計</v>
          </cell>
          <cell r="C163" t="str">
            <v>1900</v>
          </cell>
        </row>
        <row r="164">
          <cell r="A164">
            <v>2000</v>
          </cell>
          <cell r="B164" t="str">
            <v>連結調整勘定</v>
          </cell>
          <cell r="C164" t="str">
            <v>2000</v>
          </cell>
        </row>
        <row r="165">
          <cell r="A165">
            <v>2100</v>
          </cell>
          <cell r="B165" t="str">
            <v>為替換算調整勘定(BS)</v>
          </cell>
          <cell r="C165" t="str">
            <v>2100</v>
          </cell>
        </row>
        <row r="166">
          <cell r="A166">
            <v>2200</v>
          </cell>
          <cell r="B166" t="str">
            <v>修正仕訳振替勘定</v>
          </cell>
          <cell r="C166" t="str">
            <v>2200</v>
          </cell>
        </row>
        <row r="167">
          <cell r="A167">
            <v>2300</v>
          </cell>
          <cell r="B167" t="str">
            <v>端数調整勘定</v>
          </cell>
          <cell r="C167" t="str">
            <v>2300</v>
          </cell>
        </row>
        <row r="168">
          <cell r="A168">
            <v>2400</v>
          </cell>
          <cell r="B168" t="str">
            <v>不突合調整勘定</v>
          </cell>
          <cell r="C168" t="str">
            <v>2400</v>
          </cell>
        </row>
        <row r="169">
          <cell r="A169">
            <v>2450</v>
          </cell>
          <cell r="B169" t="str">
            <v>ジャスコ地区勘定</v>
          </cell>
          <cell r="C169" t="str">
            <v>2450</v>
          </cell>
        </row>
        <row r="170">
          <cell r="A170">
            <v>2500</v>
          </cell>
          <cell r="B170" t="str">
            <v>債務保証見返</v>
          </cell>
          <cell r="C170" t="str">
            <v>2500</v>
          </cell>
        </row>
        <row r="171">
          <cell r="A171">
            <v>2600</v>
          </cell>
          <cell r="B171" t="str">
            <v>特殊勘定計</v>
          </cell>
          <cell r="C171" t="str">
            <v>2600</v>
          </cell>
        </row>
        <row r="172">
          <cell r="A172">
            <v>2990</v>
          </cell>
          <cell r="B172" t="str">
            <v>資産・特殊勘定計</v>
          </cell>
          <cell r="C172" t="str">
            <v>2990</v>
          </cell>
        </row>
        <row r="173">
          <cell r="A173">
            <v>3010</v>
          </cell>
          <cell r="B173" t="str">
            <v>支払手形</v>
          </cell>
          <cell r="C173" t="str">
            <v>3010</v>
          </cell>
        </row>
        <row r="174">
          <cell r="A174">
            <v>3011</v>
          </cell>
          <cell r="B174" t="str">
            <v>支払手形-連結会社</v>
          </cell>
          <cell r="C174" t="str">
            <v>3011</v>
          </cell>
        </row>
        <row r="175">
          <cell r="A175">
            <v>3012</v>
          </cell>
          <cell r="B175" t="str">
            <v>支払手形-非連子・関連会社</v>
          </cell>
          <cell r="C175" t="str">
            <v>3012</v>
          </cell>
        </row>
        <row r="176">
          <cell r="A176">
            <v>3013</v>
          </cell>
          <cell r="B176" t="str">
            <v>支払手形-その他</v>
          </cell>
          <cell r="C176" t="str">
            <v>3013</v>
          </cell>
        </row>
        <row r="177">
          <cell r="A177">
            <v>3030</v>
          </cell>
          <cell r="B177" t="str">
            <v>買掛金</v>
          </cell>
          <cell r="C177" t="str">
            <v>3030</v>
          </cell>
        </row>
        <row r="178">
          <cell r="A178">
            <v>3031</v>
          </cell>
          <cell r="B178" t="str">
            <v>買掛金-連結会社</v>
          </cell>
          <cell r="C178" t="str">
            <v>3031</v>
          </cell>
        </row>
        <row r="179">
          <cell r="A179">
            <v>3032</v>
          </cell>
          <cell r="B179" t="str">
            <v>買掛金-非連子・関連会社</v>
          </cell>
          <cell r="C179" t="str">
            <v>3032</v>
          </cell>
        </row>
        <row r="180">
          <cell r="A180">
            <v>3033</v>
          </cell>
          <cell r="B180" t="str">
            <v>買掛金-その他</v>
          </cell>
          <cell r="C180" t="str">
            <v>3033</v>
          </cell>
        </row>
        <row r="181">
          <cell r="A181">
            <v>3050</v>
          </cell>
          <cell r="B181" t="str">
            <v>短期借入金</v>
          </cell>
          <cell r="C181" t="str">
            <v>3050</v>
          </cell>
        </row>
        <row r="182">
          <cell r="A182">
            <v>3051</v>
          </cell>
          <cell r="B182" t="str">
            <v>短期借入金-連結会社</v>
          </cell>
          <cell r="C182" t="str">
            <v>3051</v>
          </cell>
        </row>
        <row r="183">
          <cell r="A183">
            <v>3052</v>
          </cell>
          <cell r="B183" t="str">
            <v>短期借入金-非連子・関連会社</v>
          </cell>
          <cell r="C183" t="str">
            <v>3052</v>
          </cell>
        </row>
        <row r="184">
          <cell r="A184">
            <v>3053</v>
          </cell>
          <cell r="B184" t="str">
            <v>短期借入金-その他</v>
          </cell>
          <cell r="C184" t="str">
            <v>3053</v>
          </cell>
        </row>
        <row r="185">
          <cell r="A185">
            <v>3080</v>
          </cell>
          <cell r="B185" t="str">
            <v>未払金</v>
          </cell>
          <cell r="C185" t="str">
            <v>3080</v>
          </cell>
        </row>
        <row r="186">
          <cell r="A186">
            <v>3081</v>
          </cell>
          <cell r="B186" t="str">
            <v>未払金-連結会社</v>
          </cell>
          <cell r="C186" t="str">
            <v>3081</v>
          </cell>
        </row>
        <row r="187">
          <cell r="A187">
            <v>3082</v>
          </cell>
          <cell r="B187" t="str">
            <v>未払金-非連子・関連会社</v>
          </cell>
          <cell r="C187" t="str">
            <v>3082</v>
          </cell>
        </row>
        <row r="188">
          <cell r="A188">
            <v>3083</v>
          </cell>
          <cell r="B188" t="str">
            <v>未払金-その他</v>
          </cell>
          <cell r="C188" t="str">
            <v>3083</v>
          </cell>
        </row>
        <row r="189">
          <cell r="A189">
            <v>3100</v>
          </cell>
          <cell r="B189" t="str">
            <v>未払法人税等</v>
          </cell>
          <cell r="C189" t="str">
            <v>3100</v>
          </cell>
        </row>
        <row r="190">
          <cell r="A190">
            <v>3110</v>
          </cell>
          <cell r="B190" t="str">
            <v>未払事業税等</v>
          </cell>
          <cell r="C190" t="str">
            <v>3110</v>
          </cell>
        </row>
        <row r="191">
          <cell r="A191">
            <v>3111</v>
          </cell>
          <cell r="B191" t="str">
            <v>未払消費税</v>
          </cell>
          <cell r="C191" t="str">
            <v>3111</v>
          </cell>
        </row>
        <row r="192">
          <cell r="A192">
            <v>3120</v>
          </cell>
          <cell r="B192" t="str">
            <v>未払費用</v>
          </cell>
          <cell r="C192" t="str">
            <v>3120</v>
          </cell>
        </row>
        <row r="193">
          <cell r="A193">
            <v>3121</v>
          </cell>
          <cell r="B193" t="str">
            <v>未払費用-連結会社</v>
          </cell>
          <cell r="C193" t="str">
            <v>3121</v>
          </cell>
        </row>
        <row r="194">
          <cell r="A194">
            <v>3122</v>
          </cell>
          <cell r="B194" t="str">
            <v>未払費用-非連子・関連会社</v>
          </cell>
          <cell r="C194" t="str">
            <v>3122</v>
          </cell>
        </row>
        <row r="195">
          <cell r="A195">
            <v>3123</v>
          </cell>
          <cell r="B195" t="str">
            <v>未払費用-その他</v>
          </cell>
          <cell r="C195" t="str">
            <v>3123</v>
          </cell>
        </row>
        <row r="196">
          <cell r="A196">
            <v>3140</v>
          </cell>
          <cell r="B196" t="str">
            <v>前受金</v>
          </cell>
          <cell r="C196" t="str">
            <v>3140</v>
          </cell>
        </row>
        <row r="197">
          <cell r="A197">
            <v>3141</v>
          </cell>
          <cell r="B197" t="str">
            <v>前受金-連結会社</v>
          </cell>
          <cell r="C197" t="str">
            <v>3141</v>
          </cell>
        </row>
        <row r="198">
          <cell r="A198">
            <v>3142</v>
          </cell>
          <cell r="B198" t="str">
            <v>前受金-非連子・関連会社</v>
          </cell>
          <cell r="C198" t="str">
            <v>3142</v>
          </cell>
        </row>
        <row r="199">
          <cell r="A199">
            <v>3143</v>
          </cell>
          <cell r="B199" t="str">
            <v>前受金-その他</v>
          </cell>
          <cell r="C199" t="str">
            <v>3143</v>
          </cell>
        </row>
        <row r="200">
          <cell r="A200">
            <v>3160</v>
          </cell>
          <cell r="B200" t="str">
            <v>預り金</v>
          </cell>
          <cell r="C200" t="str">
            <v>3160</v>
          </cell>
        </row>
        <row r="201">
          <cell r="A201">
            <v>3161</v>
          </cell>
          <cell r="B201" t="str">
            <v>預り金-連結会社</v>
          </cell>
          <cell r="C201" t="str">
            <v>3161</v>
          </cell>
        </row>
        <row r="202">
          <cell r="A202">
            <v>3162</v>
          </cell>
          <cell r="B202" t="str">
            <v>預り金-非連子・関連会社</v>
          </cell>
          <cell r="C202" t="str">
            <v>3162</v>
          </cell>
        </row>
        <row r="203">
          <cell r="A203">
            <v>3163</v>
          </cell>
          <cell r="B203" t="str">
            <v>預り金-その他</v>
          </cell>
          <cell r="C203" t="str">
            <v>3163</v>
          </cell>
        </row>
        <row r="204">
          <cell r="A204">
            <v>3180</v>
          </cell>
          <cell r="B204" t="str">
            <v>株主・役員・従業員預り金</v>
          </cell>
          <cell r="C204" t="str">
            <v>3180</v>
          </cell>
        </row>
        <row r="205">
          <cell r="A205">
            <v>3190</v>
          </cell>
          <cell r="B205" t="str">
            <v>前受収益</v>
          </cell>
          <cell r="C205" t="str">
            <v>3190</v>
          </cell>
        </row>
        <row r="206">
          <cell r="A206">
            <v>3191</v>
          </cell>
          <cell r="B206" t="str">
            <v>前受収益-連結会社</v>
          </cell>
          <cell r="C206" t="str">
            <v>3191</v>
          </cell>
        </row>
        <row r="207">
          <cell r="A207">
            <v>3192</v>
          </cell>
          <cell r="B207" t="str">
            <v>前受収益-非連子・関連会社</v>
          </cell>
          <cell r="C207" t="str">
            <v>3192</v>
          </cell>
        </row>
        <row r="208">
          <cell r="A208">
            <v>3193</v>
          </cell>
          <cell r="B208" t="str">
            <v>前受収益-その他</v>
          </cell>
          <cell r="C208" t="str">
            <v>3193</v>
          </cell>
        </row>
        <row r="209">
          <cell r="A209">
            <v>3210</v>
          </cell>
          <cell r="B209" t="str">
            <v>賞与引当金</v>
          </cell>
          <cell r="C209" t="str">
            <v>3210</v>
          </cell>
        </row>
        <row r="210">
          <cell r="A210">
            <v>3220</v>
          </cell>
          <cell r="B210" t="str">
            <v>設備支払手形</v>
          </cell>
          <cell r="C210" t="str">
            <v>3220</v>
          </cell>
        </row>
        <row r="211">
          <cell r="A211">
            <v>3221</v>
          </cell>
          <cell r="B211" t="str">
            <v>設備支払手形-連結会社</v>
          </cell>
          <cell r="C211">
            <v>3221</v>
          </cell>
        </row>
        <row r="212">
          <cell r="A212">
            <v>3222</v>
          </cell>
          <cell r="B212" t="str">
            <v>設備支払手形-非連子･関連会社</v>
          </cell>
          <cell r="C212">
            <v>3222</v>
          </cell>
        </row>
        <row r="213">
          <cell r="A213">
            <v>3223</v>
          </cell>
          <cell r="B213" t="str">
            <v>設備支払手形-その他</v>
          </cell>
          <cell r="C213">
            <v>3223</v>
          </cell>
        </row>
        <row r="214">
          <cell r="A214">
            <v>3240</v>
          </cell>
          <cell r="B214" t="str">
            <v>設備未払金</v>
          </cell>
          <cell r="C214" t="str">
            <v>3240</v>
          </cell>
        </row>
        <row r="215">
          <cell r="A215">
            <v>3241</v>
          </cell>
          <cell r="B215" t="str">
            <v>設備未払金-連結会社</v>
          </cell>
          <cell r="C215" t="str">
            <v>3241</v>
          </cell>
        </row>
        <row r="216">
          <cell r="A216">
            <v>3242</v>
          </cell>
          <cell r="B216" t="str">
            <v>設備未払金-非連子・関連会社</v>
          </cell>
          <cell r="C216" t="str">
            <v>3242</v>
          </cell>
        </row>
        <row r="217">
          <cell r="A217">
            <v>3243</v>
          </cell>
          <cell r="B217" t="str">
            <v>設備未払金-その他</v>
          </cell>
          <cell r="C217" t="str">
            <v>3243</v>
          </cell>
        </row>
        <row r="218">
          <cell r="A218">
            <v>3260</v>
          </cell>
          <cell r="B218" t="str">
            <v>委託預り商品</v>
          </cell>
          <cell r="C218" t="str">
            <v>3260</v>
          </cell>
        </row>
        <row r="219">
          <cell r="A219">
            <v>3270</v>
          </cell>
          <cell r="B219" t="str">
            <v>商品券</v>
          </cell>
          <cell r="C219" t="str">
            <v>3270</v>
          </cell>
        </row>
        <row r="220">
          <cell r="A220">
            <v>3280</v>
          </cell>
          <cell r="B220" t="str">
            <v>社員購入券</v>
          </cell>
          <cell r="C220" t="str">
            <v>3280</v>
          </cell>
        </row>
        <row r="221">
          <cell r="A221">
            <v>3290</v>
          </cell>
          <cell r="B221" t="str">
            <v>仮受金</v>
          </cell>
          <cell r="C221" t="str">
            <v>3290</v>
          </cell>
        </row>
        <row r="222">
          <cell r="A222">
            <v>3291</v>
          </cell>
          <cell r="B222" t="str">
            <v>仮受金-連結会社</v>
          </cell>
          <cell r="C222" t="str">
            <v>3291</v>
          </cell>
        </row>
        <row r="223">
          <cell r="A223">
            <v>3292</v>
          </cell>
          <cell r="B223" t="str">
            <v>仮受金-非連子・関連会社</v>
          </cell>
          <cell r="C223" t="str">
            <v>3292</v>
          </cell>
        </row>
        <row r="224">
          <cell r="A224">
            <v>3293</v>
          </cell>
          <cell r="B224" t="str">
            <v>仮受金-その他</v>
          </cell>
          <cell r="C224" t="str">
            <v>3293</v>
          </cell>
        </row>
        <row r="225">
          <cell r="A225">
            <v>3300</v>
          </cell>
          <cell r="B225" t="str">
            <v>仮受消費税</v>
          </cell>
          <cell r="C225" t="str">
            <v>3300</v>
          </cell>
        </row>
        <row r="226">
          <cell r="A226">
            <v>3310</v>
          </cell>
          <cell r="B226" t="str">
            <v>固定資産特別勘定</v>
          </cell>
          <cell r="C226" t="str">
            <v>3310</v>
          </cell>
        </row>
        <row r="227">
          <cell r="A227">
            <v>3320</v>
          </cell>
          <cell r="B227" t="str">
            <v>1年内返済長期借入金</v>
          </cell>
          <cell r="C227" t="str">
            <v>3320</v>
          </cell>
        </row>
        <row r="228">
          <cell r="A228">
            <v>3321</v>
          </cell>
          <cell r="B228" t="str">
            <v>1年内長期借入金-連結会社</v>
          </cell>
          <cell r="C228" t="str">
            <v>3321</v>
          </cell>
        </row>
        <row r="229">
          <cell r="A229">
            <v>3322</v>
          </cell>
          <cell r="B229" t="str">
            <v>1年内長期借入金-非連子・関連</v>
          </cell>
          <cell r="C229" t="str">
            <v>3322</v>
          </cell>
        </row>
        <row r="230">
          <cell r="A230">
            <v>3323</v>
          </cell>
          <cell r="B230" t="str">
            <v>1年内長期借入金-その他</v>
          </cell>
          <cell r="C230" t="str">
            <v>3323</v>
          </cell>
        </row>
        <row r="231">
          <cell r="A231">
            <v>3330</v>
          </cell>
          <cell r="B231" t="str">
            <v>1年内償還予定社債</v>
          </cell>
          <cell r="C231" t="str">
            <v>3330</v>
          </cell>
        </row>
        <row r="232">
          <cell r="A232">
            <v>3340</v>
          </cell>
          <cell r="B232" t="str">
            <v>1年内返済予定預り保証金</v>
          </cell>
          <cell r="C232" t="str">
            <v>3340</v>
          </cell>
        </row>
        <row r="233">
          <cell r="A233">
            <v>3341</v>
          </cell>
          <cell r="B233" t="str">
            <v>1年内預り保証金-連結会社</v>
          </cell>
          <cell r="C233" t="str">
            <v>3341</v>
          </cell>
        </row>
        <row r="234">
          <cell r="A234">
            <v>3342</v>
          </cell>
          <cell r="B234" t="str">
            <v>1年内預り保証金-非連子・関連</v>
          </cell>
          <cell r="C234" t="str">
            <v>3342</v>
          </cell>
        </row>
        <row r="235">
          <cell r="A235">
            <v>3343</v>
          </cell>
          <cell r="B235" t="str">
            <v>1年内預り保証金-その他</v>
          </cell>
          <cell r="C235" t="str">
            <v>3343</v>
          </cell>
        </row>
        <row r="236">
          <cell r="A236">
            <v>3350</v>
          </cell>
          <cell r="B236" t="str">
            <v>コマーシャルペーパー</v>
          </cell>
          <cell r="C236" t="str">
            <v>3350</v>
          </cell>
        </row>
        <row r="237">
          <cell r="A237">
            <v>3360</v>
          </cell>
          <cell r="B237" t="str">
            <v>繰延税金</v>
          </cell>
          <cell r="C237" t="str">
            <v>3360</v>
          </cell>
        </row>
        <row r="238">
          <cell r="A238">
            <v>3370</v>
          </cell>
          <cell r="B238" t="str">
            <v>その他流動負債</v>
          </cell>
          <cell r="C238" t="str">
            <v>3370</v>
          </cell>
        </row>
        <row r="239">
          <cell r="A239">
            <v>3400</v>
          </cell>
          <cell r="B239" t="str">
            <v>流動負債合計</v>
          </cell>
          <cell r="C239" t="str">
            <v>3400</v>
          </cell>
        </row>
        <row r="240">
          <cell r="A240">
            <v>3500</v>
          </cell>
          <cell r="B240" t="str">
            <v>社債</v>
          </cell>
          <cell r="C240" t="str">
            <v>3500</v>
          </cell>
        </row>
        <row r="241">
          <cell r="A241">
            <v>3510</v>
          </cell>
          <cell r="B241" t="str">
            <v>転換社債</v>
          </cell>
          <cell r="C241" t="str">
            <v>3510</v>
          </cell>
        </row>
        <row r="242">
          <cell r="A242">
            <v>3520</v>
          </cell>
          <cell r="B242" t="str">
            <v>長期借入金</v>
          </cell>
          <cell r="C242" t="str">
            <v>3520</v>
          </cell>
        </row>
        <row r="243">
          <cell r="A243">
            <v>3521</v>
          </cell>
          <cell r="B243" t="str">
            <v>長期借入金-連結会社</v>
          </cell>
          <cell r="C243" t="str">
            <v>3521</v>
          </cell>
        </row>
        <row r="244">
          <cell r="A244">
            <v>3522</v>
          </cell>
          <cell r="B244" t="str">
            <v>長期借入金-非連子・関連会社</v>
          </cell>
          <cell r="C244" t="str">
            <v>3522</v>
          </cell>
        </row>
        <row r="245">
          <cell r="A245">
            <v>3523</v>
          </cell>
          <cell r="B245" t="str">
            <v>長期借入金-その他</v>
          </cell>
          <cell r="C245" t="str">
            <v>3523</v>
          </cell>
        </row>
        <row r="246">
          <cell r="A246">
            <v>3540</v>
          </cell>
          <cell r="B246" t="str">
            <v>退職給与引当金</v>
          </cell>
          <cell r="C246" t="str">
            <v>3540</v>
          </cell>
        </row>
        <row r="247">
          <cell r="A247">
            <v>3570</v>
          </cell>
          <cell r="B247" t="str">
            <v>長期設備支払</v>
          </cell>
          <cell r="C247" t="str">
            <v>3570</v>
          </cell>
        </row>
        <row r="248">
          <cell r="A248">
            <v>3571</v>
          </cell>
          <cell r="B248" t="str">
            <v>長期設備支払手形-連結会社</v>
          </cell>
          <cell r="C248" t="str">
            <v>3571</v>
          </cell>
        </row>
        <row r="249">
          <cell r="A249">
            <v>3572</v>
          </cell>
          <cell r="B249" t="str">
            <v>長期設備支払手形-非連子・関A</v>
          </cell>
          <cell r="C249" t="str">
            <v>3572</v>
          </cell>
        </row>
        <row r="250">
          <cell r="A250">
            <v>3573</v>
          </cell>
          <cell r="B250" t="str">
            <v>長期設備支払手形-その他</v>
          </cell>
          <cell r="C250" t="str">
            <v>3573</v>
          </cell>
        </row>
        <row r="251">
          <cell r="A251">
            <v>3610</v>
          </cell>
          <cell r="B251" t="str">
            <v>長期設備未払金</v>
          </cell>
          <cell r="C251" t="str">
            <v>3610</v>
          </cell>
        </row>
        <row r="252">
          <cell r="A252">
            <v>3611</v>
          </cell>
          <cell r="B252" t="str">
            <v>長期設備未払金-連結会社</v>
          </cell>
          <cell r="C252" t="str">
            <v>3611</v>
          </cell>
        </row>
        <row r="253">
          <cell r="A253">
            <v>3612</v>
          </cell>
          <cell r="B253" t="str">
            <v>長期設備未払金-非連子・関連</v>
          </cell>
          <cell r="C253" t="str">
            <v>3612</v>
          </cell>
        </row>
        <row r="254">
          <cell r="A254">
            <v>3613</v>
          </cell>
          <cell r="B254" t="str">
            <v>長期設備未払金-その他</v>
          </cell>
          <cell r="C254" t="str">
            <v>3613</v>
          </cell>
        </row>
        <row r="255">
          <cell r="A255">
            <v>3630</v>
          </cell>
          <cell r="B255" t="str">
            <v>株主・役員・従業員長期借入金</v>
          </cell>
          <cell r="C255" t="str">
            <v>3630</v>
          </cell>
        </row>
        <row r="256">
          <cell r="A256">
            <v>3640</v>
          </cell>
          <cell r="B256" t="str">
            <v>預り保証金</v>
          </cell>
          <cell r="C256" t="str">
            <v>3640</v>
          </cell>
        </row>
        <row r="257">
          <cell r="A257">
            <v>3641</v>
          </cell>
          <cell r="B257" t="str">
            <v>預り保証金-連結会社</v>
          </cell>
          <cell r="C257" t="str">
            <v>3641</v>
          </cell>
        </row>
        <row r="258">
          <cell r="A258">
            <v>3642</v>
          </cell>
          <cell r="B258" t="str">
            <v>預り保証金-非連子・関連会社</v>
          </cell>
          <cell r="C258" t="str">
            <v>3642</v>
          </cell>
        </row>
        <row r="259">
          <cell r="A259">
            <v>3643</v>
          </cell>
          <cell r="B259" t="str">
            <v>預り保証金-その他</v>
          </cell>
          <cell r="C259" t="str">
            <v>3643</v>
          </cell>
        </row>
        <row r="260">
          <cell r="A260">
            <v>3660</v>
          </cell>
          <cell r="B260" t="str">
            <v>長期前受収益</v>
          </cell>
          <cell r="C260" t="str">
            <v>3660</v>
          </cell>
        </row>
        <row r="261">
          <cell r="A261">
            <v>3661</v>
          </cell>
          <cell r="B261" t="str">
            <v>長期前受収益-連結会社</v>
          </cell>
          <cell r="C261" t="str">
            <v>3661</v>
          </cell>
        </row>
        <row r="262">
          <cell r="A262">
            <v>3662</v>
          </cell>
          <cell r="B262" t="str">
            <v>長期前受収益-非連子・関連会</v>
          </cell>
          <cell r="C262" t="str">
            <v>3662</v>
          </cell>
        </row>
        <row r="263">
          <cell r="A263">
            <v>3663</v>
          </cell>
          <cell r="B263" t="str">
            <v>長期前受収益-その他</v>
          </cell>
          <cell r="C263" t="str">
            <v>3663</v>
          </cell>
        </row>
        <row r="264">
          <cell r="A264">
            <v>3670</v>
          </cell>
          <cell r="B264" t="str">
            <v>繰延税金</v>
          </cell>
          <cell r="C264" t="str">
            <v>3670</v>
          </cell>
        </row>
        <row r="265">
          <cell r="A265">
            <v>3680</v>
          </cell>
          <cell r="B265" t="str">
            <v>その他固定負債</v>
          </cell>
          <cell r="C265" t="str">
            <v>3680</v>
          </cell>
        </row>
        <row r="266">
          <cell r="A266">
            <v>3700</v>
          </cell>
          <cell r="B266" t="str">
            <v>固定負債合計</v>
          </cell>
          <cell r="C266" t="str">
            <v>3700</v>
          </cell>
        </row>
        <row r="267">
          <cell r="A267">
            <v>3800</v>
          </cell>
          <cell r="B267" t="str">
            <v>為替換算調整勘定</v>
          </cell>
          <cell r="C267" t="str">
            <v>3800</v>
          </cell>
        </row>
        <row r="268">
          <cell r="A268">
            <v>3900</v>
          </cell>
          <cell r="B268" t="str">
            <v>連結調整勘定</v>
          </cell>
          <cell r="C268" t="str">
            <v>3900</v>
          </cell>
        </row>
        <row r="269">
          <cell r="A269">
            <v>4000</v>
          </cell>
          <cell r="B269" t="str">
            <v>少数株主持分</v>
          </cell>
          <cell r="C269" t="str">
            <v>4000</v>
          </cell>
        </row>
        <row r="270">
          <cell r="A270">
            <v>4300</v>
          </cell>
          <cell r="B270" t="str">
            <v>負債  合計</v>
          </cell>
          <cell r="C270" t="str">
            <v>4300</v>
          </cell>
        </row>
        <row r="271">
          <cell r="A271">
            <v>4410</v>
          </cell>
          <cell r="B271" t="str">
            <v>資本金</v>
          </cell>
          <cell r="C271" t="str">
            <v>4410</v>
          </cell>
        </row>
        <row r="272">
          <cell r="A272">
            <v>4420</v>
          </cell>
          <cell r="B272" t="str">
            <v>新株式払込金</v>
          </cell>
          <cell r="C272" t="str">
            <v>4420</v>
          </cell>
        </row>
        <row r="273">
          <cell r="A273">
            <v>4430</v>
          </cell>
          <cell r="B273" t="str">
            <v>資本準備金</v>
          </cell>
          <cell r="C273" t="str">
            <v>4430</v>
          </cell>
        </row>
        <row r="274">
          <cell r="A274">
            <v>4440</v>
          </cell>
          <cell r="B274" t="str">
            <v>利益準備金</v>
          </cell>
          <cell r="C274" t="str">
            <v>4440</v>
          </cell>
        </row>
        <row r="275">
          <cell r="A275">
            <v>4450</v>
          </cell>
          <cell r="B275" t="str">
            <v>法定準備金計</v>
          </cell>
          <cell r="C275" t="str">
            <v>4450</v>
          </cell>
        </row>
        <row r="276">
          <cell r="A276">
            <v>4580</v>
          </cell>
          <cell r="B276" t="str">
            <v>剰余金計</v>
          </cell>
          <cell r="C276" t="str">
            <v>4580</v>
          </cell>
        </row>
        <row r="277">
          <cell r="A277">
            <v>4590</v>
          </cell>
          <cell r="B277" t="str">
            <v>為替換算調整勘定</v>
          </cell>
          <cell r="C277" t="str">
            <v>4590</v>
          </cell>
        </row>
        <row r="278">
          <cell r="A278">
            <v>4595</v>
          </cell>
          <cell r="B278" t="str">
            <v>自己株式</v>
          </cell>
          <cell r="C278" t="str">
            <v>4595</v>
          </cell>
        </row>
        <row r="279">
          <cell r="A279">
            <v>4600</v>
          </cell>
          <cell r="B279" t="str">
            <v>資本　合計</v>
          </cell>
          <cell r="C279" t="str">
            <v>4600</v>
          </cell>
        </row>
        <row r="280">
          <cell r="A280">
            <v>4700</v>
          </cell>
          <cell r="B280" t="str">
            <v>負債・資本　合計</v>
          </cell>
          <cell r="C280" t="str">
            <v>4700</v>
          </cell>
        </row>
        <row r="281">
          <cell r="A281">
            <v>4800</v>
          </cell>
          <cell r="B281" t="str">
            <v>不突合調整勘定　貸方</v>
          </cell>
          <cell r="C281" t="str">
            <v>4800</v>
          </cell>
        </row>
        <row r="282">
          <cell r="A282">
            <v>4850</v>
          </cell>
          <cell r="B282" t="str">
            <v>保証債務</v>
          </cell>
          <cell r="C282" t="str">
            <v>4850</v>
          </cell>
        </row>
        <row r="283">
          <cell r="A283">
            <v>4900</v>
          </cell>
          <cell r="B283" t="str">
            <v>保証債務計</v>
          </cell>
          <cell r="C283" t="str">
            <v>4900</v>
          </cell>
        </row>
        <row r="284">
          <cell r="A284">
            <v>4990</v>
          </cell>
          <cell r="B284" t="str">
            <v>負債・資本・特殊勘定合計</v>
          </cell>
          <cell r="C284" t="str">
            <v>4990</v>
          </cell>
        </row>
        <row r="285">
          <cell r="A285">
            <v>5100</v>
          </cell>
          <cell r="B285" t="str">
            <v>売上高</v>
          </cell>
          <cell r="C285" t="str">
            <v>5100</v>
          </cell>
        </row>
        <row r="286">
          <cell r="A286">
            <v>5101</v>
          </cell>
          <cell r="B286" t="str">
            <v>売上高-連結会社</v>
          </cell>
          <cell r="C286" t="str">
            <v>5101</v>
          </cell>
        </row>
        <row r="287">
          <cell r="A287">
            <v>5102</v>
          </cell>
          <cell r="B287" t="str">
            <v>売上高-非連子・関連会社</v>
          </cell>
          <cell r="C287" t="str">
            <v>5102</v>
          </cell>
        </row>
        <row r="288">
          <cell r="A288">
            <v>5103</v>
          </cell>
          <cell r="B288" t="str">
            <v>売上高-その他</v>
          </cell>
          <cell r="C288" t="str">
            <v>5103</v>
          </cell>
        </row>
        <row r="289">
          <cell r="A289">
            <v>5104</v>
          </cell>
          <cell r="B289" t="str">
            <v>売上値引及び戻り高(▲)</v>
          </cell>
          <cell r="C289" t="str">
            <v>5104</v>
          </cell>
        </row>
        <row r="290">
          <cell r="A290">
            <v>5105</v>
          </cell>
          <cell r="B290" t="str">
            <v>内部売上高</v>
          </cell>
          <cell r="C290" t="str">
            <v>5105</v>
          </cell>
        </row>
        <row r="291">
          <cell r="A291">
            <v>5106</v>
          </cell>
          <cell r="B291" t="str">
            <v>不突合調整勘定  売上高</v>
          </cell>
          <cell r="C291" t="str">
            <v>5106</v>
          </cell>
        </row>
        <row r="292">
          <cell r="A292">
            <v>5110</v>
          </cell>
          <cell r="B292" t="str">
            <v>サービス収入</v>
          </cell>
          <cell r="C292" t="str">
            <v>5110</v>
          </cell>
        </row>
        <row r="293">
          <cell r="A293">
            <v>5111</v>
          </cell>
          <cell r="B293" t="str">
            <v>サービス収入-連結会社</v>
          </cell>
          <cell r="C293" t="str">
            <v>5111</v>
          </cell>
        </row>
        <row r="294">
          <cell r="A294">
            <v>5112</v>
          </cell>
          <cell r="B294" t="str">
            <v>サービス収入-非連子・関連会</v>
          </cell>
          <cell r="C294" t="str">
            <v>5112</v>
          </cell>
        </row>
        <row r="295">
          <cell r="A295">
            <v>5113</v>
          </cell>
          <cell r="B295" t="str">
            <v>サービス収入-その他</v>
          </cell>
          <cell r="C295" t="str">
            <v>5113</v>
          </cell>
        </row>
        <row r="296">
          <cell r="A296">
            <v>5210</v>
          </cell>
          <cell r="B296" t="str">
            <v>販売受入手数料</v>
          </cell>
          <cell r="C296" t="str">
            <v>5210</v>
          </cell>
        </row>
        <row r="297">
          <cell r="A297">
            <v>5211</v>
          </cell>
          <cell r="B297" t="str">
            <v>販売受入手数料-連結会社</v>
          </cell>
          <cell r="C297" t="str">
            <v>5211</v>
          </cell>
        </row>
        <row r="298">
          <cell r="A298">
            <v>5212</v>
          </cell>
          <cell r="B298" t="str">
            <v>販売受入手数料-非連子・関連</v>
          </cell>
          <cell r="C298" t="str">
            <v>5212</v>
          </cell>
        </row>
        <row r="299">
          <cell r="A299">
            <v>5213</v>
          </cell>
          <cell r="B299" t="str">
            <v>販売受入手数料-その他</v>
          </cell>
          <cell r="C299" t="str">
            <v>5213</v>
          </cell>
        </row>
        <row r="300">
          <cell r="A300">
            <v>5230</v>
          </cell>
          <cell r="B300" t="str">
            <v>不動産賃貸収入</v>
          </cell>
          <cell r="C300" t="str">
            <v>5230</v>
          </cell>
        </row>
        <row r="301">
          <cell r="A301">
            <v>5231</v>
          </cell>
          <cell r="B301" t="str">
            <v>不動産賃貸収入-連結会社</v>
          </cell>
          <cell r="C301" t="str">
            <v>5231</v>
          </cell>
        </row>
        <row r="302">
          <cell r="A302">
            <v>5232</v>
          </cell>
          <cell r="B302" t="str">
            <v>不動産賃貸収入-非連子・関連</v>
          </cell>
          <cell r="C302" t="str">
            <v>5232</v>
          </cell>
        </row>
        <row r="303">
          <cell r="A303">
            <v>5233</v>
          </cell>
          <cell r="B303" t="str">
            <v>不動産賃貸収入-その他</v>
          </cell>
          <cell r="C303" t="str">
            <v>5233</v>
          </cell>
        </row>
        <row r="304">
          <cell r="A304">
            <v>5300</v>
          </cell>
          <cell r="B304" t="str">
            <v>営業収入計</v>
          </cell>
          <cell r="C304" t="str">
            <v>5300</v>
          </cell>
        </row>
        <row r="305">
          <cell r="A305">
            <v>5510</v>
          </cell>
          <cell r="B305" t="str">
            <v>期首商品棚卸高</v>
          </cell>
          <cell r="C305" t="str">
            <v>5510</v>
          </cell>
        </row>
        <row r="306">
          <cell r="A306">
            <v>5520</v>
          </cell>
          <cell r="B306" t="str">
            <v>仕入高</v>
          </cell>
          <cell r="C306" t="str">
            <v>5520</v>
          </cell>
        </row>
        <row r="307">
          <cell r="A307">
            <v>5521</v>
          </cell>
          <cell r="B307" t="str">
            <v>仕入高-連結会社</v>
          </cell>
          <cell r="C307" t="str">
            <v>5521</v>
          </cell>
        </row>
        <row r="308">
          <cell r="A308">
            <v>5522</v>
          </cell>
          <cell r="B308" t="str">
            <v>仕入高-非連子・関連会社</v>
          </cell>
          <cell r="C308" t="str">
            <v>5522</v>
          </cell>
        </row>
        <row r="309">
          <cell r="A309">
            <v>5523</v>
          </cell>
          <cell r="B309" t="str">
            <v>仕入高-その他</v>
          </cell>
          <cell r="C309" t="str">
            <v>5523</v>
          </cell>
        </row>
        <row r="310">
          <cell r="A310">
            <v>5524</v>
          </cell>
          <cell r="B310" t="str">
            <v>仕入値引及び戻し(▲)</v>
          </cell>
          <cell r="C310" t="str">
            <v>5524</v>
          </cell>
        </row>
        <row r="311">
          <cell r="A311">
            <v>5525</v>
          </cell>
          <cell r="B311" t="str">
            <v>内部仕入高</v>
          </cell>
          <cell r="C311" t="str">
            <v>5525</v>
          </cell>
        </row>
        <row r="312">
          <cell r="A312">
            <v>5526</v>
          </cell>
          <cell r="B312" t="str">
            <v>仕入高不突合勘定</v>
          </cell>
          <cell r="C312" t="str">
            <v>5526</v>
          </cell>
        </row>
        <row r="313">
          <cell r="A313">
            <v>5560</v>
          </cell>
          <cell r="B313" t="str">
            <v>仕立加工費</v>
          </cell>
          <cell r="C313" t="str">
            <v>5560</v>
          </cell>
        </row>
        <row r="314">
          <cell r="A314">
            <v>5570</v>
          </cell>
          <cell r="B314" t="str">
            <v>引取運賃</v>
          </cell>
          <cell r="C314" t="str">
            <v>5570</v>
          </cell>
        </row>
        <row r="315">
          <cell r="A315">
            <v>5580</v>
          </cell>
          <cell r="B315" t="str">
            <v>他勘定振替高(▲)</v>
          </cell>
          <cell r="C315" t="str">
            <v>5580</v>
          </cell>
        </row>
        <row r="316">
          <cell r="A316">
            <v>5590</v>
          </cell>
          <cell r="B316" t="str">
            <v>期末商品棚卸高</v>
          </cell>
          <cell r="C316" t="str">
            <v>5590</v>
          </cell>
        </row>
        <row r="317">
          <cell r="A317">
            <v>5700</v>
          </cell>
          <cell r="B317" t="str">
            <v>売上原価計</v>
          </cell>
          <cell r="C317" t="str">
            <v>5700</v>
          </cell>
        </row>
        <row r="318">
          <cell r="A318">
            <v>5800</v>
          </cell>
          <cell r="B318" t="str">
            <v>売上総利益</v>
          </cell>
          <cell r="C318" t="str">
            <v>5800</v>
          </cell>
        </row>
        <row r="319">
          <cell r="A319">
            <v>5900</v>
          </cell>
          <cell r="B319" t="str">
            <v>営業総利益</v>
          </cell>
          <cell r="C319" t="str">
            <v>5900</v>
          </cell>
        </row>
        <row r="320">
          <cell r="A320">
            <v>6010</v>
          </cell>
          <cell r="B320" t="str">
            <v>役員報酬</v>
          </cell>
          <cell r="C320" t="str">
            <v>6010</v>
          </cell>
        </row>
        <row r="321">
          <cell r="A321">
            <v>6020</v>
          </cell>
          <cell r="B321" t="str">
            <v>社員給与</v>
          </cell>
          <cell r="C321" t="str">
            <v>6020</v>
          </cell>
        </row>
        <row r="322">
          <cell r="A322">
            <v>6030</v>
          </cell>
          <cell r="B322" t="str">
            <v>社員賞与</v>
          </cell>
          <cell r="C322" t="str">
            <v>6030</v>
          </cell>
        </row>
        <row r="323">
          <cell r="A323">
            <v>6040</v>
          </cell>
          <cell r="B323" t="str">
            <v>賞与引当金繰入額</v>
          </cell>
          <cell r="C323" t="str">
            <v>6040</v>
          </cell>
        </row>
        <row r="324">
          <cell r="A324">
            <v>6050</v>
          </cell>
          <cell r="B324" t="str">
            <v>出向者人件費負担金</v>
          </cell>
          <cell r="C324" t="str">
            <v>6050</v>
          </cell>
        </row>
        <row r="325">
          <cell r="A325">
            <v>6051</v>
          </cell>
          <cell r="B325" t="str">
            <v>出向人件費負担-連結会社</v>
          </cell>
          <cell r="C325" t="str">
            <v>6051</v>
          </cell>
        </row>
        <row r="326">
          <cell r="A326">
            <v>6052</v>
          </cell>
          <cell r="B326" t="str">
            <v>出向人件費負担-非連子・関連</v>
          </cell>
          <cell r="C326" t="str">
            <v>6052</v>
          </cell>
        </row>
        <row r="327">
          <cell r="A327">
            <v>6053</v>
          </cell>
          <cell r="B327" t="str">
            <v>出向人件費負担-その他</v>
          </cell>
          <cell r="C327" t="str">
            <v>6053</v>
          </cell>
        </row>
        <row r="328">
          <cell r="A328">
            <v>6060</v>
          </cell>
          <cell r="B328" t="str">
            <v>出向者人件費負担金受入(▲)</v>
          </cell>
          <cell r="C328" t="str">
            <v>6060</v>
          </cell>
        </row>
        <row r="329">
          <cell r="A329">
            <v>6061</v>
          </cell>
          <cell r="B329" t="str">
            <v>出向人件受入-連結会社(▲)</v>
          </cell>
          <cell r="C329" t="str">
            <v>6061</v>
          </cell>
        </row>
        <row r="330">
          <cell r="A330">
            <v>6062</v>
          </cell>
          <cell r="B330" t="str">
            <v>出向人件受入-非連子・関(▲)</v>
          </cell>
          <cell r="C330" t="str">
            <v>6062</v>
          </cell>
        </row>
        <row r="331">
          <cell r="A331">
            <v>6063</v>
          </cell>
          <cell r="B331" t="str">
            <v>出向人件受入-その他(▲)</v>
          </cell>
          <cell r="C331" t="str">
            <v>6063</v>
          </cell>
        </row>
        <row r="332">
          <cell r="A332">
            <v>6090</v>
          </cell>
          <cell r="B332" t="str">
            <v>ﾌﾚｯｸｽ社員等給与</v>
          </cell>
          <cell r="C332" t="str">
            <v>6090</v>
          </cell>
        </row>
        <row r="333">
          <cell r="A333">
            <v>6100</v>
          </cell>
          <cell r="B333" t="str">
            <v>退職金</v>
          </cell>
          <cell r="C333" t="str">
            <v>6100</v>
          </cell>
        </row>
        <row r="334">
          <cell r="A334">
            <v>6110</v>
          </cell>
          <cell r="B334" t="str">
            <v>退職給与引当金繰入額</v>
          </cell>
          <cell r="C334" t="str">
            <v>6110</v>
          </cell>
        </row>
        <row r="335">
          <cell r="A335">
            <v>6120</v>
          </cell>
          <cell r="B335" t="str">
            <v>法定福利費</v>
          </cell>
          <cell r="C335" t="str">
            <v>6120</v>
          </cell>
        </row>
        <row r="336">
          <cell r="A336">
            <v>6130</v>
          </cell>
          <cell r="B336" t="str">
            <v>福利厚生費</v>
          </cell>
          <cell r="C336" t="str">
            <v>6130</v>
          </cell>
        </row>
        <row r="337">
          <cell r="A337">
            <v>6131</v>
          </cell>
          <cell r="B337" t="str">
            <v>福利厚生費-連結会社</v>
          </cell>
          <cell r="C337" t="str">
            <v>6131</v>
          </cell>
        </row>
        <row r="338">
          <cell r="A338">
            <v>6132</v>
          </cell>
          <cell r="B338" t="str">
            <v>福利厚生費-非連子・関連会社</v>
          </cell>
          <cell r="C338" t="str">
            <v>6132</v>
          </cell>
        </row>
        <row r="339">
          <cell r="A339">
            <v>6133</v>
          </cell>
          <cell r="B339" t="str">
            <v>福利厚生費-その他</v>
          </cell>
          <cell r="C339" t="str">
            <v>6133</v>
          </cell>
        </row>
        <row r="340">
          <cell r="A340">
            <v>6140</v>
          </cell>
          <cell r="B340" t="str">
            <v>採用費</v>
          </cell>
          <cell r="C340" t="str">
            <v>6140</v>
          </cell>
        </row>
        <row r="341">
          <cell r="A341">
            <v>6150</v>
          </cell>
          <cell r="B341" t="str">
            <v>教育費</v>
          </cell>
          <cell r="C341" t="str">
            <v>6150</v>
          </cell>
        </row>
        <row r="342">
          <cell r="A342">
            <v>6151</v>
          </cell>
          <cell r="B342" t="str">
            <v>教育費-連結会社</v>
          </cell>
          <cell r="C342" t="str">
            <v>6151</v>
          </cell>
        </row>
        <row r="343">
          <cell r="A343">
            <v>6152</v>
          </cell>
          <cell r="B343" t="str">
            <v>教育費-非連子・関連会社</v>
          </cell>
          <cell r="C343" t="str">
            <v>6152</v>
          </cell>
        </row>
        <row r="344">
          <cell r="A344">
            <v>6153</v>
          </cell>
          <cell r="B344" t="str">
            <v>教育費-その他</v>
          </cell>
          <cell r="C344" t="str">
            <v>6153</v>
          </cell>
        </row>
        <row r="345">
          <cell r="A345">
            <v>6160</v>
          </cell>
          <cell r="B345" t="str">
            <v>寮及び社宅費</v>
          </cell>
          <cell r="C345" t="str">
            <v>6160</v>
          </cell>
        </row>
        <row r="346">
          <cell r="A346">
            <v>6200</v>
          </cell>
          <cell r="B346" t="str">
            <v>人件費計</v>
          </cell>
          <cell r="C346" t="str">
            <v>6200</v>
          </cell>
        </row>
        <row r="347">
          <cell r="A347">
            <v>6210</v>
          </cell>
          <cell r="B347" t="str">
            <v>広告宣伝費</v>
          </cell>
          <cell r="C347" t="str">
            <v>6210</v>
          </cell>
        </row>
        <row r="348">
          <cell r="A348">
            <v>6220</v>
          </cell>
          <cell r="B348" t="str">
            <v>ﾁﾗｼ費</v>
          </cell>
          <cell r="C348" t="str">
            <v>6220</v>
          </cell>
        </row>
        <row r="349">
          <cell r="A349">
            <v>6230</v>
          </cell>
          <cell r="B349" t="str">
            <v>催事費</v>
          </cell>
          <cell r="C349" t="str">
            <v>6230</v>
          </cell>
        </row>
        <row r="350">
          <cell r="A350">
            <v>6240</v>
          </cell>
          <cell r="B350" t="str">
            <v>装飾費</v>
          </cell>
          <cell r="C350" t="str">
            <v>6240</v>
          </cell>
        </row>
        <row r="351">
          <cell r="A351">
            <v>6250</v>
          </cell>
          <cell r="B351" t="str">
            <v>包装費</v>
          </cell>
          <cell r="C351" t="str">
            <v>6250</v>
          </cell>
        </row>
        <row r="352">
          <cell r="A352">
            <v>6251</v>
          </cell>
          <cell r="B352" t="str">
            <v>包装費-連結会社</v>
          </cell>
          <cell r="C352" t="str">
            <v>6251</v>
          </cell>
        </row>
        <row r="353">
          <cell r="A353">
            <v>6252</v>
          </cell>
          <cell r="B353" t="str">
            <v>包装費-非連子・関連会社</v>
          </cell>
          <cell r="C353" t="str">
            <v>6252</v>
          </cell>
        </row>
        <row r="354">
          <cell r="A354">
            <v>6253</v>
          </cell>
          <cell r="B354" t="str">
            <v>包装費-その他</v>
          </cell>
          <cell r="C354" t="str">
            <v>6253</v>
          </cell>
        </row>
        <row r="355">
          <cell r="A355">
            <v>6260</v>
          </cell>
          <cell r="B355" t="str">
            <v>販売用備品費</v>
          </cell>
          <cell r="C355" t="str">
            <v>6260</v>
          </cell>
        </row>
        <row r="356">
          <cell r="A356">
            <v>6270</v>
          </cell>
          <cell r="B356" t="str">
            <v>販売用備品賃借料</v>
          </cell>
          <cell r="C356" t="str">
            <v>6270</v>
          </cell>
        </row>
        <row r="357">
          <cell r="A357">
            <v>6280</v>
          </cell>
          <cell r="B357" t="str">
            <v>販売雑費</v>
          </cell>
          <cell r="C357" t="str">
            <v>6280</v>
          </cell>
        </row>
        <row r="358">
          <cell r="A358">
            <v>6281</v>
          </cell>
          <cell r="B358" t="str">
            <v>販売雑費-連結会社</v>
          </cell>
          <cell r="C358" t="str">
            <v>6281</v>
          </cell>
        </row>
        <row r="359">
          <cell r="A359">
            <v>6282</v>
          </cell>
          <cell r="B359" t="str">
            <v>販売雑費-非連子・関連会社</v>
          </cell>
          <cell r="C359" t="str">
            <v>6282</v>
          </cell>
        </row>
        <row r="360">
          <cell r="A360">
            <v>6283</v>
          </cell>
          <cell r="B360" t="str">
            <v>販売雑費-その他</v>
          </cell>
          <cell r="C360" t="str">
            <v>6283</v>
          </cell>
        </row>
        <row r="361">
          <cell r="A361">
            <v>6300</v>
          </cell>
          <cell r="B361" t="str">
            <v>販売促進費</v>
          </cell>
          <cell r="C361" t="str">
            <v>6300</v>
          </cell>
        </row>
        <row r="362">
          <cell r="A362">
            <v>6310</v>
          </cell>
          <cell r="B362" t="str">
            <v>水道光熱費</v>
          </cell>
          <cell r="C362" t="str">
            <v>6310</v>
          </cell>
        </row>
        <row r="363">
          <cell r="A363">
            <v>6320</v>
          </cell>
          <cell r="B363" t="str">
            <v>地代家賃</v>
          </cell>
          <cell r="C363" t="str">
            <v>6320</v>
          </cell>
        </row>
        <row r="364">
          <cell r="A364">
            <v>6321</v>
          </cell>
          <cell r="B364" t="str">
            <v>地代家賃-連結会社</v>
          </cell>
          <cell r="C364" t="str">
            <v>6321</v>
          </cell>
        </row>
        <row r="365">
          <cell r="A365">
            <v>6322</v>
          </cell>
          <cell r="B365" t="str">
            <v>地代家賃-非連子・関連会社</v>
          </cell>
          <cell r="C365" t="str">
            <v>6322</v>
          </cell>
        </row>
        <row r="366">
          <cell r="A366">
            <v>6323</v>
          </cell>
          <cell r="B366" t="str">
            <v>地代家賃-その他</v>
          </cell>
          <cell r="C366" t="str">
            <v>6323</v>
          </cell>
        </row>
        <row r="367">
          <cell r="A367">
            <v>6360</v>
          </cell>
          <cell r="B367" t="str">
            <v>ﾘ-ｽ料</v>
          </cell>
          <cell r="C367" t="str">
            <v>6360</v>
          </cell>
        </row>
        <row r="368">
          <cell r="A368">
            <v>6370</v>
          </cell>
          <cell r="B368" t="str">
            <v>店舗維持費</v>
          </cell>
          <cell r="C368" t="str">
            <v>6370</v>
          </cell>
        </row>
        <row r="369">
          <cell r="A369">
            <v>6371</v>
          </cell>
          <cell r="B369" t="str">
            <v>店舗維持費-連結会社</v>
          </cell>
          <cell r="C369" t="str">
            <v>6371</v>
          </cell>
        </row>
        <row r="370">
          <cell r="A370">
            <v>6372</v>
          </cell>
          <cell r="B370" t="str">
            <v>店舗維持費-非連子・関連会社</v>
          </cell>
          <cell r="C370" t="str">
            <v>6372</v>
          </cell>
        </row>
        <row r="371">
          <cell r="A371">
            <v>6373</v>
          </cell>
          <cell r="B371" t="str">
            <v>店舗維持費-その他</v>
          </cell>
          <cell r="C371" t="str">
            <v>6373</v>
          </cell>
        </row>
        <row r="372">
          <cell r="A372">
            <v>6380</v>
          </cell>
          <cell r="B372" t="str">
            <v>修繕費</v>
          </cell>
          <cell r="C372" t="str">
            <v>6380</v>
          </cell>
        </row>
        <row r="373">
          <cell r="A373">
            <v>6381</v>
          </cell>
          <cell r="B373" t="str">
            <v>修繕費-連結会社</v>
          </cell>
          <cell r="C373" t="str">
            <v>6381</v>
          </cell>
        </row>
        <row r="374">
          <cell r="A374">
            <v>6382</v>
          </cell>
          <cell r="B374" t="str">
            <v>修繕費-非連子・関連会社</v>
          </cell>
          <cell r="C374" t="str">
            <v>6382</v>
          </cell>
        </row>
        <row r="375">
          <cell r="A375">
            <v>6383</v>
          </cell>
          <cell r="B375" t="str">
            <v>修繕費-その他</v>
          </cell>
          <cell r="C375" t="str">
            <v>6383</v>
          </cell>
        </row>
        <row r="376">
          <cell r="A376">
            <v>6390</v>
          </cell>
          <cell r="B376" t="str">
            <v>消耗備品費</v>
          </cell>
          <cell r="C376" t="str">
            <v>6390</v>
          </cell>
        </row>
        <row r="377">
          <cell r="A377">
            <v>6391</v>
          </cell>
          <cell r="B377" t="str">
            <v>消耗備品費-連結会社</v>
          </cell>
          <cell r="C377" t="str">
            <v>6391</v>
          </cell>
        </row>
        <row r="378">
          <cell r="A378">
            <v>6392</v>
          </cell>
          <cell r="B378" t="str">
            <v>消耗備品費-非連子・関連会社</v>
          </cell>
          <cell r="C378" t="str">
            <v>6392</v>
          </cell>
        </row>
        <row r="379">
          <cell r="A379">
            <v>6393</v>
          </cell>
          <cell r="B379" t="str">
            <v>消耗備品費-その他</v>
          </cell>
          <cell r="C379" t="str">
            <v>6393</v>
          </cell>
        </row>
        <row r="380">
          <cell r="A380">
            <v>6400</v>
          </cell>
          <cell r="B380" t="str">
            <v>建物等減価償却費</v>
          </cell>
          <cell r="C380" t="str">
            <v>6400</v>
          </cell>
        </row>
        <row r="381">
          <cell r="A381">
            <v>6410</v>
          </cell>
          <cell r="B381" t="str">
            <v>車両・器具減価償却費</v>
          </cell>
          <cell r="C381" t="str">
            <v>6410</v>
          </cell>
        </row>
        <row r="382">
          <cell r="A382">
            <v>6420</v>
          </cell>
          <cell r="B382" t="str">
            <v>共通内装工事負担金受入(▲)</v>
          </cell>
          <cell r="C382" t="str">
            <v>6420</v>
          </cell>
        </row>
        <row r="383">
          <cell r="A383">
            <v>6430</v>
          </cell>
          <cell r="B383" t="str">
            <v>設備償却費</v>
          </cell>
          <cell r="C383" t="str">
            <v>6430</v>
          </cell>
        </row>
        <row r="384">
          <cell r="A384">
            <v>6500</v>
          </cell>
          <cell r="B384" t="str">
            <v>設備費計</v>
          </cell>
          <cell r="C384" t="str">
            <v>6500</v>
          </cell>
        </row>
        <row r="385">
          <cell r="A385">
            <v>6510</v>
          </cell>
          <cell r="B385" t="str">
            <v>旅費交通費</v>
          </cell>
          <cell r="C385" t="str">
            <v>6510</v>
          </cell>
        </row>
        <row r="386">
          <cell r="A386">
            <v>6511</v>
          </cell>
          <cell r="B386" t="str">
            <v>旅費交通費-連結会社</v>
          </cell>
          <cell r="C386" t="str">
            <v>6511</v>
          </cell>
        </row>
        <row r="387">
          <cell r="A387">
            <v>6512</v>
          </cell>
          <cell r="B387" t="str">
            <v>旅費交通費-非連子・関連会社</v>
          </cell>
          <cell r="C387" t="str">
            <v>6512</v>
          </cell>
        </row>
        <row r="388">
          <cell r="A388">
            <v>6513</v>
          </cell>
          <cell r="B388" t="str">
            <v>旅費交通費-その他</v>
          </cell>
          <cell r="C388" t="str">
            <v>6513</v>
          </cell>
        </row>
        <row r="389">
          <cell r="A389">
            <v>6520</v>
          </cell>
          <cell r="B389" t="str">
            <v>接待交際費</v>
          </cell>
          <cell r="C389" t="str">
            <v>6520</v>
          </cell>
        </row>
        <row r="390">
          <cell r="A390">
            <v>6530</v>
          </cell>
          <cell r="B390" t="str">
            <v>通信費</v>
          </cell>
          <cell r="C390" t="str">
            <v>6530</v>
          </cell>
        </row>
        <row r="391">
          <cell r="A391">
            <v>6540</v>
          </cell>
          <cell r="B391" t="str">
            <v>公租公課</v>
          </cell>
          <cell r="C391" t="str">
            <v>6540</v>
          </cell>
        </row>
        <row r="392">
          <cell r="A392">
            <v>6560</v>
          </cell>
          <cell r="B392" t="str">
            <v>調査研究費</v>
          </cell>
          <cell r="C392" t="str">
            <v>6560</v>
          </cell>
        </row>
        <row r="393">
          <cell r="A393">
            <v>6570</v>
          </cell>
          <cell r="B393" t="str">
            <v>事務用消耗品費</v>
          </cell>
          <cell r="C393" t="str">
            <v>6570</v>
          </cell>
        </row>
        <row r="394">
          <cell r="A394">
            <v>6571</v>
          </cell>
          <cell r="B394" t="str">
            <v>事務用消耗品費-連結会社</v>
          </cell>
          <cell r="C394" t="str">
            <v>6571</v>
          </cell>
        </row>
        <row r="395">
          <cell r="A395">
            <v>6572</v>
          </cell>
          <cell r="B395" t="str">
            <v>事務用消耗品費-非連子・関連会社</v>
          </cell>
          <cell r="C395" t="str">
            <v>6572</v>
          </cell>
        </row>
        <row r="396">
          <cell r="A396">
            <v>6573</v>
          </cell>
          <cell r="B396" t="str">
            <v>事務用消耗品費-その他</v>
          </cell>
          <cell r="C396" t="str">
            <v>6573</v>
          </cell>
        </row>
        <row r="397">
          <cell r="A397">
            <v>6580</v>
          </cell>
          <cell r="B397" t="str">
            <v>損害保険料</v>
          </cell>
          <cell r="C397" t="str">
            <v>6580</v>
          </cell>
        </row>
        <row r="398">
          <cell r="A398">
            <v>6590</v>
          </cell>
          <cell r="B398" t="str">
            <v>寄付金</v>
          </cell>
          <cell r="C398" t="str">
            <v>6590</v>
          </cell>
        </row>
        <row r="399">
          <cell r="A399">
            <v>6600</v>
          </cell>
          <cell r="B399" t="str">
            <v>報酬及び料金</v>
          </cell>
          <cell r="C399" t="str">
            <v>6600</v>
          </cell>
        </row>
        <row r="400">
          <cell r="A400">
            <v>6610</v>
          </cell>
          <cell r="B400" t="str">
            <v>内部経費負担金</v>
          </cell>
          <cell r="C400" t="str">
            <v>6610</v>
          </cell>
        </row>
        <row r="401">
          <cell r="A401">
            <v>6611</v>
          </cell>
          <cell r="B401" t="str">
            <v>本社経費負担金</v>
          </cell>
          <cell r="C401" t="str">
            <v>6611</v>
          </cell>
        </row>
        <row r="402">
          <cell r="A402">
            <v>6612</v>
          </cell>
          <cell r="B402" t="str">
            <v>本社経費負担金受入(▲)</v>
          </cell>
          <cell r="C402" t="str">
            <v>6612</v>
          </cell>
        </row>
        <row r="403">
          <cell r="A403">
            <v>6613</v>
          </cell>
          <cell r="B403" t="str">
            <v>事業部経費負担金</v>
          </cell>
          <cell r="C403" t="str">
            <v>6613</v>
          </cell>
        </row>
        <row r="404">
          <cell r="A404">
            <v>6614</v>
          </cell>
          <cell r="B404" t="str">
            <v>事業部経費負担金受入(▲)</v>
          </cell>
          <cell r="C404" t="str">
            <v>6614</v>
          </cell>
        </row>
        <row r="405">
          <cell r="A405">
            <v>6615</v>
          </cell>
          <cell r="B405" t="str">
            <v>商品部経費負担金</v>
          </cell>
          <cell r="C405" t="str">
            <v>6615</v>
          </cell>
        </row>
        <row r="406">
          <cell r="A406">
            <v>6616</v>
          </cell>
          <cell r="B406" t="str">
            <v>商品部経費負担金受入(▲)</v>
          </cell>
          <cell r="C406" t="str">
            <v>6616</v>
          </cell>
        </row>
        <row r="407">
          <cell r="A407">
            <v>6630</v>
          </cell>
          <cell r="B407" t="str">
            <v>経費負担金</v>
          </cell>
          <cell r="C407" t="str">
            <v>6630</v>
          </cell>
        </row>
        <row r="408">
          <cell r="A408">
            <v>6631</v>
          </cell>
          <cell r="B408" t="str">
            <v>経費負担金-連結会社</v>
          </cell>
          <cell r="C408" t="str">
            <v>6631</v>
          </cell>
        </row>
        <row r="409">
          <cell r="A409">
            <v>6632</v>
          </cell>
          <cell r="B409" t="str">
            <v>経費負担金-費連子・関連会社</v>
          </cell>
          <cell r="C409" t="str">
            <v>6632</v>
          </cell>
        </row>
        <row r="410">
          <cell r="A410">
            <v>6633</v>
          </cell>
          <cell r="B410" t="str">
            <v>経費負担金-その他</v>
          </cell>
          <cell r="C410" t="str">
            <v>6633</v>
          </cell>
        </row>
        <row r="411">
          <cell r="A411">
            <v>6640</v>
          </cell>
          <cell r="B411" t="str">
            <v>経費負担金受入(▲)</v>
          </cell>
          <cell r="C411" t="str">
            <v>6640</v>
          </cell>
        </row>
        <row r="412">
          <cell r="A412">
            <v>6641</v>
          </cell>
          <cell r="B412" t="str">
            <v>経負担受入-連結会社(▲)</v>
          </cell>
          <cell r="C412" t="str">
            <v>6641</v>
          </cell>
        </row>
        <row r="413">
          <cell r="A413">
            <v>6642</v>
          </cell>
          <cell r="B413" t="str">
            <v>経負担受入-非連子・関連(▲)</v>
          </cell>
          <cell r="C413" t="str">
            <v>6642</v>
          </cell>
        </row>
        <row r="414">
          <cell r="A414">
            <v>6643</v>
          </cell>
          <cell r="B414" t="str">
            <v>経負担受入-その他(▲)</v>
          </cell>
          <cell r="C414" t="str">
            <v>6643</v>
          </cell>
        </row>
        <row r="415">
          <cell r="A415">
            <v>6670</v>
          </cell>
          <cell r="B415" t="str">
            <v>販売支払手数料</v>
          </cell>
          <cell r="C415" t="str">
            <v>6670</v>
          </cell>
        </row>
        <row r="416">
          <cell r="A416">
            <v>6671</v>
          </cell>
          <cell r="B416" t="str">
            <v>販売支払手数料-連結会社</v>
          </cell>
          <cell r="C416" t="str">
            <v>6671</v>
          </cell>
        </row>
        <row r="417">
          <cell r="A417">
            <v>6672</v>
          </cell>
          <cell r="B417" t="str">
            <v>販売支払手数料-非連子・関連</v>
          </cell>
          <cell r="C417" t="str">
            <v>6672</v>
          </cell>
        </row>
        <row r="418">
          <cell r="A418">
            <v>6673</v>
          </cell>
          <cell r="B418" t="str">
            <v>販売支払手数料-その他</v>
          </cell>
          <cell r="C418" t="str">
            <v>6673</v>
          </cell>
        </row>
        <row r="419">
          <cell r="A419">
            <v>6690</v>
          </cell>
          <cell r="B419" t="str">
            <v>貸倒損失</v>
          </cell>
          <cell r="C419" t="str">
            <v>6690</v>
          </cell>
        </row>
        <row r="420">
          <cell r="A420">
            <v>6700</v>
          </cell>
          <cell r="B420" t="str">
            <v>貸倒引当金繰入額</v>
          </cell>
          <cell r="C420" t="str">
            <v>6700</v>
          </cell>
        </row>
        <row r="421">
          <cell r="A421">
            <v>6710</v>
          </cell>
          <cell r="B421" t="str">
            <v>雑費</v>
          </cell>
          <cell r="C421" t="str">
            <v>6710</v>
          </cell>
        </row>
        <row r="422">
          <cell r="A422">
            <v>6760</v>
          </cell>
          <cell r="B422" t="str">
            <v>ソフトウエア等償却費</v>
          </cell>
          <cell r="C422" t="str">
            <v>6760</v>
          </cell>
        </row>
        <row r="423">
          <cell r="A423">
            <v>6800</v>
          </cell>
          <cell r="B423" t="str">
            <v>一般費計</v>
          </cell>
          <cell r="C423" t="str">
            <v>6800</v>
          </cell>
        </row>
        <row r="424">
          <cell r="A424">
            <v>6900</v>
          </cell>
          <cell r="B424" t="str">
            <v>販売費及び一般管理費</v>
          </cell>
          <cell r="C424" t="str">
            <v>6900</v>
          </cell>
        </row>
        <row r="425">
          <cell r="A425">
            <v>6990</v>
          </cell>
          <cell r="B425" t="str">
            <v>営業利益</v>
          </cell>
          <cell r="C425" t="str">
            <v>6990</v>
          </cell>
        </row>
        <row r="426">
          <cell r="A426">
            <v>7010</v>
          </cell>
          <cell r="B426" t="str">
            <v>受取利息</v>
          </cell>
          <cell r="C426" t="str">
            <v>7010</v>
          </cell>
        </row>
        <row r="427">
          <cell r="A427">
            <v>7011</v>
          </cell>
          <cell r="B427" t="str">
            <v>受取利息－連結会社</v>
          </cell>
          <cell r="C427" t="str">
            <v>7011</v>
          </cell>
        </row>
        <row r="428">
          <cell r="A428">
            <v>7012</v>
          </cell>
          <cell r="B428" t="str">
            <v>受取利息－非連子・関連会社</v>
          </cell>
          <cell r="C428" t="str">
            <v>7012</v>
          </cell>
        </row>
        <row r="429">
          <cell r="A429">
            <v>7013</v>
          </cell>
          <cell r="B429" t="str">
            <v>受取利息－その他</v>
          </cell>
          <cell r="C429" t="str">
            <v>7013</v>
          </cell>
        </row>
        <row r="430">
          <cell r="A430">
            <v>7030</v>
          </cell>
          <cell r="B430" t="str">
            <v>受取配当金</v>
          </cell>
          <cell r="C430" t="str">
            <v>7030</v>
          </cell>
        </row>
        <row r="431">
          <cell r="A431">
            <v>7031</v>
          </cell>
          <cell r="B431" t="str">
            <v>受取配当－連結会社</v>
          </cell>
          <cell r="C431" t="str">
            <v>7031</v>
          </cell>
        </row>
        <row r="432">
          <cell r="A432">
            <v>7032</v>
          </cell>
          <cell r="B432" t="str">
            <v>受取配当－非連子・関連会社</v>
          </cell>
          <cell r="C432" t="str">
            <v>7032</v>
          </cell>
        </row>
        <row r="433">
          <cell r="A433">
            <v>7033</v>
          </cell>
          <cell r="B433" t="str">
            <v>受取配当－その他</v>
          </cell>
          <cell r="C433" t="str">
            <v>7033</v>
          </cell>
        </row>
        <row r="434">
          <cell r="A434">
            <v>7050</v>
          </cell>
          <cell r="B434" t="str">
            <v>有価証券売却益</v>
          </cell>
          <cell r="C434" t="str">
            <v>7050</v>
          </cell>
        </row>
        <row r="435">
          <cell r="A435">
            <v>7060</v>
          </cell>
          <cell r="B435" t="str">
            <v>為替差益</v>
          </cell>
          <cell r="C435" t="str">
            <v>7060</v>
          </cell>
        </row>
        <row r="436">
          <cell r="A436">
            <v>7070</v>
          </cell>
          <cell r="B436" t="str">
            <v>雑収入</v>
          </cell>
          <cell r="C436" t="str">
            <v>7070</v>
          </cell>
        </row>
        <row r="437">
          <cell r="A437">
            <v>7071</v>
          </cell>
          <cell r="B437" t="str">
            <v>雑収入-連結会社</v>
          </cell>
          <cell r="C437" t="str">
            <v>7071</v>
          </cell>
        </row>
        <row r="438">
          <cell r="A438">
            <v>7072</v>
          </cell>
          <cell r="B438" t="str">
            <v>雑収入-非連子・関連会社</v>
          </cell>
          <cell r="C438" t="str">
            <v>7072</v>
          </cell>
        </row>
        <row r="439">
          <cell r="A439">
            <v>7073</v>
          </cell>
          <cell r="B439" t="str">
            <v>雑収入-その他</v>
          </cell>
          <cell r="C439" t="str">
            <v>7073</v>
          </cell>
        </row>
        <row r="440">
          <cell r="A440">
            <v>7080</v>
          </cell>
          <cell r="B440" t="str">
            <v>有価証券利息</v>
          </cell>
          <cell r="C440" t="str">
            <v>7080</v>
          </cell>
        </row>
        <row r="441">
          <cell r="A441">
            <v>7090</v>
          </cell>
          <cell r="B441" t="str">
            <v>不突合調整勘定　営業外</v>
          </cell>
          <cell r="C441" t="str">
            <v>7090</v>
          </cell>
        </row>
        <row r="442">
          <cell r="A442">
            <v>7100</v>
          </cell>
          <cell r="B442" t="str">
            <v>営業外収益計</v>
          </cell>
          <cell r="C442" t="str">
            <v>7100</v>
          </cell>
        </row>
        <row r="443">
          <cell r="A443">
            <v>7210</v>
          </cell>
          <cell r="B443" t="str">
            <v>支払利息</v>
          </cell>
          <cell r="C443" t="str">
            <v>7210</v>
          </cell>
        </row>
        <row r="444">
          <cell r="A444">
            <v>7211</v>
          </cell>
          <cell r="B444" t="str">
            <v>支払利息-連結会社</v>
          </cell>
          <cell r="C444" t="str">
            <v>7211</v>
          </cell>
        </row>
        <row r="445">
          <cell r="A445">
            <v>7212</v>
          </cell>
          <cell r="B445" t="str">
            <v>支払利息-非連子・関連会社</v>
          </cell>
          <cell r="C445" t="str">
            <v>7212</v>
          </cell>
        </row>
        <row r="446">
          <cell r="A446">
            <v>7213</v>
          </cell>
          <cell r="B446" t="str">
            <v>支払利息-その他</v>
          </cell>
          <cell r="C446" t="str">
            <v>7213</v>
          </cell>
        </row>
        <row r="447">
          <cell r="A447">
            <v>7230</v>
          </cell>
          <cell r="B447" t="str">
            <v>有価証券売却損</v>
          </cell>
          <cell r="C447" t="str">
            <v>7230</v>
          </cell>
        </row>
        <row r="448">
          <cell r="A448">
            <v>7250</v>
          </cell>
          <cell r="B448" t="str">
            <v>貸倒損失</v>
          </cell>
          <cell r="C448" t="str">
            <v>7250</v>
          </cell>
        </row>
        <row r="449">
          <cell r="A449">
            <v>7260</v>
          </cell>
          <cell r="B449" t="str">
            <v>貸倒引当金繰入額</v>
          </cell>
          <cell r="C449" t="str">
            <v>7260</v>
          </cell>
        </row>
        <row r="450">
          <cell r="A450">
            <v>7270</v>
          </cell>
          <cell r="B450" t="str">
            <v>繰延資産償却費</v>
          </cell>
          <cell r="C450" t="str">
            <v>7270</v>
          </cell>
        </row>
        <row r="451">
          <cell r="A451">
            <v>7275</v>
          </cell>
          <cell r="B451" t="str">
            <v>為替差損</v>
          </cell>
          <cell r="C451" t="str">
            <v>7275</v>
          </cell>
        </row>
        <row r="452">
          <cell r="A452">
            <v>7280</v>
          </cell>
          <cell r="B452" t="str">
            <v>雑損失</v>
          </cell>
          <cell r="C452" t="str">
            <v>7280</v>
          </cell>
        </row>
        <row r="453">
          <cell r="A453">
            <v>7281</v>
          </cell>
          <cell r="B453" t="str">
            <v>雑損失-連結会社</v>
          </cell>
          <cell r="C453" t="str">
            <v>7281</v>
          </cell>
        </row>
        <row r="454">
          <cell r="A454">
            <v>7282</v>
          </cell>
          <cell r="B454" t="str">
            <v>雑損失-非連子</v>
          </cell>
          <cell r="C454" t="str">
            <v>7282</v>
          </cell>
        </row>
        <row r="455">
          <cell r="A455">
            <v>7283</v>
          </cell>
          <cell r="B455" t="str">
            <v>雑損失-関連会社</v>
          </cell>
          <cell r="C455" t="str">
            <v>7283</v>
          </cell>
        </row>
        <row r="456">
          <cell r="A456">
            <v>7285</v>
          </cell>
          <cell r="B456" t="str">
            <v>社債利息</v>
          </cell>
          <cell r="C456" t="str">
            <v>7285</v>
          </cell>
        </row>
        <row r="457">
          <cell r="A457">
            <v>7290</v>
          </cell>
          <cell r="B457" t="str">
            <v>不突合調整勘定　営業外</v>
          </cell>
          <cell r="C457" t="str">
            <v>7290</v>
          </cell>
        </row>
        <row r="458">
          <cell r="A458">
            <v>7300</v>
          </cell>
          <cell r="B458" t="str">
            <v>営業外費用計</v>
          </cell>
          <cell r="C458" t="str">
            <v>7300</v>
          </cell>
        </row>
        <row r="459">
          <cell r="A459">
            <v>7400</v>
          </cell>
          <cell r="B459" t="str">
            <v>経常利益</v>
          </cell>
          <cell r="C459" t="str">
            <v>7400</v>
          </cell>
        </row>
        <row r="460">
          <cell r="A460">
            <v>8020</v>
          </cell>
          <cell r="B460" t="str">
            <v>固定資産売却益</v>
          </cell>
          <cell r="C460" t="str">
            <v>8020</v>
          </cell>
        </row>
        <row r="461">
          <cell r="A461">
            <v>8030</v>
          </cell>
          <cell r="B461" t="str">
            <v>その他特別利益</v>
          </cell>
          <cell r="C461" t="str">
            <v>8030</v>
          </cell>
        </row>
        <row r="462">
          <cell r="A462">
            <v>8031</v>
          </cell>
          <cell r="B462" t="str">
            <v>転籍者退職金受入-連結会社</v>
          </cell>
          <cell r="C462" t="str">
            <v>8031</v>
          </cell>
        </row>
        <row r="463">
          <cell r="A463">
            <v>8032</v>
          </cell>
          <cell r="B463" t="str">
            <v>転籍者退職金受入-非連子・関</v>
          </cell>
          <cell r="C463" t="str">
            <v>8032</v>
          </cell>
        </row>
        <row r="464">
          <cell r="A464">
            <v>8033</v>
          </cell>
          <cell r="B464" t="str">
            <v>転籍者退職金受入-その他</v>
          </cell>
          <cell r="C464" t="str">
            <v>8033</v>
          </cell>
        </row>
        <row r="465">
          <cell r="A465">
            <v>8034</v>
          </cell>
          <cell r="B465" t="str">
            <v>特別利益(その他)-連結会社</v>
          </cell>
          <cell r="C465" t="str">
            <v>8034</v>
          </cell>
        </row>
        <row r="466">
          <cell r="A466">
            <v>8035</v>
          </cell>
          <cell r="B466" t="str">
            <v>特別利益(その他)-非連子・関</v>
          </cell>
          <cell r="C466" t="str">
            <v>8035</v>
          </cell>
        </row>
        <row r="467">
          <cell r="A467">
            <v>8036</v>
          </cell>
          <cell r="B467" t="str">
            <v>特別利益(その他)-その他</v>
          </cell>
          <cell r="C467" t="str">
            <v>8036</v>
          </cell>
        </row>
        <row r="468">
          <cell r="A468">
            <v>8040</v>
          </cell>
          <cell r="B468" t="str">
            <v>投資有価証券売却益</v>
          </cell>
          <cell r="C468" t="str">
            <v>8040</v>
          </cell>
        </row>
        <row r="469">
          <cell r="A469">
            <v>8050</v>
          </cell>
          <cell r="B469" t="str">
            <v>関係会社株式売却益</v>
          </cell>
          <cell r="C469" t="str">
            <v>8050</v>
          </cell>
        </row>
        <row r="470">
          <cell r="A470">
            <v>8060</v>
          </cell>
          <cell r="B470" t="str">
            <v>前期損益修正益</v>
          </cell>
          <cell r="C470" t="str">
            <v>8060</v>
          </cell>
        </row>
        <row r="471">
          <cell r="A471">
            <v>8100</v>
          </cell>
          <cell r="B471" t="str">
            <v>特別利益計</v>
          </cell>
          <cell r="C471" t="str">
            <v>8100</v>
          </cell>
        </row>
        <row r="472">
          <cell r="A472">
            <v>8220</v>
          </cell>
          <cell r="B472" t="str">
            <v>固定資産除却損</v>
          </cell>
          <cell r="C472" t="str">
            <v>8220</v>
          </cell>
        </row>
        <row r="473">
          <cell r="A473">
            <v>8221</v>
          </cell>
          <cell r="B473" t="str">
            <v>固定資産売却損</v>
          </cell>
          <cell r="C473" t="str">
            <v>8221</v>
          </cell>
        </row>
        <row r="474">
          <cell r="A474">
            <v>8230</v>
          </cell>
          <cell r="B474" t="str">
            <v>その他特別損失</v>
          </cell>
          <cell r="C474" t="str">
            <v>8230</v>
          </cell>
        </row>
        <row r="475">
          <cell r="A475">
            <v>8231</v>
          </cell>
          <cell r="B475" t="str">
            <v>転籍者退職金-連結会社</v>
          </cell>
          <cell r="C475" t="str">
            <v>8231</v>
          </cell>
        </row>
        <row r="476">
          <cell r="A476">
            <v>8232</v>
          </cell>
          <cell r="B476" t="str">
            <v>転籍者退職金-非連子・関連会</v>
          </cell>
          <cell r="C476" t="str">
            <v>8232</v>
          </cell>
        </row>
        <row r="477">
          <cell r="A477">
            <v>8233</v>
          </cell>
          <cell r="B477" t="str">
            <v>転籍者退職金-その他</v>
          </cell>
          <cell r="C477" t="str">
            <v>8233</v>
          </cell>
        </row>
        <row r="478">
          <cell r="A478">
            <v>8234</v>
          </cell>
          <cell r="B478" t="str">
            <v>特別損失(その他)-連結会社</v>
          </cell>
          <cell r="C478" t="str">
            <v>8234</v>
          </cell>
        </row>
        <row r="479">
          <cell r="A479">
            <v>8235</v>
          </cell>
          <cell r="B479" t="str">
            <v>特別損失(その他)-非連子・関</v>
          </cell>
          <cell r="C479" t="str">
            <v>8235</v>
          </cell>
        </row>
        <row r="480">
          <cell r="A480">
            <v>8236</v>
          </cell>
          <cell r="B480" t="str">
            <v>特別損失(その他)-その他</v>
          </cell>
          <cell r="C480" t="str">
            <v>8236</v>
          </cell>
        </row>
        <row r="481">
          <cell r="A481">
            <v>8240</v>
          </cell>
          <cell r="B481" t="str">
            <v>投資有価証券売却損</v>
          </cell>
          <cell r="C481" t="str">
            <v>8240</v>
          </cell>
        </row>
        <row r="482">
          <cell r="A482">
            <v>8250</v>
          </cell>
          <cell r="B482" t="str">
            <v>投資有価証券売却損</v>
          </cell>
          <cell r="C482" t="str">
            <v>8250</v>
          </cell>
        </row>
        <row r="483">
          <cell r="A483">
            <v>8260</v>
          </cell>
          <cell r="B483" t="str">
            <v>前期損益修正損</v>
          </cell>
          <cell r="C483" t="str">
            <v>8260</v>
          </cell>
        </row>
        <row r="484">
          <cell r="A484">
            <v>8300</v>
          </cell>
          <cell r="B484" t="str">
            <v>特別損失計</v>
          </cell>
          <cell r="C484" t="str">
            <v>8300</v>
          </cell>
        </row>
        <row r="485">
          <cell r="A485">
            <v>8400</v>
          </cell>
          <cell r="B485" t="str">
            <v>税金等調整前当期純損益</v>
          </cell>
          <cell r="C485" t="str">
            <v>8400</v>
          </cell>
        </row>
        <row r="486">
          <cell r="A486">
            <v>8500</v>
          </cell>
          <cell r="B486" t="str">
            <v>法人税及び住民税</v>
          </cell>
          <cell r="C486" t="str">
            <v>8500</v>
          </cell>
        </row>
        <row r="487">
          <cell r="A487">
            <v>8510</v>
          </cell>
          <cell r="B487" t="str">
            <v>法人税等追徴額</v>
          </cell>
          <cell r="C487" t="str">
            <v>8510</v>
          </cell>
        </row>
        <row r="488">
          <cell r="A488">
            <v>8520</v>
          </cell>
          <cell r="B488" t="str">
            <v>法人税等還付額</v>
          </cell>
          <cell r="C488" t="str">
            <v>8520</v>
          </cell>
        </row>
        <row r="489">
          <cell r="A489">
            <v>8550</v>
          </cell>
          <cell r="B489" t="str">
            <v>法人税等調整額</v>
          </cell>
          <cell r="C489" t="str">
            <v>8550</v>
          </cell>
        </row>
        <row r="490">
          <cell r="A490">
            <v>8600</v>
          </cell>
          <cell r="B490" t="str">
            <v>少数株主持分損益</v>
          </cell>
          <cell r="C490" t="str">
            <v>8600</v>
          </cell>
        </row>
        <row r="491">
          <cell r="A491">
            <v>8610</v>
          </cell>
          <cell r="B491" t="str">
            <v>連結調整勘定償却額</v>
          </cell>
          <cell r="C491" t="str">
            <v>8610</v>
          </cell>
        </row>
        <row r="492">
          <cell r="A492">
            <v>8620</v>
          </cell>
          <cell r="B492" t="str">
            <v>持分法による投資損益</v>
          </cell>
          <cell r="C492" t="str">
            <v>8620</v>
          </cell>
        </row>
        <row r="493">
          <cell r="A493">
            <v>8700</v>
          </cell>
          <cell r="B493" t="str">
            <v>当期純利益</v>
          </cell>
          <cell r="C493" t="str">
            <v>8700</v>
          </cell>
        </row>
        <row r="494">
          <cell r="A494">
            <v>8800</v>
          </cell>
          <cell r="B494" t="str">
            <v>剰余金期首残高</v>
          </cell>
          <cell r="C494" t="str">
            <v>8800</v>
          </cell>
        </row>
        <row r="495">
          <cell r="A495">
            <v>8810</v>
          </cell>
          <cell r="B495" t="str">
            <v>剰余金増加高</v>
          </cell>
          <cell r="C495" t="str">
            <v>8810</v>
          </cell>
        </row>
        <row r="496">
          <cell r="A496">
            <v>8820</v>
          </cell>
          <cell r="B496" t="str">
            <v>他剰余増－その他</v>
          </cell>
          <cell r="C496" t="str">
            <v>8820</v>
          </cell>
        </row>
        <row r="497">
          <cell r="A497">
            <v>8830</v>
          </cell>
          <cell r="B497" t="str">
            <v>その他の剰余金減少高</v>
          </cell>
          <cell r="C497" t="str">
            <v>8830</v>
          </cell>
        </row>
        <row r="498">
          <cell r="A498">
            <v>8840</v>
          </cell>
          <cell r="B498" t="str">
            <v>他剰余減－現金配当</v>
          </cell>
          <cell r="C498" t="str">
            <v>8840</v>
          </cell>
        </row>
        <row r="499">
          <cell r="A499">
            <v>8850</v>
          </cell>
          <cell r="B499" t="str">
            <v>他剰余減－株式配当</v>
          </cell>
          <cell r="C499" t="str">
            <v>8850</v>
          </cell>
        </row>
        <row r="500">
          <cell r="A500">
            <v>8860</v>
          </cell>
          <cell r="B500" t="str">
            <v>他剰余減－利益準備金繰入</v>
          </cell>
          <cell r="C500" t="str">
            <v>8860</v>
          </cell>
        </row>
        <row r="501">
          <cell r="A501">
            <v>8870</v>
          </cell>
          <cell r="B501" t="str">
            <v>他剰余減－役員賞与</v>
          </cell>
          <cell r="C501" t="str">
            <v>8870</v>
          </cell>
        </row>
        <row r="502">
          <cell r="A502">
            <v>8880</v>
          </cell>
          <cell r="B502" t="str">
            <v>他剰余減－連結除外</v>
          </cell>
          <cell r="C502" t="str">
            <v>8880</v>
          </cell>
        </row>
        <row r="503">
          <cell r="A503">
            <v>8890</v>
          </cell>
          <cell r="B503" t="str">
            <v>他剰余減－その他</v>
          </cell>
          <cell r="C503" t="str">
            <v>8890</v>
          </cell>
        </row>
        <row r="504">
          <cell r="A504">
            <v>8900</v>
          </cell>
          <cell r="B504" t="str">
            <v>為替換算調整勘定（ＳＳ）</v>
          </cell>
          <cell r="C504" t="str">
            <v>8900</v>
          </cell>
        </row>
        <row r="505">
          <cell r="A505">
            <v>8910</v>
          </cell>
          <cell r="B505" t="str">
            <v>その他の剰余金期末残高</v>
          </cell>
          <cell r="C505" t="str">
            <v>8910</v>
          </cell>
        </row>
        <row r="506">
          <cell r="A506">
            <v>9000</v>
          </cell>
          <cell r="B506" t="str">
            <v>読込先　未実現（棚卸）</v>
          </cell>
          <cell r="C506" t="str">
            <v>9000</v>
          </cell>
        </row>
        <row r="507">
          <cell r="A507">
            <v>9010</v>
          </cell>
          <cell r="B507" t="str">
            <v>読込先　未実現（土地）</v>
          </cell>
          <cell r="C507" t="str">
            <v>9010</v>
          </cell>
        </row>
        <row r="508">
          <cell r="A508">
            <v>9020</v>
          </cell>
          <cell r="B508" t="str">
            <v>換算資本金</v>
          </cell>
          <cell r="C508" t="str">
            <v>9020</v>
          </cell>
        </row>
        <row r="509">
          <cell r="A509">
            <v>9030</v>
          </cell>
          <cell r="B509" t="str">
            <v>換算資本準備金</v>
          </cell>
          <cell r="C509" t="str">
            <v>9030</v>
          </cell>
        </row>
        <row r="510">
          <cell r="A510">
            <v>9040</v>
          </cell>
          <cell r="B510" t="str">
            <v>換算利益準備金</v>
          </cell>
          <cell r="C510" t="str">
            <v>9040</v>
          </cell>
        </row>
        <row r="511">
          <cell r="A511">
            <v>9050</v>
          </cell>
          <cell r="B511" t="str">
            <v>換算投資有価証券</v>
          </cell>
          <cell r="C511" t="str">
            <v>9050</v>
          </cell>
        </row>
        <row r="512">
          <cell r="A512">
            <v>9060</v>
          </cell>
          <cell r="B512" t="str">
            <v>換算長期貸付金</v>
          </cell>
          <cell r="C512" t="str">
            <v>9060</v>
          </cell>
        </row>
        <row r="513">
          <cell r="A513">
            <v>9070</v>
          </cell>
          <cell r="B513" t="str">
            <v>換算出資金</v>
          </cell>
          <cell r="C513" t="str">
            <v>9070</v>
          </cell>
        </row>
        <row r="514">
          <cell r="A514">
            <v>9080</v>
          </cell>
          <cell r="B514" t="str">
            <v>換算投資その他の資産</v>
          </cell>
          <cell r="C514" t="str">
            <v>9080</v>
          </cell>
        </row>
        <row r="515">
          <cell r="A515">
            <v>9090</v>
          </cell>
          <cell r="B515" t="str">
            <v>換算長期借入金</v>
          </cell>
          <cell r="C515" t="str">
            <v>9090</v>
          </cell>
        </row>
        <row r="516">
          <cell r="A516">
            <v>9100</v>
          </cell>
          <cell r="B516" t="str">
            <v>転記先　資本金</v>
          </cell>
          <cell r="C516" t="str">
            <v>9100</v>
          </cell>
        </row>
        <row r="517">
          <cell r="A517">
            <v>9110</v>
          </cell>
          <cell r="B517" t="str">
            <v>転記先　資本剰余金</v>
          </cell>
          <cell r="C517" t="str">
            <v>9110</v>
          </cell>
        </row>
        <row r="518">
          <cell r="A518">
            <v>9120</v>
          </cell>
          <cell r="B518" t="str">
            <v>転記先　為替換算調整勘定</v>
          </cell>
          <cell r="C518" t="str">
            <v>9120</v>
          </cell>
        </row>
        <row r="519">
          <cell r="A519">
            <v>9130</v>
          </cell>
          <cell r="B519" t="str">
            <v>転記先　利益準備金</v>
          </cell>
          <cell r="C519" t="str">
            <v>9130</v>
          </cell>
        </row>
        <row r="520">
          <cell r="A520">
            <v>9140</v>
          </cell>
          <cell r="B520" t="str">
            <v>転記先　利益準備金繰入額</v>
          </cell>
          <cell r="C520" t="str">
            <v>9140</v>
          </cell>
        </row>
        <row r="521">
          <cell r="A521">
            <v>9150</v>
          </cell>
          <cell r="B521" t="str">
            <v>転記先　現金配当金</v>
          </cell>
          <cell r="C521" t="str">
            <v>9150</v>
          </cell>
        </row>
        <row r="522">
          <cell r="A522">
            <v>9160</v>
          </cell>
          <cell r="B522" t="str">
            <v>転記先　役員賞与金</v>
          </cell>
          <cell r="C522" t="str">
            <v>9160</v>
          </cell>
        </row>
        <row r="523">
          <cell r="A523">
            <v>9170</v>
          </cell>
          <cell r="B523" t="str">
            <v>転記先　株式配当</v>
          </cell>
          <cell r="C523" t="str">
            <v>9170</v>
          </cell>
        </row>
        <row r="524">
          <cell r="A524">
            <v>9180</v>
          </cell>
          <cell r="B524" t="str">
            <v>転記先　他剰余金増</v>
          </cell>
          <cell r="C524" t="str">
            <v>9180</v>
          </cell>
        </row>
        <row r="525">
          <cell r="A525">
            <v>9190</v>
          </cell>
          <cell r="B525" t="str">
            <v>転記先　連結除外剰余金減</v>
          </cell>
          <cell r="C525" t="str">
            <v>9190</v>
          </cell>
        </row>
        <row r="526">
          <cell r="A526">
            <v>9200</v>
          </cell>
          <cell r="B526" t="str">
            <v>転記先　少数株主持分</v>
          </cell>
          <cell r="C526" t="str">
            <v>9200</v>
          </cell>
        </row>
        <row r="527">
          <cell r="A527">
            <v>9240</v>
          </cell>
          <cell r="B527" t="str">
            <v>転記先　子会社株式</v>
          </cell>
          <cell r="C527" t="str">
            <v>9240</v>
          </cell>
        </row>
        <row r="528">
          <cell r="A528">
            <v>9250</v>
          </cell>
          <cell r="B528" t="str">
            <v>転記先　投資株式</v>
          </cell>
          <cell r="C528" t="str">
            <v>9250</v>
          </cell>
        </row>
        <row r="529">
          <cell r="A529">
            <v>9260</v>
          </cell>
          <cell r="B529" t="str">
            <v>転記先　連結調整勘定</v>
          </cell>
          <cell r="C529" t="str">
            <v>9260</v>
          </cell>
        </row>
        <row r="530">
          <cell r="A530">
            <v>9270</v>
          </cell>
          <cell r="B530" t="str">
            <v>転記先　連結剰余金</v>
          </cell>
          <cell r="C530" t="str">
            <v>9270</v>
          </cell>
        </row>
        <row r="531">
          <cell r="A531">
            <v>9280</v>
          </cell>
          <cell r="B531" t="str">
            <v>転記先　連調勘定償却</v>
          </cell>
          <cell r="C531" t="str">
            <v>9280</v>
          </cell>
        </row>
        <row r="532">
          <cell r="A532">
            <v>9285</v>
          </cell>
          <cell r="B532" t="str">
            <v>転記先　持分法投資損益</v>
          </cell>
          <cell r="C532" t="str">
            <v>9285</v>
          </cell>
        </row>
        <row r="533">
          <cell r="A533">
            <v>9290</v>
          </cell>
          <cell r="B533" t="str">
            <v>転記先　他剰余金期首</v>
          </cell>
          <cell r="C533" t="str">
            <v>9290</v>
          </cell>
        </row>
        <row r="534">
          <cell r="A534" t="str">
            <v>7410</v>
          </cell>
          <cell r="B534" t="str">
            <v>転記先　受取配当金</v>
          </cell>
          <cell r="C534" t="str">
            <v>9300</v>
          </cell>
        </row>
        <row r="535">
          <cell r="A535" t="str">
            <v>7420</v>
          </cell>
          <cell r="B535" t="str">
            <v>転記先　少数株主持分損益</v>
          </cell>
          <cell r="C535" t="str">
            <v>9310</v>
          </cell>
        </row>
        <row r="536">
          <cell r="A536" t="str">
            <v>7430</v>
          </cell>
          <cell r="B536" t="str">
            <v>転記先　有価証券売却損益</v>
          </cell>
          <cell r="C536" t="str">
            <v>9320</v>
          </cell>
        </row>
        <row r="537">
          <cell r="A537" t="str">
            <v>7440</v>
          </cell>
          <cell r="B537" t="str">
            <v>連結調整勘定償却額当年度分</v>
          </cell>
          <cell r="C537" t="str">
            <v>9430</v>
          </cell>
        </row>
        <row r="538">
          <cell r="A538" t="str">
            <v>7450</v>
          </cell>
          <cell r="B538" t="str">
            <v>連結調整勘定償却額翌年度分</v>
          </cell>
          <cell r="C538" t="str">
            <v>9440</v>
          </cell>
        </row>
        <row r="539">
          <cell r="A539" t="str">
            <v>7460</v>
          </cell>
          <cell r="B539" t="str">
            <v>連結調整勘定償却額第３年度分</v>
          </cell>
          <cell r="C539" t="str">
            <v>9450</v>
          </cell>
        </row>
        <row r="540">
          <cell r="A540" t="str">
            <v>7470</v>
          </cell>
          <cell r="B540" t="str">
            <v>連結調整勘定償却額第４年度分</v>
          </cell>
          <cell r="C540" t="str">
            <v>9460</v>
          </cell>
        </row>
        <row r="541">
          <cell r="A541" t="str">
            <v>7480</v>
          </cell>
          <cell r="B541" t="str">
            <v>連結調整勘定償却額第５年度分</v>
          </cell>
          <cell r="C541" t="str">
            <v>9470</v>
          </cell>
        </row>
        <row r="542">
          <cell r="A542" t="str">
            <v>7490</v>
          </cell>
          <cell r="B542" t="str">
            <v>連結調整勘定償却額第６年度分</v>
          </cell>
          <cell r="C542" t="str">
            <v>9480</v>
          </cell>
        </row>
        <row r="543">
          <cell r="A543" t="str">
            <v>7500</v>
          </cell>
          <cell r="B543" t="str">
            <v>持分比率</v>
          </cell>
          <cell r="C543" t="str">
            <v>9500</v>
          </cell>
        </row>
        <row r="544">
          <cell r="A544" t="str">
            <v>7510</v>
          </cell>
          <cell r="B544" t="str">
            <v>裏書手形</v>
          </cell>
          <cell r="C544" t="str">
            <v>9550</v>
          </cell>
        </row>
        <row r="545">
          <cell r="A545" t="str">
            <v>7520</v>
          </cell>
          <cell r="B545" t="str">
            <v>割引譲渡高</v>
          </cell>
          <cell r="C545" t="str">
            <v>9600</v>
          </cell>
        </row>
        <row r="546">
          <cell r="A546" t="str">
            <v>7530</v>
          </cell>
          <cell r="B546" t="str">
            <v>繰延税金等</v>
          </cell>
          <cell r="C546" t="str">
            <v>9650</v>
          </cell>
        </row>
        <row r="547">
          <cell r="A547" t="str">
            <v>7540</v>
          </cell>
          <cell r="B547" t="str">
            <v>繰延税金等（法人税）</v>
          </cell>
          <cell r="C547" t="str">
            <v>9660</v>
          </cell>
        </row>
        <row r="548">
          <cell r="A548" t="str">
            <v>7550</v>
          </cell>
          <cell r="B548" t="str">
            <v>繰延税金等（事業税）</v>
          </cell>
          <cell r="C548" t="str">
            <v>9670</v>
          </cell>
        </row>
        <row r="549">
          <cell r="A549" t="str">
            <v>7560</v>
          </cell>
        </row>
        <row r="550">
          <cell r="A550" t="str">
            <v>7570</v>
          </cell>
        </row>
        <row r="551">
          <cell r="A551" t="str">
            <v>7580</v>
          </cell>
        </row>
        <row r="552">
          <cell r="A552" t="str">
            <v>7590</v>
          </cell>
        </row>
        <row r="553">
          <cell r="A553" t="str">
            <v>7595</v>
          </cell>
        </row>
        <row r="554">
          <cell r="A554" t="str">
            <v>7600</v>
          </cell>
        </row>
        <row r="555">
          <cell r="A555" t="str">
            <v>7610</v>
          </cell>
        </row>
        <row r="556">
          <cell r="A556" t="str">
            <v>7620</v>
          </cell>
        </row>
        <row r="557">
          <cell r="A557" t="str">
            <v>7630</v>
          </cell>
        </row>
        <row r="558">
          <cell r="A558" t="str">
            <v>7640</v>
          </cell>
        </row>
        <row r="559">
          <cell r="A559" t="str">
            <v>7650</v>
          </cell>
        </row>
        <row r="560">
          <cell r="A560" t="str">
            <v>7660</v>
          </cell>
        </row>
        <row r="561">
          <cell r="A561" t="str">
            <v>7670</v>
          </cell>
        </row>
        <row r="562">
          <cell r="A562" t="str">
            <v>7680</v>
          </cell>
        </row>
        <row r="563">
          <cell r="A563" t="str">
            <v>7690</v>
          </cell>
        </row>
        <row r="564">
          <cell r="A564" t="str">
            <v>7700</v>
          </cell>
        </row>
        <row r="565">
          <cell r="A565" t="str">
            <v>7710</v>
          </cell>
        </row>
        <row r="566">
          <cell r="A566" t="str">
            <v>7720</v>
          </cell>
        </row>
        <row r="567">
          <cell r="A567" t="str">
            <v>7730</v>
          </cell>
        </row>
        <row r="568">
          <cell r="A568" t="str">
            <v>7790</v>
          </cell>
        </row>
        <row r="569">
          <cell r="A569" t="str">
            <v>7810</v>
          </cell>
        </row>
        <row r="570">
          <cell r="A570" t="str">
            <v>7820</v>
          </cell>
        </row>
        <row r="571">
          <cell r="A571" t="str">
            <v>7870</v>
          </cell>
        </row>
        <row r="572">
          <cell r="A572" t="str">
            <v>7880</v>
          </cell>
        </row>
        <row r="573">
          <cell r="A573" t="str">
            <v>7890</v>
          </cell>
        </row>
        <row r="574">
          <cell r="A574" t="str">
            <v>8010</v>
          </cell>
        </row>
        <row r="575">
          <cell r="A575" t="str">
            <v>8020</v>
          </cell>
        </row>
        <row r="576">
          <cell r="A576" t="str">
            <v>8051</v>
          </cell>
        </row>
        <row r="577">
          <cell r="A577" t="str">
            <v>8112</v>
          </cell>
        </row>
        <row r="578">
          <cell r="A578" t="str">
            <v>8113</v>
          </cell>
        </row>
        <row r="579">
          <cell r="A579" t="str">
            <v>8114</v>
          </cell>
        </row>
        <row r="580">
          <cell r="A580" t="str">
            <v>8120</v>
          </cell>
        </row>
        <row r="581">
          <cell r="A581" t="str">
            <v>8140</v>
          </cell>
        </row>
        <row r="582">
          <cell r="A582" t="str">
            <v>8161</v>
          </cell>
        </row>
        <row r="583">
          <cell r="A583" t="str">
            <v>8162</v>
          </cell>
        </row>
        <row r="584">
          <cell r="A584" t="str">
            <v>8163</v>
          </cell>
        </row>
        <row r="585">
          <cell r="A585" t="str">
            <v>8164</v>
          </cell>
        </row>
        <row r="586">
          <cell r="A586" t="str">
            <v>8174</v>
          </cell>
        </row>
        <row r="587">
          <cell r="A587" t="str">
            <v>8180</v>
          </cell>
        </row>
        <row r="588">
          <cell r="A588" t="str">
            <v>8222</v>
          </cell>
        </row>
        <row r="589">
          <cell r="A589" t="str">
            <v>8301</v>
          </cell>
        </row>
        <row r="590">
          <cell r="A590" t="str">
            <v>8320</v>
          </cell>
        </row>
        <row r="591">
          <cell r="A591" t="str">
            <v>8338</v>
          </cell>
        </row>
        <row r="592">
          <cell r="A592" t="str">
            <v>8447</v>
          </cell>
        </row>
        <row r="593">
          <cell r="A593" t="str">
            <v>8469</v>
          </cell>
        </row>
        <row r="594">
          <cell r="A594" t="str">
            <v>c001</v>
          </cell>
        </row>
        <row r="595">
          <cell r="A595" t="str">
            <v>c002</v>
          </cell>
        </row>
        <row r="596">
          <cell r="A596" t="str">
            <v>c011</v>
          </cell>
        </row>
        <row r="597">
          <cell r="A597" t="str">
            <v>c012</v>
          </cell>
        </row>
        <row r="598">
          <cell r="A598" t="str">
            <v>c014</v>
          </cell>
        </row>
        <row r="599">
          <cell r="A599" t="str">
            <v>c015</v>
          </cell>
        </row>
        <row r="600">
          <cell r="A600" t="str">
            <v>c020</v>
          </cell>
        </row>
        <row r="601">
          <cell r="A601" t="str">
            <v>c029</v>
          </cell>
        </row>
        <row r="602">
          <cell r="A602" t="str">
            <v>c030</v>
          </cell>
        </row>
        <row r="603">
          <cell r="A603" t="str">
            <v>c031</v>
          </cell>
        </row>
        <row r="604">
          <cell r="A604" t="str">
            <v>c032</v>
          </cell>
        </row>
        <row r="605">
          <cell r="A605" t="str">
            <v>c033</v>
          </cell>
        </row>
        <row r="606">
          <cell r="A606" t="str">
            <v>c034</v>
          </cell>
        </row>
        <row r="607">
          <cell r="A607" t="str">
            <v>c035</v>
          </cell>
        </row>
        <row r="608">
          <cell r="A608" t="str">
            <v>c036</v>
          </cell>
        </row>
        <row r="609">
          <cell r="A609" t="str">
            <v>c037</v>
          </cell>
        </row>
        <row r="610">
          <cell r="A610" t="str">
            <v>c038</v>
          </cell>
        </row>
        <row r="611">
          <cell r="A611" t="str">
            <v>c039</v>
          </cell>
        </row>
        <row r="612">
          <cell r="A612" t="str">
            <v>c041</v>
          </cell>
        </row>
        <row r="613">
          <cell r="A613" t="str">
            <v>c043</v>
          </cell>
        </row>
        <row r="614">
          <cell r="A614" t="str">
            <v>c051</v>
          </cell>
        </row>
        <row r="615">
          <cell r="A615" t="str">
            <v>c052</v>
          </cell>
        </row>
        <row r="616">
          <cell r="A616" t="str">
            <v>c053</v>
          </cell>
        </row>
        <row r="617">
          <cell r="A617" t="str">
            <v>c061</v>
          </cell>
        </row>
        <row r="618">
          <cell r="A618" t="str">
            <v>c063</v>
          </cell>
        </row>
        <row r="619">
          <cell r="A619" t="str">
            <v>c064</v>
          </cell>
        </row>
        <row r="620">
          <cell r="A620" t="str">
            <v>c065</v>
          </cell>
        </row>
        <row r="621">
          <cell r="A621" t="str">
            <v>s001</v>
          </cell>
        </row>
        <row r="622">
          <cell r="A622" t="str">
            <v>s002</v>
          </cell>
        </row>
        <row r="623">
          <cell r="A623" t="str">
            <v>s003</v>
          </cell>
        </row>
        <row r="624">
          <cell r="A624" t="str">
            <v>s004</v>
          </cell>
        </row>
        <row r="625">
          <cell r="A625" t="str">
            <v>s005</v>
          </cell>
        </row>
        <row r="626">
          <cell r="A626" t="str">
            <v>s006</v>
          </cell>
        </row>
        <row r="627">
          <cell r="A627" t="str">
            <v>@@@@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CM"/>
      <sheetName val="GEP"/>
      <sheetName val="SME"/>
      <sheetName val="MEP 2"/>
      <sheetName val="AF"/>
      <sheetName val="PF"/>
      <sheetName val="CC"/>
      <sheetName val="IAP"/>
      <sheetName val="PTS"/>
      <sheetName val="Sheet1"/>
      <sheetName val="adj 2"/>
      <sheetName val="note"/>
      <sheetName val="Adj"/>
      <sheetName val="Budget"/>
      <sheetName val="PF resc"/>
      <sheetName val="GEP PL"/>
      <sheetName val="SME PL"/>
      <sheetName val="MEP PL"/>
      <sheetName val="AF PL"/>
      <sheetName val="PF PL"/>
      <sheetName val="CC PL"/>
      <sheetName val="IAP PL"/>
      <sheetName val="PTS PL"/>
      <sheetName val="ICA PL"/>
      <sheetName val="TTL"/>
      <sheetName val="PLFYE15"/>
      <sheetName val="PLFYE16"/>
      <sheetName val="Mar"/>
      <sheetName val="Apr"/>
      <sheetName val="funding cost"/>
      <sheetName val="emplo "/>
      <sheetName val="emplo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7">
          <cell r="AD47">
            <v>115553.465</v>
          </cell>
        </row>
        <row r="50">
          <cell r="AD50">
            <v>127183.04000000001</v>
          </cell>
        </row>
        <row r="58">
          <cell r="AF58">
            <v>65025.685700837115</v>
          </cell>
          <cell r="AG58">
            <v>71570.025057379244</v>
          </cell>
        </row>
      </sheetData>
      <sheetData sheetId="13" refreshError="1"/>
      <sheetData sheetId="14">
        <row r="12">
          <cell r="D12">
            <v>50000</v>
          </cell>
          <cell r="R12">
            <v>50000</v>
          </cell>
        </row>
        <row r="32">
          <cell r="D32">
            <v>13659.549448547568</v>
          </cell>
          <cell r="R32">
            <v>12743.916872009828</v>
          </cell>
        </row>
        <row r="33">
          <cell r="AF33">
            <v>915.63257653774087</v>
          </cell>
        </row>
        <row r="34">
          <cell r="D34">
            <v>395.26267482648871</v>
          </cell>
          <cell r="R34">
            <v>395.26267482648871</v>
          </cell>
        </row>
        <row r="43">
          <cell r="D43">
            <v>746.16309291528148</v>
          </cell>
          <cell r="R43">
            <v>641.2942347871051</v>
          </cell>
          <cell r="AF43">
            <v>104.86885812817638</v>
          </cell>
        </row>
        <row r="46">
          <cell r="D46">
            <v>1306.8417891272604</v>
          </cell>
          <cell r="R46">
            <v>811.1087698015715</v>
          </cell>
          <cell r="AF46">
            <v>495.73301932568887</v>
          </cell>
        </row>
        <row r="47">
          <cell r="D47">
            <v>243.00710778079181</v>
          </cell>
          <cell r="R47">
            <v>243.00710778079181</v>
          </cell>
        </row>
        <row r="65">
          <cell r="D65">
            <v>114.74726133361781</v>
          </cell>
          <cell r="R65">
            <v>104.24788692159179</v>
          </cell>
          <cell r="AF65">
            <v>10.499374412026031</v>
          </cell>
        </row>
        <row r="67">
          <cell r="D67">
            <v>5895.9390862944165</v>
          </cell>
          <cell r="R67">
            <v>2053.2994923857873</v>
          </cell>
          <cell r="AF67">
            <v>3842.6395939086292</v>
          </cell>
        </row>
        <row r="69">
          <cell r="D69">
            <v>670.793816240144</v>
          </cell>
          <cell r="R69">
            <v>609.4161820541708</v>
          </cell>
          <cell r="AF69">
            <v>61.377634185973172</v>
          </cell>
        </row>
        <row r="70">
          <cell r="D70">
            <v>0.35420427432759716</v>
          </cell>
          <cell r="R70">
            <v>0.32179458322662202</v>
          </cell>
          <cell r="AF70">
            <v>3.2409691100975142E-2</v>
          </cell>
        </row>
        <row r="71">
          <cell r="D71">
            <v>314.7996430348237</v>
          </cell>
          <cell r="R71">
            <v>285.99547569713735</v>
          </cell>
          <cell r="AF71">
            <v>28.804167337686369</v>
          </cell>
        </row>
        <row r="72">
          <cell r="D72">
            <v>7.0920025630991068</v>
          </cell>
          <cell r="R72">
            <v>6.443084328575539</v>
          </cell>
          <cell r="AF72">
            <v>0.64891823452356823</v>
          </cell>
        </row>
        <row r="75">
          <cell r="D75">
            <v>40.42408424997511</v>
          </cell>
          <cell r="R75">
            <v>36.725280541102386</v>
          </cell>
          <cell r="AF75">
            <v>3.6988037088727226</v>
          </cell>
        </row>
        <row r="76">
          <cell r="D76">
            <v>25.774959492666973</v>
          </cell>
          <cell r="R76">
            <v>23.416550699087946</v>
          </cell>
          <cell r="AF76">
            <v>2.3584087935790281</v>
          </cell>
        </row>
        <row r="77">
          <cell r="D77">
            <v>7.7573427314563362E-2</v>
          </cell>
          <cell r="R77">
            <v>7.0475458715280812E-2</v>
          </cell>
          <cell r="AF77">
            <v>7.0979685992825477E-3</v>
          </cell>
        </row>
        <row r="78">
          <cell r="D78">
            <v>80.97270729395261</v>
          </cell>
          <cell r="R78">
            <v>73.563704576555949</v>
          </cell>
          <cell r="AF78">
            <v>7.4090027173966639</v>
          </cell>
        </row>
        <row r="79">
          <cell r="D79">
            <v>19.917691229292458</v>
          </cell>
          <cell r="R79">
            <v>18.095222481812197</v>
          </cell>
          <cell r="AF79">
            <v>1.8224687474802599</v>
          </cell>
        </row>
        <row r="80">
          <cell r="D80">
            <v>0</v>
          </cell>
          <cell r="R80">
            <v>0</v>
          </cell>
          <cell r="AF80">
            <v>0</v>
          </cell>
        </row>
        <row r="81">
          <cell r="D81">
            <v>2.729496099828792E-3</v>
          </cell>
          <cell r="R81">
            <v>2.4797472066944576E-3</v>
          </cell>
          <cell r="AF81">
            <v>2.4974889313433444E-4</v>
          </cell>
        </row>
        <row r="82">
          <cell r="D82">
            <v>192.87084492344547</v>
          </cell>
          <cell r="R82">
            <v>175.2231626129502</v>
          </cell>
          <cell r="AF82">
            <v>17.647682310495259</v>
          </cell>
        </row>
        <row r="83">
          <cell r="D83">
            <v>0</v>
          </cell>
          <cell r="R83">
            <v>0</v>
          </cell>
          <cell r="AF83">
            <v>0</v>
          </cell>
        </row>
        <row r="84">
          <cell r="D84">
            <v>17.646563293888107</v>
          </cell>
          <cell r="R84">
            <v>16.031902752497345</v>
          </cell>
          <cell r="AF84">
            <v>1.6146605413907618</v>
          </cell>
        </row>
        <row r="88">
          <cell r="D88">
            <v>15.803030000000001</v>
          </cell>
          <cell r="R88">
            <v>14.357052755000002</v>
          </cell>
          <cell r="AF88">
            <v>1.4459772450000001</v>
          </cell>
        </row>
        <row r="89">
          <cell r="D89">
            <v>13.249504610063175</v>
          </cell>
          <cell r="R89">
            <v>12.037174938242394</v>
          </cell>
          <cell r="AF89">
            <v>1.2123296718207806</v>
          </cell>
        </row>
        <row r="90">
          <cell r="D90">
            <v>2.4843276047575693</v>
          </cell>
          <cell r="R90">
            <v>2.2570116289222515</v>
          </cell>
          <cell r="AF90">
            <v>0.2273159758353176</v>
          </cell>
        </row>
        <row r="91">
          <cell r="D91">
            <v>1.2463496446106759E-3</v>
          </cell>
          <cell r="R91">
            <v>1.1323086521287992E-3</v>
          </cell>
          <cell r="AF91">
            <v>1.1404099248187685E-4</v>
          </cell>
        </row>
        <row r="92">
          <cell r="D92">
            <v>2.8617871306135982</v>
          </cell>
          <cell r="R92">
            <v>2.5999336081624538</v>
          </cell>
          <cell r="AF92">
            <v>0.26185352245114424</v>
          </cell>
        </row>
        <row r="96">
          <cell r="D96">
            <v>1.6453657675155775</v>
          </cell>
          <cell r="R96">
            <v>1.4948147997879022</v>
          </cell>
          <cell r="AF96">
            <v>0.15055096772767534</v>
          </cell>
        </row>
        <row r="97">
          <cell r="D97">
            <v>0.94724216314863907</v>
          </cell>
          <cell r="R97">
            <v>0.86056950522053866</v>
          </cell>
          <cell r="AF97">
            <v>8.6672657928100472E-2</v>
          </cell>
        </row>
        <row r="98">
          <cell r="D98">
            <v>2.3198226383081728</v>
          </cell>
          <cell r="R98">
            <v>2.1075588669029752</v>
          </cell>
          <cell r="AF98">
            <v>0.21226377140519781</v>
          </cell>
        </row>
        <row r="101">
          <cell r="D101">
            <v>2345.1518491535139</v>
          </cell>
          <cell r="R101">
            <v>2130.5704549559673</v>
          </cell>
          <cell r="AF101">
            <v>214.58139419754653</v>
          </cell>
        </row>
        <row r="102">
          <cell r="D102">
            <v>392.41644400384268</v>
          </cell>
          <cell r="R102">
            <v>356.51033937749105</v>
          </cell>
          <cell r="AF102">
            <v>35.906104626351606</v>
          </cell>
        </row>
        <row r="103">
          <cell r="D103">
            <v>1241.2549722134947</v>
          </cell>
          <cell r="R103">
            <v>1127.6801422559599</v>
          </cell>
          <cell r="AF103">
            <v>113.57482995753476</v>
          </cell>
        </row>
        <row r="115">
          <cell r="D115">
            <v>1397.2358009745751</v>
          </cell>
          <cell r="R115">
            <v>1269.3887251854014</v>
          </cell>
          <cell r="AF115">
            <v>127.84707578917362</v>
          </cell>
        </row>
        <row r="116">
          <cell r="D116">
            <v>50.230044609479592</v>
          </cell>
          <cell r="R116">
            <v>45.633995527712209</v>
          </cell>
          <cell r="AF116">
            <v>4.5960490817673829</v>
          </cell>
        </row>
        <row r="117">
          <cell r="D117">
            <v>380.86652912918453</v>
          </cell>
          <cell r="R117">
            <v>346.01724171386417</v>
          </cell>
          <cell r="AF117">
            <v>34.849287415320383</v>
          </cell>
        </row>
        <row r="118">
          <cell r="D118">
            <v>13.241547729059624</v>
          </cell>
          <cell r="R118">
            <v>12.029946111850668</v>
          </cell>
          <cell r="AF118">
            <v>1.2116016172089557</v>
          </cell>
        </row>
        <row r="121">
          <cell r="D121">
            <v>378.76697385042019</v>
          </cell>
          <cell r="R121">
            <v>344.10979574310676</v>
          </cell>
          <cell r="AF121">
            <v>34.657178107313449</v>
          </cell>
        </row>
        <row r="122">
          <cell r="D122">
            <v>39.246694927888015</v>
          </cell>
          <cell r="R122">
            <v>35.655622341986259</v>
          </cell>
          <cell r="AF122">
            <v>3.5910725859017534</v>
          </cell>
        </row>
        <row r="123">
          <cell r="D123">
            <v>1.7571331375039441</v>
          </cell>
          <cell r="R123">
            <v>1.5963554554223331</v>
          </cell>
          <cell r="AF123">
            <v>0.16077768208161089</v>
          </cell>
        </row>
        <row r="124">
          <cell r="D124">
            <v>12.692385286322793</v>
          </cell>
          <cell r="R124">
            <v>11.531032032624257</v>
          </cell>
          <cell r="AF124">
            <v>1.1613532536985356</v>
          </cell>
        </row>
        <row r="125">
          <cell r="D125">
            <v>10.887878950336232</v>
          </cell>
          <cell r="R125">
            <v>9.8916380263804662</v>
          </cell>
          <cell r="AF125">
            <v>0.99624092395576513</v>
          </cell>
        </row>
        <row r="126">
          <cell r="D126">
            <v>0</v>
          </cell>
          <cell r="R126">
            <v>0</v>
          </cell>
          <cell r="AF126">
            <v>0</v>
          </cell>
        </row>
        <row r="127">
          <cell r="D127">
            <v>2.013339831869565</v>
          </cell>
          <cell r="R127">
            <v>1.8291192372534999</v>
          </cell>
          <cell r="AF127">
            <v>0.18422059461606519</v>
          </cell>
        </row>
        <row r="128">
          <cell r="D128">
            <v>104.22551680553524</v>
          </cell>
          <cell r="R128">
            <v>94.68888201782876</v>
          </cell>
          <cell r="AF128">
            <v>9.5366347877064737</v>
          </cell>
        </row>
        <row r="129">
          <cell r="D129">
            <v>0</v>
          </cell>
          <cell r="R129">
            <v>0</v>
          </cell>
          <cell r="AF129">
            <v>0</v>
          </cell>
        </row>
        <row r="130">
          <cell r="D130">
            <v>0.69662118682967478</v>
          </cell>
          <cell r="R130">
            <v>0.63288034823475958</v>
          </cell>
          <cell r="AF130">
            <v>6.3740838594915236E-2</v>
          </cell>
        </row>
        <row r="134">
          <cell r="D134">
            <v>290.04018984593409</v>
          </cell>
          <cell r="R134">
            <v>263.50151247503112</v>
          </cell>
          <cell r="AF134">
            <v>26.53867737090297</v>
          </cell>
        </row>
        <row r="135">
          <cell r="D135">
            <v>72.251874396127192</v>
          </cell>
          <cell r="R135">
            <v>65.64082788888156</v>
          </cell>
          <cell r="AF135">
            <v>6.6110465072456384</v>
          </cell>
        </row>
        <row r="136">
          <cell r="D136">
            <v>94.799031480737412</v>
          </cell>
          <cell r="R136">
            <v>86.124920100249938</v>
          </cell>
          <cell r="AF136">
            <v>8.6741113804874725</v>
          </cell>
        </row>
        <row r="137">
          <cell r="D137">
            <v>3.3207940367813702</v>
          </cell>
          <cell r="R137">
            <v>3.0169413824158751</v>
          </cell>
          <cell r="AF137">
            <v>0.30385265436549536</v>
          </cell>
        </row>
        <row r="138">
          <cell r="D138">
            <v>398.15798014096379</v>
          </cell>
          <cell r="R138">
            <v>361.72652495806562</v>
          </cell>
          <cell r="AF138">
            <v>36.431455182898183</v>
          </cell>
        </row>
        <row r="142">
          <cell r="D142">
            <v>47.889148950939926</v>
          </cell>
          <cell r="R142">
            <v>43.507291821928924</v>
          </cell>
          <cell r="AF142">
            <v>4.3818571290110029</v>
          </cell>
        </row>
        <row r="143">
          <cell r="D143">
            <v>12.525187273073145</v>
          </cell>
          <cell r="R143">
            <v>11.379132637586952</v>
          </cell>
          <cell r="AF143">
            <v>1.1460546354861927</v>
          </cell>
        </row>
        <row r="144">
          <cell r="D144">
            <v>66.321787996318591</v>
          </cell>
          <cell r="R144">
            <v>60.253344394655443</v>
          </cell>
          <cell r="AF144">
            <v>6.0684436016631507</v>
          </cell>
        </row>
        <row r="145">
          <cell r="D145">
            <v>174.44472596852682</v>
          </cell>
          <cell r="R145">
            <v>158.48303354240662</v>
          </cell>
          <cell r="AF145">
            <v>15.961692426120203</v>
          </cell>
        </row>
        <row r="152">
          <cell r="D152">
            <v>1399.6641679070171</v>
          </cell>
          <cell r="R152">
            <v>4554.6220164221695</v>
          </cell>
          <cell r="AF152">
            <v>-3154.9578485151524</v>
          </cell>
        </row>
        <row r="157">
          <cell r="R157">
            <v>4554.6220164221704</v>
          </cell>
          <cell r="AF157">
            <v>-3154.9578485151528</v>
          </cell>
        </row>
        <row r="159">
          <cell r="D159">
            <v>1399.6641679070171</v>
          </cell>
        </row>
        <row r="206">
          <cell r="D206">
            <v>888072.32145295711</v>
          </cell>
          <cell r="R206">
            <v>795645.23989847407</v>
          </cell>
          <cell r="AF206">
            <v>92427.081554483055</v>
          </cell>
        </row>
        <row r="207">
          <cell r="D207">
            <v>5115.0302705116474</v>
          </cell>
          <cell r="R207">
            <v>5115.0302705116474</v>
          </cell>
        </row>
        <row r="208">
          <cell r="D208">
            <v>893187.35172346875</v>
          </cell>
          <cell r="R208">
            <v>800760.27016898571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32">
          <cell r="E32">
            <v>-12813978.16</v>
          </cell>
          <cell r="F32">
            <v>-12070101.719999999</v>
          </cell>
        </row>
        <row r="33">
          <cell r="E33">
            <v>-977099.54</v>
          </cell>
          <cell r="F33">
            <v>-868082.75</v>
          </cell>
        </row>
        <row r="51">
          <cell r="E51">
            <v>-748158</v>
          </cell>
          <cell r="F51">
            <v>-1412666</v>
          </cell>
        </row>
      </sheetData>
      <sheetData sheetId="27">
        <row r="10">
          <cell r="Y10">
            <v>34222200</v>
          </cell>
        </row>
        <row r="11">
          <cell r="Y11">
            <v>932688.87</v>
          </cell>
        </row>
        <row r="38">
          <cell r="Q38">
            <v>1475252.36</v>
          </cell>
        </row>
        <row r="70">
          <cell r="Q70">
            <v>317807.39</v>
          </cell>
          <cell r="AA70">
            <v>21462.887500000001</v>
          </cell>
        </row>
        <row r="71">
          <cell r="Q71">
            <v>10766.35</v>
          </cell>
        </row>
        <row r="72">
          <cell r="Q72">
            <v>35888.61</v>
          </cell>
        </row>
        <row r="73">
          <cell r="Q73">
            <v>68201.84</v>
          </cell>
        </row>
        <row r="74">
          <cell r="Q74">
            <v>108612.432</v>
          </cell>
        </row>
        <row r="75">
          <cell r="Q75">
            <v>0</v>
          </cell>
        </row>
        <row r="76">
          <cell r="Q76">
            <v>73886.615999999995</v>
          </cell>
        </row>
        <row r="77">
          <cell r="Q77">
            <v>9866.6200000000008</v>
          </cell>
        </row>
        <row r="78">
          <cell r="Q78">
            <v>0</v>
          </cell>
        </row>
        <row r="79">
          <cell r="Q79">
            <v>243387.87</v>
          </cell>
        </row>
        <row r="80">
          <cell r="Q80">
            <v>34436.79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5320</v>
          </cell>
        </row>
        <row r="88">
          <cell r="Q88">
            <v>92296.1</v>
          </cell>
        </row>
        <row r="96">
          <cell r="Q96">
            <v>27199.919999999998</v>
          </cell>
        </row>
        <row r="98">
          <cell r="Q98">
            <v>173568.53</v>
          </cell>
        </row>
        <row r="99">
          <cell r="Q99">
            <v>0</v>
          </cell>
        </row>
        <row r="100">
          <cell r="Q100">
            <v>0</v>
          </cell>
        </row>
        <row r="102">
          <cell r="Q102">
            <v>64236.37</v>
          </cell>
        </row>
        <row r="103">
          <cell r="Q103">
            <v>0</v>
          </cell>
        </row>
        <row r="104">
          <cell r="Q104">
            <v>20778.189999999999</v>
          </cell>
        </row>
        <row r="105">
          <cell r="Q105">
            <v>404.29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276372.8</v>
          </cell>
        </row>
        <row r="111">
          <cell r="Q111">
            <v>20328.68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5">
          <cell r="Q125">
            <v>12524</v>
          </cell>
        </row>
        <row r="126">
          <cell r="Q126">
            <v>15803.03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2.29</v>
          </cell>
        </row>
        <row r="130">
          <cell r="Q130">
            <v>1765.28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2611.6439999999998</v>
          </cell>
        </row>
        <row r="136">
          <cell r="Q136">
            <v>3128.18</v>
          </cell>
        </row>
        <row r="137">
          <cell r="Q137">
            <v>0</v>
          </cell>
        </row>
        <row r="138">
          <cell r="Q138">
            <v>72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494</v>
          </cell>
        </row>
        <row r="220">
          <cell r="Q220">
            <v>716471.77638909</v>
          </cell>
        </row>
        <row r="221">
          <cell r="Q221">
            <v>71801.572698129996</v>
          </cell>
        </row>
        <row r="222">
          <cell r="Q222">
            <v>39438.183562110004</v>
          </cell>
        </row>
        <row r="223">
          <cell r="Q223">
            <v>45758.63655178</v>
          </cell>
        </row>
        <row r="224">
          <cell r="Q224">
            <v>236607.31384608001</v>
          </cell>
        </row>
        <row r="225">
          <cell r="Q225">
            <v>11266.10870192</v>
          </cell>
        </row>
        <row r="226">
          <cell r="Q226">
            <v>165244.90619251001</v>
          </cell>
        </row>
        <row r="227">
          <cell r="Q227">
            <v>15913.00071018</v>
          </cell>
        </row>
        <row r="228">
          <cell r="Q228">
            <v>0</v>
          </cell>
        </row>
        <row r="229">
          <cell r="Q229">
            <v>254801.65943597001</v>
          </cell>
        </row>
        <row r="230">
          <cell r="Q230">
            <v>-8808.3534994500005</v>
          </cell>
        </row>
        <row r="231">
          <cell r="Q231">
            <v>18218.52233896</v>
          </cell>
        </row>
        <row r="232">
          <cell r="Q232">
            <v>0</v>
          </cell>
        </row>
        <row r="233">
          <cell r="Q233">
            <v>6187.5</v>
          </cell>
        </row>
        <row r="234">
          <cell r="Q234">
            <v>26899.74</v>
          </cell>
        </row>
        <row r="235">
          <cell r="Q235">
            <v>13757.482144510001</v>
          </cell>
        </row>
        <row r="236">
          <cell r="Q236">
            <v>1084.2796840000001</v>
          </cell>
        </row>
        <row r="237">
          <cell r="Q237">
            <v>13441.16332775</v>
          </cell>
        </row>
        <row r="238">
          <cell r="Q238">
            <v>75390.179469449999</v>
          </cell>
        </row>
        <row r="246">
          <cell r="Q246">
            <v>178546.05801204001</v>
          </cell>
        </row>
        <row r="247">
          <cell r="Q247">
            <v>30361.007433499999</v>
          </cell>
        </row>
        <row r="248">
          <cell r="Q248">
            <v>55700.817320709997</v>
          </cell>
        </row>
        <row r="249">
          <cell r="Q249">
            <v>1226.5725963899999</v>
          </cell>
        </row>
        <row r="250">
          <cell r="Q250">
            <v>0</v>
          </cell>
        </row>
        <row r="252">
          <cell r="Q252">
            <v>-6558.22154108</v>
          </cell>
        </row>
        <row r="253">
          <cell r="Q253">
            <v>0</v>
          </cell>
        </row>
        <row r="254">
          <cell r="Q254">
            <v>2347.6282780000001</v>
          </cell>
        </row>
        <row r="255">
          <cell r="Q255">
            <v>0</v>
          </cell>
        </row>
        <row r="256">
          <cell r="Q256">
            <v>43.640675049999999</v>
          </cell>
        </row>
        <row r="257">
          <cell r="Q257">
            <v>6037.4653171199998</v>
          </cell>
        </row>
        <row r="258">
          <cell r="Q258">
            <v>0</v>
          </cell>
        </row>
        <row r="259">
          <cell r="Q259">
            <v>54944.402870359998</v>
          </cell>
        </row>
        <row r="260">
          <cell r="Q260">
            <v>-17096.9355</v>
          </cell>
        </row>
        <row r="261">
          <cell r="Q261">
            <v>-1348.1414167</v>
          </cell>
        </row>
        <row r="262">
          <cell r="Q262">
            <v>0</v>
          </cell>
        </row>
        <row r="263">
          <cell r="Q263">
            <v>0</v>
          </cell>
        </row>
        <row r="265">
          <cell r="Q265">
            <v>55746.275653680001</v>
          </cell>
        </row>
        <row r="266">
          <cell r="Q266">
            <v>318824.24701271998</v>
          </cell>
        </row>
        <row r="267">
          <cell r="Q267">
            <v>24.455762100000001</v>
          </cell>
        </row>
        <row r="268">
          <cell r="Q268">
            <v>-658.16113012000005</v>
          </cell>
        </row>
        <row r="269">
          <cell r="Q269">
            <v>15918.32666225</v>
          </cell>
        </row>
        <row r="270">
          <cell r="Q270">
            <v>49329.574322089997</v>
          </cell>
        </row>
        <row r="271">
          <cell r="Q271">
            <v>0</v>
          </cell>
        </row>
        <row r="272">
          <cell r="Q272">
            <v>409.24202887000001</v>
          </cell>
        </row>
        <row r="273">
          <cell r="Q273">
            <v>6230.5847816699998</v>
          </cell>
        </row>
        <row r="274">
          <cell r="Q274">
            <v>404125.46051266999</v>
          </cell>
        </row>
        <row r="276">
          <cell r="Q276">
            <v>27849.117463120001</v>
          </cell>
        </row>
        <row r="277">
          <cell r="Q277">
            <v>162.78783894</v>
          </cell>
        </row>
        <row r="278">
          <cell r="Q278">
            <v>9875.3842605900008</v>
          </cell>
        </row>
        <row r="279">
          <cell r="Q279">
            <v>74269.032090609995</v>
          </cell>
        </row>
        <row r="280">
          <cell r="Q280">
            <v>13321.977866990001</v>
          </cell>
        </row>
        <row r="281">
          <cell r="Q281">
            <v>0</v>
          </cell>
        </row>
        <row r="282">
          <cell r="Q282">
            <v>2372.6235588300001</v>
          </cell>
        </row>
        <row r="283">
          <cell r="Q283">
            <v>90522.776115939996</v>
          </cell>
        </row>
      </sheetData>
      <sheetData sheetId="28">
        <row r="10">
          <cell r="T10">
            <v>43803100</v>
          </cell>
        </row>
        <row r="11">
          <cell r="T11">
            <v>0</v>
          </cell>
        </row>
        <row r="38">
          <cell r="N38">
            <v>1514716.79</v>
          </cell>
        </row>
        <row r="70">
          <cell r="N70">
            <v>317575.53999999998</v>
          </cell>
          <cell r="V70">
            <v>-2200.7062500000002</v>
          </cell>
        </row>
        <row r="71">
          <cell r="N71">
            <v>11205.65</v>
          </cell>
        </row>
        <row r="72">
          <cell r="N72">
            <v>13474.791999999999</v>
          </cell>
        </row>
        <row r="73">
          <cell r="N73">
            <v>73151.87</v>
          </cell>
        </row>
        <row r="74">
          <cell r="N74">
            <v>109575.96799999999</v>
          </cell>
          <cell r="V74">
            <v>0</v>
          </cell>
        </row>
        <row r="75">
          <cell r="N75">
            <v>0</v>
          </cell>
        </row>
        <row r="76">
          <cell r="N76">
            <v>76121.851999999999</v>
          </cell>
        </row>
        <row r="77">
          <cell r="N77">
            <v>9954.3700000000008</v>
          </cell>
        </row>
        <row r="78">
          <cell r="N78">
            <v>0</v>
          </cell>
        </row>
        <row r="79">
          <cell r="N79">
            <v>236896.71</v>
          </cell>
        </row>
        <row r="80">
          <cell r="N80">
            <v>39373.82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  <cell r="V84">
            <v>0</v>
          </cell>
        </row>
        <row r="85">
          <cell r="N85">
            <v>0</v>
          </cell>
          <cell r="V85">
            <v>0</v>
          </cell>
        </row>
        <row r="86">
          <cell r="N86">
            <v>0</v>
          </cell>
        </row>
        <row r="87">
          <cell r="N87">
            <v>200.9</v>
          </cell>
        </row>
        <row r="88">
          <cell r="N88">
            <v>31006.1</v>
          </cell>
        </row>
        <row r="90">
          <cell r="V90">
            <v>0</v>
          </cell>
        </row>
        <row r="96">
          <cell r="N96">
            <v>38967.040000000001</v>
          </cell>
          <cell r="V96">
            <v>0</v>
          </cell>
        </row>
        <row r="98">
          <cell r="N98">
            <v>26410.3</v>
          </cell>
          <cell r="V98">
            <v>0</v>
          </cell>
        </row>
        <row r="99">
          <cell r="N99">
            <v>0</v>
          </cell>
        </row>
        <row r="100">
          <cell r="N100">
            <v>0</v>
          </cell>
        </row>
        <row r="102">
          <cell r="N102">
            <v>78886.7</v>
          </cell>
        </row>
        <row r="103">
          <cell r="N103">
            <v>0</v>
          </cell>
        </row>
        <row r="104">
          <cell r="N104">
            <v>72445.41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323611.56</v>
          </cell>
        </row>
        <row r="111">
          <cell r="N111">
            <v>13383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  <cell r="V114">
            <v>0</v>
          </cell>
        </row>
        <row r="115">
          <cell r="N115">
            <v>0</v>
          </cell>
          <cell r="V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8008555.7599999998</v>
          </cell>
        </row>
        <row r="125">
          <cell r="N125">
            <v>11190.71</v>
          </cell>
          <cell r="V125">
            <v>0</v>
          </cell>
        </row>
        <row r="126">
          <cell r="N126">
            <v>15803.03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1765.28</v>
          </cell>
        </row>
        <row r="131">
          <cell r="N131">
            <v>0</v>
          </cell>
        </row>
        <row r="132">
          <cell r="N132">
            <v>0</v>
          </cell>
        </row>
        <row r="133">
          <cell r="N133">
            <v>0</v>
          </cell>
        </row>
        <row r="134">
          <cell r="N134">
            <v>2611.6439999999998</v>
          </cell>
        </row>
        <row r="136">
          <cell r="N136">
            <v>3031.56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  <cell r="V140">
            <v>6.25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0</v>
          </cell>
        </row>
        <row r="144">
          <cell r="N144">
            <v>0</v>
          </cell>
        </row>
        <row r="145">
          <cell r="N145">
            <v>0</v>
          </cell>
        </row>
        <row r="146">
          <cell r="N146">
            <v>0</v>
          </cell>
        </row>
        <row r="147">
          <cell r="N147">
            <v>2118.52</v>
          </cell>
          <cell r="V147">
            <v>0</v>
          </cell>
        </row>
        <row r="222">
          <cell r="N222">
            <v>787079.60940642003</v>
          </cell>
        </row>
        <row r="223">
          <cell r="N223">
            <v>69168.69708559</v>
          </cell>
        </row>
        <row r="224">
          <cell r="N224">
            <v>19585.93896802</v>
          </cell>
        </row>
        <row r="225">
          <cell r="N225">
            <v>78027.367837559999</v>
          </cell>
        </row>
        <row r="226">
          <cell r="N226">
            <v>46705.894856790001</v>
          </cell>
        </row>
        <row r="227">
          <cell r="N227">
            <v>11171.263177389999</v>
          </cell>
        </row>
        <row r="228">
          <cell r="N228">
            <v>166488.13673189</v>
          </cell>
        </row>
        <row r="229">
          <cell r="N229">
            <v>15658.061039050001</v>
          </cell>
        </row>
        <row r="230">
          <cell r="N230">
            <v>0</v>
          </cell>
        </row>
        <row r="231">
          <cell r="N231">
            <v>230559.23081683999</v>
          </cell>
        </row>
        <row r="232">
          <cell r="N232">
            <v>27534.972556950001</v>
          </cell>
        </row>
        <row r="233">
          <cell r="N233">
            <v>18179.251639170001</v>
          </cell>
        </row>
        <row r="234">
          <cell r="N234">
            <v>0</v>
          </cell>
        </row>
        <row r="235">
          <cell r="N235">
            <v>6917.2767631400002</v>
          </cell>
        </row>
        <row r="236">
          <cell r="N236">
            <v>9900</v>
          </cell>
        </row>
        <row r="237">
          <cell r="N237">
            <v>-10268.645804809999</v>
          </cell>
        </row>
        <row r="238">
          <cell r="N238">
            <v>2588.2801840000002</v>
          </cell>
        </row>
        <row r="239">
          <cell r="N239">
            <v>14356.406093510001</v>
          </cell>
        </row>
        <row r="240">
          <cell r="N240">
            <v>1740.73737345</v>
          </cell>
        </row>
        <row r="248">
          <cell r="N248">
            <v>49223.251615920002</v>
          </cell>
        </row>
        <row r="249">
          <cell r="N249">
            <v>39747.726474919997</v>
          </cell>
        </row>
        <row r="250">
          <cell r="N250">
            <v>60082.663288880001</v>
          </cell>
        </row>
        <row r="251">
          <cell r="N251">
            <v>2199.1721453999999</v>
          </cell>
        </row>
        <row r="252">
          <cell r="N252">
            <v>0</v>
          </cell>
        </row>
        <row r="254">
          <cell r="N254">
            <v>16066.664530550001</v>
          </cell>
        </row>
        <row r="255">
          <cell r="N255">
            <v>1710</v>
          </cell>
        </row>
        <row r="256">
          <cell r="N256">
            <v>362.44025506000003</v>
          </cell>
        </row>
        <row r="257">
          <cell r="N257">
            <v>0</v>
          </cell>
        </row>
        <row r="258">
          <cell r="N258">
            <v>0</v>
          </cell>
        </row>
        <row r="259">
          <cell r="N259">
            <v>3272.626769</v>
          </cell>
        </row>
        <row r="260">
          <cell r="N260">
            <v>0</v>
          </cell>
        </row>
        <row r="261">
          <cell r="N261">
            <v>55028.97950619</v>
          </cell>
        </row>
        <row r="262">
          <cell r="N262">
            <v>0</v>
          </cell>
        </row>
        <row r="263">
          <cell r="N263">
            <v>121.5</v>
          </cell>
        </row>
        <row r="264">
          <cell r="N264">
            <v>0</v>
          </cell>
        </row>
        <row r="265">
          <cell r="N265">
            <v>0</v>
          </cell>
        </row>
        <row r="267">
          <cell r="N267">
            <v>54107.576729230001</v>
          </cell>
        </row>
        <row r="268">
          <cell r="N268">
            <v>269294.91719705</v>
          </cell>
        </row>
        <row r="269">
          <cell r="N269">
            <v>0</v>
          </cell>
        </row>
        <row r="270">
          <cell r="N270">
            <v>1618.3449232299999</v>
          </cell>
        </row>
        <row r="271">
          <cell r="N271">
            <v>33218.29061512</v>
          </cell>
        </row>
        <row r="272">
          <cell r="N272">
            <v>46692.883891719997</v>
          </cell>
        </row>
        <row r="273">
          <cell r="N273">
            <v>0</v>
          </cell>
        </row>
        <row r="274">
          <cell r="N274">
            <v>1171.3312972599999</v>
          </cell>
        </row>
        <row r="275">
          <cell r="N275">
            <v>5243.0276869400004</v>
          </cell>
        </row>
        <row r="276">
          <cell r="N276">
            <v>386072.93706540001</v>
          </cell>
        </row>
        <row r="278">
          <cell r="N278">
            <v>50254.479419969997</v>
          </cell>
        </row>
        <row r="279">
          <cell r="N279">
            <v>0</v>
          </cell>
        </row>
        <row r="280">
          <cell r="N280">
            <v>14129.38375549</v>
          </cell>
        </row>
        <row r="281">
          <cell r="N281">
            <v>48771.009748739998</v>
          </cell>
        </row>
        <row r="282">
          <cell r="N282">
            <v>15299.86702632</v>
          </cell>
        </row>
        <row r="283">
          <cell r="N283">
            <v>0</v>
          </cell>
        </row>
        <row r="284">
          <cell r="N284">
            <v>439.86437053999998</v>
          </cell>
        </row>
        <row r="285">
          <cell r="N285">
            <v>0</v>
          </cell>
        </row>
        <row r="286">
          <cell r="N286">
            <v>38325.52554214</v>
          </cell>
        </row>
        <row r="301">
          <cell r="D301">
            <v>25433.224499999997</v>
          </cell>
        </row>
      </sheetData>
      <sheetData sheetId="29">
        <row r="12">
          <cell r="CL12">
            <v>92090136</v>
          </cell>
          <cell r="CM12">
            <v>244253.72609688024</v>
          </cell>
          <cell r="CP12">
            <v>87996184.579999924</v>
          </cell>
          <cell r="CQ12">
            <v>229345.06065582816</v>
          </cell>
        </row>
        <row r="13">
          <cell r="CL13">
            <v>768398927.26999998</v>
          </cell>
          <cell r="CM13">
            <v>2038049.9939162126</v>
          </cell>
          <cell r="CP13">
            <v>782434844.24999976</v>
          </cell>
          <cell r="CQ13">
            <v>2039265.3121296251</v>
          </cell>
        </row>
        <row r="31">
          <cell r="CM31">
            <v>135399.50901435222</v>
          </cell>
          <cell r="CQ31">
            <v>124463.65867562051</v>
          </cell>
        </row>
        <row r="32">
          <cell r="CM32">
            <v>1129771.786627755</v>
          </cell>
          <cell r="CQ32">
            <v>1106692.3396219406</v>
          </cell>
        </row>
        <row r="47">
          <cell r="CM47">
            <v>28272.262818399071</v>
          </cell>
          <cell r="CQ47">
            <v>39348.552423598521</v>
          </cell>
        </row>
        <row r="48">
          <cell r="CM48">
            <v>235903.40252243035</v>
          </cell>
          <cell r="CQ48">
            <v>349875.1523599443</v>
          </cell>
        </row>
      </sheetData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3"/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</sheetNames>
    <sheetDataSet>
      <sheetData sheetId="0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C6" t="str">
            <v>BALANCE</v>
          </cell>
          <cell r="E6" t="str">
            <v>CURRENT</v>
          </cell>
          <cell r="I6" t="str">
            <v>DIVIDENDS</v>
          </cell>
          <cell r="K6" t="str">
            <v>BALANCE</v>
          </cell>
        </row>
        <row r="7">
          <cell r="A7" t="str">
            <v>ENDED</v>
          </cell>
          <cell r="C7" t="str">
            <v>B/F</v>
          </cell>
          <cell r="E7" t="str">
            <v>YEAR</v>
          </cell>
          <cell r="G7" t="str">
            <v>BALANCE</v>
          </cell>
          <cell r="I7" t="str">
            <v>PAID</v>
          </cell>
          <cell r="K7" t="str">
            <v>C/F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s"/>
      <sheetName val="template"/>
      <sheetName val="July00"/>
      <sheetName val="Aug00"/>
      <sheetName val="Sept00"/>
      <sheetName val="Oct00"/>
      <sheetName val="Nov00"/>
      <sheetName val="Dec00"/>
      <sheetName val="Jan01"/>
      <sheetName val="Feb01"/>
      <sheetName val="Mar01"/>
      <sheetName val="Apr01"/>
      <sheetName val="May01"/>
      <sheetName val="June01"/>
      <sheetName val="July01"/>
      <sheetName val="Aug01"/>
      <sheetName val="Sept01"/>
      <sheetName val="Oct01"/>
      <sheetName val="Nov01"/>
      <sheetName val="Dec01"/>
      <sheetName val="Jan02"/>
      <sheetName val="Feb02"/>
      <sheetName val="March02"/>
      <sheetName val="April02"/>
      <sheetName val="May02"/>
      <sheetName val="June02"/>
      <sheetName val="data"/>
      <sheetName val="income state"/>
      <sheetName val="BE"/>
      <sheetName val="average sp"/>
      <sheetName val="summary"/>
      <sheetName val="COGS - SMALL"/>
      <sheetName val="PL"/>
      <sheetName val="COGS - LARGE"/>
      <sheetName val="LARGE LOG"/>
      <sheetName val=" LUMBER -SMALL LOG - HANCOCKS"/>
      <sheetName val="ASSUMPTIONS"/>
      <sheetName val="l"/>
      <sheetName val="BB3-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/>
      <sheetData sheetId="3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gl"/>
      <sheetName val="gl"/>
      <sheetName val="K10"/>
      <sheetName val="K10-1 "/>
      <sheetName val="FF-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  <sheetName val="M_Maincomp"/>
      <sheetName val="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結内での役割分担"/>
      <sheetName val="PUSeg"/>
      <sheetName val="Param"/>
      <sheetName val="DMCtrl"/>
      <sheetName val="TopMenu"/>
      <sheetName val="DataMenu"/>
      <sheetName val="INFO"/>
      <sheetName val="BS"/>
      <sheetName val="BSPU"/>
      <sheetName val="PL"/>
      <sheetName val="PLPU"/>
      <sheetName val="KPL"/>
      <sheetName val="KPLPU"/>
      <sheetName val="KBS"/>
      <sheetName val="KPLM"/>
      <sheetName val="KPLD"/>
      <sheetName val="Chk"/>
      <sheetName val="MstIT"/>
      <sheetName val="MstCU"/>
      <sheetName val="MstVT"/>
      <sheetName val="WK"/>
      <sheetName val="U_WK"/>
      <sheetName val="Data_WK"/>
      <sheetName val="ChkU"/>
      <sheetName val="U035"/>
      <sheetName val="U055"/>
      <sheetName val="U086"/>
      <sheetName val="U056"/>
      <sheetName val="U101"/>
      <sheetName val="U103"/>
      <sheetName val="U131"/>
      <sheetName val="U132"/>
      <sheetName val="U135"/>
      <sheetName val="U139"/>
      <sheetName val="U143"/>
      <sheetName val="U148"/>
      <sheetName val="U152"/>
      <sheetName val="U154"/>
      <sheetName val="U157"/>
      <sheetName val="U171"/>
      <sheetName val="U305"/>
      <sheetName val="U350"/>
      <sheetName val="U354"/>
      <sheetName val="U362"/>
      <sheetName val="U363"/>
      <sheetName val="U485"/>
      <sheetName val="U701"/>
      <sheetName val="U705"/>
      <sheetName val="U707"/>
      <sheetName val="U802"/>
      <sheetName val="U803A"/>
      <sheetName val="U803B"/>
      <sheetName val="U822"/>
      <sheetName val="U90I"/>
      <sheetName val="U90J"/>
      <sheetName val="U90J2"/>
      <sheetName val="U90K"/>
      <sheetName val="U90K2"/>
      <sheetName val="U90S"/>
      <sheetName val="U90U"/>
      <sheetName val="U90Y"/>
      <sheetName val="U90Z"/>
      <sheetName val="CF1"/>
      <sheetName val="CF2"/>
      <sheetName val="CF3"/>
      <sheetName val="CF4"/>
      <sheetName val="CF5"/>
      <sheetName val="CF6"/>
      <sheetName val="CF7"/>
      <sheetName val="US1"/>
      <sheetName val="CINFO"/>
      <sheetName val="RPAC030829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</sheetNames>
    <sheetDataSet>
      <sheetData sheetId="0"/>
      <sheetData sheetId="1"/>
      <sheetData sheetId="2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>
        <row r="3">
          <cell r="A3" t="str">
            <v>COST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</v>
          </cell>
          <cell r="B4">
            <v>43063.519999999997</v>
          </cell>
          <cell r="C4">
            <v>43063.519999999997</v>
          </cell>
          <cell r="D4">
            <v>43063.519999999997</v>
          </cell>
          <cell r="E4">
            <v>43063.519999999997</v>
          </cell>
          <cell r="F4">
            <v>43063.519999999997</v>
          </cell>
          <cell r="G4">
            <v>43063.519999999997</v>
          </cell>
          <cell r="H4">
            <v>43063.519999999997</v>
          </cell>
          <cell r="I4">
            <v>43063.519999999997</v>
          </cell>
          <cell r="J4">
            <v>43063.519999999997</v>
          </cell>
          <cell r="K4">
            <v>43063.519999999997</v>
          </cell>
          <cell r="L4">
            <v>43063.519999999997</v>
          </cell>
          <cell r="M4">
            <v>43063.519999999997</v>
          </cell>
        </row>
        <row r="5">
          <cell r="A5" t="str">
            <v>Firearms</v>
          </cell>
          <cell r="B5">
            <v>15954</v>
          </cell>
          <cell r="C5">
            <v>15954</v>
          </cell>
          <cell r="D5">
            <v>15954</v>
          </cell>
          <cell r="E5">
            <v>15954</v>
          </cell>
          <cell r="F5">
            <v>15954</v>
          </cell>
          <cell r="G5">
            <v>15954</v>
          </cell>
          <cell r="H5">
            <v>15954</v>
          </cell>
          <cell r="I5">
            <v>15954</v>
          </cell>
          <cell r="J5">
            <v>15954</v>
          </cell>
          <cell r="K5">
            <v>15954</v>
          </cell>
          <cell r="L5">
            <v>15954</v>
          </cell>
          <cell r="M5">
            <v>15954</v>
          </cell>
        </row>
        <row r="6">
          <cell r="A6" t="str">
            <v>2 set plan hanger stands &amp; 20 hangers</v>
          </cell>
          <cell r="B6">
            <v>1590</v>
          </cell>
          <cell r="C6">
            <v>1590</v>
          </cell>
          <cell r="D6">
            <v>1590</v>
          </cell>
          <cell r="E6">
            <v>1590</v>
          </cell>
          <cell r="F6">
            <v>1590</v>
          </cell>
          <cell r="G6">
            <v>1590</v>
          </cell>
          <cell r="H6">
            <v>1590</v>
          </cell>
          <cell r="I6">
            <v>1590</v>
          </cell>
          <cell r="J6">
            <v>1590</v>
          </cell>
          <cell r="K6">
            <v>1590</v>
          </cell>
          <cell r="L6">
            <v>1590</v>
          </cell>
          <cell r="M6">
            <v>1590</v>
          </cell>
        </row>
        <row r="7">
          <cell r="A7" t="str">
            <v>3 units Lion steel cupboard with castor</v>
          </cell>
          <cell r="B7">
            <v>1239</v>
          </cell>
          <cell r="C7">
            <v>1239</v>
          </cell>
          <cell r="D7">
            <v>1239</v>
          </cell>
          <cell r="E7">
            <v>1239</v>
          </cell>
          <cell r="F7">
            <v>1239</v>
          </cell>
          <cell r="G7">
            <v>1239</v>
          </cell>
          <cell r="H7">
            <v>1239</v>
          </cell>
          <cell r="I7">
            <v>1239</v>
          </cell>
          <cell r="J7">
            <v>1239</v>
          </cell>
          <cell r="K7">
            <v>1239</v>
          </cell>
          <cell r="L7">
            <v>1239</v>
          </cell>
          <cell r="M7">
            <v>1239</v>
          </cell>
        </row>
        <row r="8">
          <cell r="A8" t="str">
            <v>2 units Typist chair w/o arm</v>
          </cell>
          <cell r="B8">
            <v>560</v>
          </cell>
          <cell r="C8">
            <v>560</v>
          </cell>
          <cell r="D8">
            <v>560</v>
          </cell>
          <cell r="E8">
            <v>560</v>
          </cell>
          <cell r="F8">
            <v>560</v>
          </cell>
          <cell r="G8">
            <v>560</v>
          </cell>
          <cell r="H8">
            <v>560</v>
          </cell>
          <cell r="I8">
            <v>560</v>
          </cell>
          <cell r="J8">
            <v>560</v>
          </cell>
          <cell r="K8">
            <v>560</v>
          </cell>
          <cell r="L8">
            <v>560</v>
          </cell>
          <cell r="M8">
            <v>560</v>
          </cell>
        </row>
        <row r="9">
          <cell r="A9" t="str">
            <v>3 units low back chairs</v>
          </cell>
          <cell r="B9">
            <v>675</v>
          </cell>
          <cell r="C9">
            <v>675</v>
          </cell>
          <cell r="D9">
            <v>675</v>
          </cell>
          <cell r="E9">
            <v>675</v>
          </cell>
          <cell r="F9">
            <v>675</v>
          </cell>
          <cell r="G9">
            <v>675</v>
          </cell>
          <cell r="H9">
            <v>675</v>
          </cell>
          <cell r="I9">
            <v>675</v>
          </cell>
          <cell r="J9">
            <v>675</v>
          </cell>
          <cell r="K9">
            <v>675</v>
          </cell>
          <cell r="L9">
            <v>675</v>
          </cell>
          <cell r="M9">
            <v>675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7944</v>
          </cell>
          <cell r="C19">
            <v>7944</v>
          </cell>
          <cell r="D19">
            <v>7944</v>
          </cell>
          <cell r="E19">
            <v>7944</v>
          </cell>
          <cell r="F19">
            <v>7944</v>
          </cell>
          <cell r="G19">
            <v>7944</v>
          </cell>
          <cell r="H19">
            <v>7944</v>
          </cell>
          <cell r="I19">
            <v>7944</v>
          </cell>
          <cell r="J19">
            <v>7944</v>
          </cell>
          <cell r="K19">
            <v>7944</v>
          </cell>
          <cell r="L19">
            <v>7944</v>
          </cell>
          <cell r="M19">
            <v>7944</v>
          </cell>
        </row>
        <row r="20">
          <cell r="A20" t="str">
            <v>3 units IBM PC300GL 166MHz</v>
          </cell>
          <cell r="B20">
            <v>11670</v>
          </cell>
          <cell r="C20">
            <v>11670</v>
          </cell>
          <cell r="D20">
            <v>11670</v>
          </cell>
          <cell r="E20">
            <v>11670</v>
          </cell>
          <cell r="F20">
            <v>11670</v>
          </cell>
          <cell r="G20">
            <v>11670</v>
          </cell>
          <cell r="H20">
            <v>11670</v>
          </cell>
          <cell r="I20">
            <v>11670</v>
          </cell>
          <cell r="J20">
            <v>11670</v>
          </cell>
          <cell r="K20">
            <v>11670</v>
          </cell>
          <cell r="L20">
            <v>11670</v>
          </cell>
          <cell r="M20">
            <v>11670</v>
          </cell>
        </row>
        <row r="21">
          <cell r="A21" t="str">
            <v>3 units APC Back UPS</v>
          </cell>
          <cell r="B21">
            <v>2340</v>
          </cell>
          <cell r="C21">
            <v>2340</v>
          </cell>
          <cell r="D21">
            <v>2340</v>
          </cell>
          <cell r="E21">
            <v>2340</v>
          </cell>
          <cell r="F21">
            <v>2340</v>
          </cell>
          <cell r="G21">
            <v>2340</v>
          </cell>
          <cell r="H21">
            <v>2340</v>
          </cell>
          <cell r="I21">
            <v>2340</v>
          </cell>
          <cell r="J21">
            <v>2340</v>
          </cell>
          <cell r="K21">
            <v>2340</v>
          </cell>
          <cell r="L21">
            <v>2340</v>
          </cell>
          <cell r="M21">
            <v>2340</v>
          </cell>
        </row>
        <row r="22">
          <cell r="A22" t="str">
            <v>3 units Epson LQ-2170 Printer</v>
          </cell>
          <cell r="B22">
            <v>5700</v>
          </cell>
          <cell r="C22">
            <v>5700</v>
          </cell>
          <cell r="D22">
            <v>5700</v>
          </cell>
          <cell r="E22">
            <v>5700</v>
          </cell>
          <cell r="F22">
            <v>5700</v>
          </cell>
          <cell r="G22">
            <v>5700</v>
          </cell>
          <cell r="H22">
            <v>5700</v>
          </cell>
          <cell r="I22">
            <v>5700</v>
          </cell>
          <cell r="J22">
            <v>5700</v>
          </cell>
          <cell r="K22">
            <v>5700</v>
          </cell>
          <cell r="L22">
            <v>5700</v>
          </cell>
          <cell r="M22">
            <v>5700</v>
          </cell>
        </row>
        <row r="23">
          <cell r="A23" t="str">
            <v>1 unit Epson LQ-2070 Printer</v>
          </cell>
          <cell r="B23">
            <v>1400</v>
          </cell>
          <cell r="C23">
            <v>1400</v>
          </cell>
          <cell r="D23">
            <v>1400</v>
          </cell>
          <cell r="E23">
            <v>1400</v>
          </cell>
          <cell r="F23">
            <v>1400</v>
          </cell>
          <cell r="G23">
            <v>1400</v>
          </cell>
          <cell r="H23">
            <v>1400</v>
          </cell>
          <cell r="I23">
            <v>1400</v>
          </cell>
          <cell r="J23">
            <v>1400</v>
          </cell>
          <cell r="K23">
            <v>1400</v>
          </cell>
          <cell r="L23">
            <v>1400</v>
          </cell>
          <cell r="M23">
            <v>1400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4260</v>
          </cell>
          <cell r="I24">
            <v>4260</v>
          </cell>
          <cell r="J24">
            <v>4260</v>
          </cell>
          <cell r="K24">
            <v>4260</v>
          </cell>
          <cell r="L24">
            <v>4260</v>
          </cell>
          <cell r="M24">
            <v>4260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Motorola Pager for P.Lim</v>
          </cell>
          <cell r="B28">
            <v>225</v>
          </cell>
          <cell r="C28">
            <v>225</v>
          </cell>
          <cell r="D28">
            <v>225</v>
          </cell>
          <cell r="E28">
            <v>225</v>
          </cell>
          <cell r="F28">
            <v>225</v>
          </cell>
          <cell r="G28">
            <v>225</v>
          </cell>
          <cell r="H28">
            <v>225</v>
          </cell>
          <cell r="I28">
            <v>225</v>
          </cell>
          <cell r="J28">
            <v>225</v>
          </cell>
          <cell r="K28">
            <v>225</v>
          </cell>
          <cell r="L28">
            <v>225</v>
          </cell>
          <cell r="M28">
            <v>225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7">
          <cell r="B37">
            <v>92360.51999999999</v>
          </cell>
          <cell r="C37">
            <v>92360.51999999999</v>
          </cell>
          <cell r="D37">
            <v>92360.51999999999</v>
          </cell>
          <cell r="E37">
            <v>92360.51999999999</v>
          </cell>
          <cell r="F37">
            <v>92360.51999999999</v>
          </cell>
          <cell r="G37">
            <v>92360.51999999999</v>
          </cell>
          <cell r="H37">
            <v>96620.51999999999</v>
          </cell>
          <cell r="I37">
            <v>96620.51999999999</v>
          </cell>
          <cell r="J37">
            <v>96620.51999999999</v>
          </cell>
          <cell r="K37">
            <v>96620.51999999999</v>
          </cell>
          <cell r="L37">
            <v>96620.51999999999</v>
          </cell>
          <cell r="M37">
            <v>96620.51999999999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93"/>
  <sheetViews>
    <sheetView zoomScale="80" zoomScaleNormal="80" zoomScaleSheetLayoutView="55" workbookViewId="0">
      <pane xSplit="1" ySplit="7" topLeftCell="B14" activePane="bottomRight" state="frozen"/>
      <selection pane="topRight" activeCell="B1" sqref="B1"/>
      <selection pane="bottomLeft" activeCell="A4" sqref="A4"/>
      <selection pane="bottomRight" activeCell="I47" sqref="I47"/>
    </sheetView>
  </sheetViews>
  <sheetFormatPr defaultRowHeight="15" outlineLevelRow="1" outlineLevelCol="1"/>
  <cols>
    <col min="1" max="1" width="36" style="407" customWidth="1"/>
    <col min="2" max="2" width="18.140625" style="409" customWidth="1"/>
    <col min="3" max="3" width="18.140625" style="409" hidden="1" customWidth="1"/>
    <col min="4" max="4" width="15" style="405" customWidth="1"/>
    <col min="5" max="5" width="15.42578125" style="405" customWidth="1"/>
    <col min="6" max="7" width="18.7109375" style="405" customWidth="1"/>
    <col min="8" max="8" width="14.5703125" style="405" customWidth="1"/>
    <col min="9" max="9" width="14.85546875" style="405" customWidth="1"/>
    <col min="10" max="10" width="14.85546875" style="405" customWidth="1" outlineLevel="1"/>
    <col min="11" max="11" width="19.140625" style="405" customWidth="1" outlineLevel="1"/>
    <col min="12" max="12" width="13.140625" style="405" customWidth="1" outlineLevel="1"/>
    <col min="13" max="13" width="13.140625" style="405" hidden="1" customWidth="1" outlineLevel="1"/>
    <col min="14" max="14" width="20.85546875" style="406" hidden="1" customWidth="1"/>
    <col min="15" max="15" width="12.7109375" style="407" customWidth="1"/>
    <col min="16" max="16" width="9" style="407" customWidth="1"/>
    <col min="17" max="17" width="10.85546875" style="407" bestFit="1" customWidth="1"/>
    <col min="18" max="18" width="10.140625" style="407" bestFit="1" customWidth="1"/>
    <col min="19" max="256" width="9.140625" style="407"/>
    <col min="257" max="257" width="36" style="407" customWidth="1"/>
    <col min="258" max="259" width="18.140625" style="407" customWidth="1"/>
    <col min="260" max="260" width="15" style="407" customWidth="1"/>
    <col min="261" max="261" width="15.42578125" style="407" customWidth="1"/>
    <col min="262" max="263" width="18.7109375" style="407" customWidth="1"/>
    <col min="264" max="264" width="14.5703125" style="407" customWidth="1"/>
    <col min="265" max="266" width="14.85546875" style="407" customWidth="1"/>
    <col min="267" max="267" width="19.140625" style="407" customWidth="1"/>
    <col min="268" max="268" width="13.140625" style="407" customWidth="1"/>
    <col min="269" max="270" width="0" style="407" hidden="1" customWidth="1"/>
    <col min="271" max="271" width="12.7109375" style="407" customWidth="1"/>
    <col min="272" max="272" width="9" style="407" customWidth="1"/>
    <col min="273" max="273" width="10.85546875" style="407" bestFit="1" customWidth="1"/>
    <col min="274" max="274" width="10.140625" style="407" bestFit="1" customWidth="1"/>
    <col min="275" max="512" width="9.140625" style="407"/>
    <col min="513" max="513" width="36" style="407" customWidth="1"/>
    <col min="514" max="515" width="18.140625" style="407" customWidth="1"/>
    <col min="516" max="516" width="15" style="407" customWidth="1"/>
    <col min="517" max="517" width="15.42578125" style="407" customWidth="1"/>
    <col min="518" max="519" width="18.7109375" style="407" customWidth="1"/>
    <col min="520" max="520" width="14.5703125" style="407" customWidth="1"/>
    <col min="521" max="522" width="14.85546875" style="407" customWidth="1"/>
    <col min="523" max="523" width="19.140625" style="407" customWidth="1"/>
    <col min="524" max="524" width="13.140625" style="407" customWidth="1"/>
    <col min="525" max="526" width="0" style="407" hidden="1" customWidth="1"/>
    <col min="527" max="527" width="12.7109375" style="407" customWidth="1"/>
    <col min="528" max="528" width="9" style="407" customWidth="1"/>
    <col min="529" max="529" width="10.85546875" style="407" bestFit="1" customWidth="1"/>
    <col min="530" max="530" width="10.140625" style="407" bestFit="1" customWidth="1"/>
    <col min="531" max="768" width="9.140625" style="407"/>
    <col min="769" max="769" width="36" style="407" customWidth="1"/>
    <col min="770" max="771" width="18.140625" style="407" customWidth="1"/>
    <col min="772" max="772" width="15" style="407" customWidth="1"/>
    <col min="773" max="773" width="15.42578125" style="407" customWidth="1"/>
    <col min="774" max="775" width="18.7109375" style="407" customWidth="1"/>
    <col min="776" max="776" width="14.5703125" style="407" customWidth="1"/>
    <col min="777" max="778" width="14.85546875" style="407" customWidth="1"/>
    <col min="779" max="779" width="19.140625" style="407" customWidth="1"/>
    <col min="780" max="780" width="13.140625" style="407" customWidth="1"/>
    <col min="781" max="782" width="0" style="407" hidden="1" customWidth="1"/>
    <col min="783" max="783" width="12.7109375" style="407" customWidth="1"/>
    <col min="784" max="784" width="9" style="407" customWidth="1"/>
    <col min="785" max="785" width="10.85546875" style="407" bestFit="1" customWidth="1"/>
    <col min="786" max="786" width="10.140625" style="407" bestFit="1" customWidth="1"/>
    <col min="787" max="1024" width="9.140625" style="407"/>
    <col min="1025" max="1025" width="36" style="407" customWidth="1"/>
    <col min="1026" max="1027" width="18.140625" style="407" customWidth="1"/>
    <col min="1028" max="1028" width="15" style="407" customWidth="1"/>
    <col min="1029" max="1029" width="15.42578125" style="407" customWidth="1"/>
    <col min="1030" max="1031" width="18.7109375" style="407" customWidth="1"/>
    <col min="1032" max="1032" width="14.5703125" style="407" customWidth="1"/>
    <col min="1033" max="1034" width="14.85546875" style="407" customWidth="1"/>
    <col min="1035" max="1035" width="19.140625" style="407" customWidth="1"/>
    <col min="1036" max="1036" width="13.140625" style="407" customWidth="1"/>
    <col min="1037" max="1038" width="0" style="407" hidden="1" customWidth="1"/>
    <col min="1039" max="1039" width="12.7109375" style="407" customWidth="1"/>
    <col min="1040" max="1040" width="9" style="407" customWidth="1"/>
    <col min="1041" max="1041" width="10.85546875" style="407" bestFit="1" customWidth="1"/>
    <col min="1042" max="1042" width="10.140625" style="407" bestFit="1" customWidth="1"/>
    <col min="1043" max="1280" width="9.140625" style="407"/>
    <col min="1281" max="1281" width="36" style="407" customWidth="1"/>
    <col min="1282" max="1283" width="18.140625" style="407" customWidth="1"/>
    <col min="1284" max="1284" width="15" style="407" customWidth="1"/>
    <col min="1285" max="1285" width="15.42578125" style="407" customWidth="1"/>
    <col min="1286" max="1287" width="18.7109375" style="407" customWidth="1"/>
    <col min="1288" max="1288" width="14.5703125" style="407" customWidth="1"/>
    <col min="1289" max="1290" width="14.85546875" style="407" customWidth="1"/>
    <col min="1291" max="1291" width="19.140625" style="407" customWidth="1"/>
    <col min="1292" max="1292" width="13.140625" style="407" customWidth="1"/>
    <col min="1293" max="1294" width="0" style="407" hidden="1" customWidth="1"/>
    <col min="1295" max="1295" width="12.7109375" style="407" customWidth="1"/>
    <col min="1296" max="1296" width="9" style="407" customWidth="1"/>
    <col min="1297" max="1297" width="10.85546875" style="407" bestFit="1" customWidth="1"/>
    <col min="1298" max="1298" width="10.140625" style="407" bestFit="1" customWidth="1"/>
    <col min="1299" max="1536" width="9.140625" style="407"/>
    <col min="1537" max="1537" width="36" style="407" customWidth="1"/>
    <col min="1538" max="1539" width="18.140625" style="407" customWidth="1"/>
    <col min="1540" max="1540" width="15" style="407" customWidth="1"/>
    <col min="1541" max="1541" width="15.42578125" style="407" customWidth="1"/>
    <col min="1542" max="1543" width="18.7109375" style="407" customWidth="1"/>
    <col min="1544" max="1544" width="14.5703125" style="407" customWidth="1"/>
    <col min="1545" max="1546" width="14.85546875" style="407" customWidth="1"/>
    <col min="1547" max="1547" width="19.140625" style="407" customWidth="1"/>
    <col min="1548" max="1548" width="13.140625" style="407" customWidth="1"/>
    <col min="1549" max="1550" width="0" style="407" hidden="1" customWidth="1"/>
    <col min="1551" max="1551" width="12.7109375" style="407" customWidth="1"/>
    <col min="1552" max="1552" width="9" style="407" customWidth="1"/>
    <col min="1553" max="1553" width="10.85546875" style="407" bestFit="1" customWidth="1"/>
    <col min="1554" max="1554" width="10.140625" style="407" bestFit="1" customWidth="1"/>
    <col min="1555" max="1792" width="9.140625" style="407"/>
    <col min="1793" max="1793" width="36" style="407" customWidth="1"/>
    <col min="1794" max="1795" width="18.140625" style="407" customWidth="1"/>
    <col min="1796" max="1796" width="15" style="407" customWidth="1"/>
    <col min="1797" max="1797" width="15.42578125" style="407" customWidth="1"/>
    <col min="1798" max="1799" width="18.7109375" style="407" customWidth="1"/>
    <col min="1800" max="1800" width="14.5703125" style="407" customWidth="1"/>
    <col min="1801" max="1802" width="14.85546875" style="407" customWidth="1"/>
    <col min="1803" max="1803" width="19.140625" style="407" customWidth="1"/>
    <col min="1804" max="1804" width="13.140625" style="407" customWidth="1"/>
    <col min="1805" max="1806" width="0" style="407" hidden="1" customWidth="1"/>
    <col min="1807" max="1807" width="12.7109375" style="407" customWidth="1"/>
    <col min="1808" max="1808" width="9" style="407" customWidth="1"/>
    <col min="1809" max="1809" width="10.85546875" style="407" bestFit="1" customWidth="1"/>
    <col min="1810" max="1810" width="10.140625" style="407" bestFit="1" customWidth="1"/>
    <col min="1811" max="2048" width="9.140625" style="407"/>
    <col min="2049" max="2049" width="36" style="407" customWidth="1"/>
    <col min="2050" max="2051" width="18.140625" style="407" customWidth="1"/>
    <col min="2052" max="2052" width="15" style="407" customWidth="1"/>
    <col min="2053" max="2053" width="15.42578125" style="407" customWidth="1"/>
    <col min="2054" max="2055" width="18.7109375" style="407" customWidth="1"/>
    <col min="2056" max="2056" width="14.5703125" style="407" customWidth="1"/>
    <col min="2057" max="2058" width="14.85546875" style="407" customWidth="1"/>
    <col min="2059" max="2059" width="19.140625" style="407" customWidth="1"/>
    <col min="2060" max="2060" width="13.140625" style="407" customWidth="1"/>
    <col min="2061" max="2062" width="0" style="407" hidden="1" customWidth="1"/>
    <col min="2063" max="2063" width="12.7109375" style="407" customWidth="1"/>
    <col min="2064" max="2064" width="9" style="407" customWidth="1"/>
    <col min="2065" max="2065" width="10.85546875" style="407" bestFit="1" customWidth="1"/>
    <col min="2066" max="2066" width="10.140625" style="407" bestFit="1" customWidth="1"/>
    <col min="2067" max="2304" width="9.140625" style="407"/>
    <col min="2305" max="2305" width="36" style="407" customWidth="1"/>
    <col min="2306" max="2307" width="18.140625" style="407" customWidth="1"/>
    <col min="2308" max="2308" width="15" style="407" customWidth="1"/>
    <col min="2309" max="2309" width="15.42578125" style="407" customWidth="1"/>
    <col min="2310" max="2311" width="18.7109375" style="407" customWidth="1"/>
    <col min="2312" max="2312" width="14.5703125" style="407" customWidth="1"/>
    <col min="2313" max="2314" width="14.85546875" style="407" customWidth="1"/>
    <col min="2315" max="2315" width="19.140625" style="407" customWidth="1"/>
    <col min="2316" max="2316" width="13.140625" style="407" customWidth="1"/>
    <col min="2317" max="2318" width="0" style="407" hidden="1" customWidth="1"/>
    <col min="2319" max="2319" width="12.7109375" style="407" customWidth="1"/>
    <col min="2320" max="2320" width="9" style="407" customWidth="1"/>
    <col min="2321" max="2321" width="10.85546875" style="407" bestFit="1" customWidth="1"/>
    <col min="2322" max="2322" width="10.140625" style="407" bestFit="1" customWidth="1"/>
    <col min="2323" max="2560" width="9.140625" style="407"/>
    <col min="2561" max="2561" width="36" style="407" customWidth="1"/>
    <col min="2562" max="2563" width="18.140625" style="407" customWidth="1"/>
    <col min="2564" max="2564" width="15" style="407" customWidth="1"/>
    <col min="2565" max="2565" width="15.42578125" style="407" customWidth="1"/>
    <col min="2566" max="2567" width="18.7109375" style="407" customWidth="1"/>
    <col min="2568" max="2568" width="14.5703125" style="407" customWidth="1"/>
    <col min="2569" max="2570" width="14.85546875" style="407" customWidth="1"/>
    <col min="2571" max="2571" width="19.140625" style="407" customWidth="1"/>
    <col min="2572" max="2572" width="13.140625" style="407" customWidth="1"/>
    <col min="2573" max="2574" width="0" style="407" hidden="1" customWidth="1"/>
    <col min="2575" max="2575" width="12.7109375" style="407" customWidth="1"/>
    <col min="2576" max="2576" width="9" style="407" customWidth="1"/>
    <col min="2577" max="2577" width="10.85546875" style="407" bestFit="1" customWidth="1"/>
    <col min="2578" max="2578" width="10.140625" style="407" bestFit="1" customWidth="1"/>
    <col min="2579" max="2816" width="9.140625" style="407"/>
    <col min="2817" max="2817" width="36" style="407" customWidth="1"/>
    <col min="2818" max="2819" width="18.140625" style="407" customWidth="1"/>
    <col min="2820" max="2820" width="15" style="407" customWidth="1"/>
    <col min="2821" max="2821" width="15.42578125" style="407" customWidth="1"/>
    <col min="2822" max="2823" width="18.7109375" style="407" customWidth="1"/>
    <col min="2824" max="2824" width="14.5703125" style="407" customWidth="1"/>
    <col min="2825" max="2826" width="14.85546875" style="407" customWidth="1"/>
    <col min="2827" max="2827" width="19.140625" style="407" customWidth="1"/>
    <col min="2828" max="2828" width="13.140625" style="407" customWidth="1"/>
    <col min="2829" max="2830" width="0" style="407" hidden="1" customWidth="1"/>
    <col min="2831" max="2831" width="12.7109375" style="407" customWidth="1"/>
    <col min="2832" max="2832" width="9" style="407" customWidth="1"/>
    <col min="2833" max="2833" width="10.85546875" style="407" bestFit="1" customWidth="1"/>
    <col min="2834" max="2834" width="10.140625" style="407" bestFit="1" customWidth="1"/>
    <col min="2835" max="3072" width="9.140625" style="407"/>
    <col min="3073" max="3073" width="36" style="407" customWidth="1"/>
    <col min="3074" max="3075" width="18.140625" style="407" customWidth="1"/>
    <col min="3076" max="3076" width="15" style="407" customWidth="1"/>
    <col min="3077" max="3077" width="15.42578125" style="407" customWidth="1"/>
    <col min="3078" max="3079" width="18.7109375" style="407" customWidth="1"/>
    <col min="3080" max="3080" width="14.5703125" style="407" customWidth="1"/>
    <col min="3081" max="3082" width="14.85546875" style="407" customWidth="1"/>
    <col min="3083" max="3083" width="19.140625" style="407" customWidth="1"/>
    <col min="3084" max="3084" width="13.140625" style="407" customWidth="1"/>
    <col min="3085" max="3086" width="0" style="407" hidden="1" customWidth="1"/>
    <col min="3087" max="3087" width="12.7109375" style="407" customWidth="1"/>
    <col min="3088" max="3088" width="9" style="407" customWidth="1"/>
    <col min="3089" max="3089" width="10.85546875" style="407" bestFit="1" customWidth="1"/>
    <col min="3090" max="3090" width="10.140625" style="407" bestFit="1" customWidth="1"/>
    <col min="3091" max="3328" width="9.140625" style="407"/>
    <col min="3329" max="3329" width="36" style="407" customWidth="1"/>
    <col min="3330" max="3331" width="18.140625" style="407" customWidth="1"/>
    <col min="3332" max="3332" width="15" style="407" customWidth="1"/>
    <col min="3333" max="3333" width="15.42578125" style="407" customWidth="1"/>
    <col min="3334" max="3335" width="18.7109375" style="407" customWidth="1"/>
    <col min="3336" max="3336" width="14.5703125" style="407" customWidth="1"/>
    <col min="3337" max="3338" width="14.85546875" style="407" customWidth="1"/>
    <col min="3339" max="3339" width="19.140625" style="407" customWidth="1"/>
    <col min="3340" max="3340" width="13.140625" style="407" customWidth="1"/>
    <col min="3341" max="3342" width="0" style="407" hidden="1" customWidth="1"/>
    <col min="3343" max="3343" width="12.7109375" style="407" customWidth="1"/>
    <col min="3344" max="3344" width="9" style="407" customWidth="1"/>
    <col min="3345" max="3345" width="10.85546875" style="407" bestFit="1" customWidth="1"/>
    <col min="3346" max="3346" width="10.140625" style="407" bestFit="1" customWidth="1"/>
    <col min="3347" max="3584" width="9.140625" style="407"/>
    <col min="3585" max="3585" width="36" style="407" customWidth="1"/>
    <col min="3586" max="3587" width="18.140625" style="407" customWidth="1"/>
    <col min="3588" max="3588" width="15" style="407" customWidth="1"/>
    <col min="3589" max="3589" width="15.42578125" style="407" customWidth="1"/>
    <col min="3590" max="3591" width="18.7109375" style="407" customWidth="1"/>
    <col min="3592" max="3592" width="14.5703125" style="407" customWidth="1"/>
    <col min="3593" max="3594" width="14.85546875" style="407" customWidth="1"/>
    <col min="3595" max="3595" width="19.140625" style="407" customWidth="1"/>
    <col min="3596" max="3596" width="13.140625" style="407" customWidth="1"/>
    <col min="3597" max="3598" width="0" style="407" hidden="1" customWidth="1"/>
    <col min="3599" max="3599" width="12.7109375" style="407" customWidth="1"/>
    <col min="3600" max="3600" width="9" style="407" customWidth="1"/>
    <col min="3601" max="3601" width="10.85546875" style="407" bestFit="1" customWidth="1"/>
    <col min="3602" max="3602" width="10.140625" style="407" bestFit="1" customWidth="1"/>
    <col min="3603" max="3840" width="9.140625" style="407"/>
    <col min="3841" max="3841" width="36" style="407" customWidth="1"/>
    <col min="3842" max="3843" width="18.140625" style="407" customWidth="1"/>
    <col min="3844" max="3844" width="15" style="407" customWidth="1"/>
    <col min="3845" max="3845" width="15.42578125" style="407" customWidth="1"/>
    <col min="3846" max="3847" width="18.7109375" style="407" customWidth="1"/>
    <col min="3848" max="3848" width="14.5703125" style="407" customWidth="1"/>
    <col min="3849" max="3850" width="14.85546875" style="407" customWidth="1"/>
    <col min="3851" max="3851" width="19.140625" style="407" customWidth="1"/>
    <col min="3852" max="3852" width="13.140625" style="407" customWidth="1"/>
    <col min="3853" max="3854" width="0" style="407" hidden="1" customWidth="1"/>
    <col min="3855" max="3855" width="12.7109375" style="407" customWidth="1"/>
    <col min="3856" max="3856" width="9" style="407" customWidth="1"/>
    <col min="3857" max="3857" width="10.85546875" style="407" bestFit="1" customWidth="1"/>
    <col min="3858" max="3858" width="10.140625" style="407" bestFit="1" customWidth="1"/>
    <col min="3859" max="4096" width="9.140625" style="407"/>
    <col min="4097" max="4097" width="36" style="407" customWidth="1"/>
    <col min="4098" max="4099" width="18.140625" style="407" customWidth="1"/>
    <col min="4100" max="4100" width="15" style="407" customWidth="1"/>
    <col min="4101" max="4101" width="15.42578125" style="407" customWidth="1"/>
    <col min="4102" max="4103" width="18.7109375" style="407" customWidth="1"/>
    <col min="4104" max="4104" width="14.5703125" style="407" customWidth="1"/>
    <col min="4105" max="4106" width="14.85546875" style="407" customWidth="1"/>
    <col min="4107" max="4107" width="19.140625" style="407" customWidth="1"/>
    <col min="4108" max="4108" width="13.140625" style="407" customWidth="1"/>
    <col min="4109" max="4110" width="0" style="407" hidden="1" customWidth="1"/>
    <col min="4111" max="4111" width="12.7109375" style="407" customWidth="1"/>
    <col min="4112" max="4112" width="9" style="407" customWidth="1"/>
    <col min="4113" max="4113" width="10.85546875" style="407" bestFit="1" customWidth="1"/>
    <col min="4114" max="4114" width="10.140625" style="407" bestFit="1" customWidth="1"/>
    <col min="4115" max="4352" width="9.140625" style="407"/>
    <col min="4353" max="4353" width="36" style="407" customWidth="1"/>
    <col min="4354" max="4355" width="18.140625" style="407" customWidth="1"/>
    <col min="4356" max="4356" width="15" style="407" customWidth="1"/>
    <col min="4357" max="4357" width="15.42578125" style="407" customWidth="1"/>
    <col min="4358" max="4359" width="18.7109375" style="407" customWidth="1"/>
    <col min="4360" max="4360" width="14.5703125" style="407" customWidth="1"/>
    <col min="4361" max="4362" width="14.85546875" style="407" customWidth="1"/>
    <col min="4363" max="4363" width="19.140625" style="407" customWidth="1"/>
    <col min="4364" max="4364" width="13.140625" style="407" customWidth="1"/>
    <col min="4365" max="4366" width="0" style="407" hidden="1" customWidth="1"/>
    <col min="4367" max="4367" width="12.7109375" style="407" customWidth="1"/>
    <col min="4368" max="4368" width="9" style="407" customWidth="1"/>
    <col min="4369" max="4369" width="10.85546875" style="407" bestFit="1" customWidth="1"/>
    <col min="4370" max="4370" width="10.140625" style="407" bestFit="1" customWidth="1"/>
    <col min="4371" max="4608" width="9.140625" style="407"/>
    <col min="4609" max="4609" width="36" style="407" customWidth="1"/>
    <col min="4610" max="4611" width="18.140625" style="407" customWidth="1"/>
    <col min="4612" max="4612" width="15" style="407" customWidth="1"/>
    <col min="4613" max="4613" width="15.42578125" style="407" customWidth="1"/>
    <col min="4614" max="4615" width="18.7109375" style="407" customWidth="1"/>
    <col min="4616" max="4616" width="14.5703125" style="407" customWidth="1"/>
    <col min="4617" max="4618" width="14.85546875" style="407" customWidth="1"/>
    <col min="4619" max="4619" width="19.140625" style="407" customWidth="1"/>
    <col min="4620" max="4620" width="13.140625" style="407" customWidth="1"/>
    <col min="4621" max="4622" width="0" style="407" hidden="1" customWidth="1"/>
    <col min="4623" max="4623" width="12.7109375" style="407" customWidth="1"/>
    <col min="4624" max="4624" width="9" style="407" customWidth="1"/>
    <col min="4625" max="4625" width="10.85546875" style="407" bestFit="1" customWidth="1"/>
    <col min="4626" max="4626" width="10.140625" style="407" bestFit="1" customWidth="1"/>
    <col min="4627" max="4864" width="9.140625" style="407"/>
    <col min="4865" max="4865" width="36" style="407" customWidth="1"/>
    <col min="4866" max="4867" width="18.140625" style="407" customWidth="1"/>
    <col min="4868" max="4868" width="15" style="407" customWidth="1"/>
    <col min="4869" max="4869" width="15.42578125" style="407" customWidth="1"/>
    <col min="4870" max="4871" width="18.7109375" style="407" customWidth="1"/>
    <col min="4872" max="4872" width="14.5703125" style="407" customWidth="1"/>
    <col min="4873" max="4874" width="14.85546875" style="407" customWidth="1"/>
    <col min="4875" max="4875" width="19.140625" style="407" customWidth="1"/>
    <col min="4876" max="4876" width="13.140625" style="407" customWidth="1"/>
    <col min="4877" max="4878" width="0" style="407" hidden="1" customWidth="1"/>
    <col min="4879" max="4879" width="12.7109375" style="407" customWidth="1"/>
    <col min="4880" max="4880" width="9" style="407" customWidth="1"/>
    <col min="4881" max="4881" width="10.85546875" style="407" bestFit="1" customWidth="1"/>
    <col min="4882" max="4882" width="10.140625" style="407" bestFit="1" customWidth="1"/>
    <col min="4883" max="5120" width="9.140625" style="407"/>
    <col min="5121" max="5121" width="36" style="407" customWidth="1"/>
    <col min="5122" max="5123" width="18.140625" style="407" customWidth="1"/>
    <col min="5124" max="5124" width="15" style="407" customWidth="1"/>
    <col min="5125" max="5125" width="15.42578125" style="407" customWidth="1"/>
    <col min="5126" max="5127" width="18.7109375" style="407" customWidth="1"/>
    <col min="5128" max="5128" width="14.5703125" style="407" customWidth="1"/>
    <col min="5129" max="5130" width="14.85546875" style="407" customWidth="1"/>
    <col min="5131" max="5131" width="19.140625" style="407" customWidth="1"/>
    <col min="5132" max="5132" width="13.140625" style="407" customWidth="1"/>
    <col min="5133" max="5134" width="0" style="407" hidden="1" customWidth="1"/>
    <col min="5135" max="5135" width="12.7109375" style="407" customWidth="1"/>
    <col min="5136" max="5136" width="9" style="407" customWidth="1"/>
    <col min="5137" max="5137" width="10.85546875" style="407" bestFit="1" customWidth="1"/>
    <col min="5138" max="5138" width="10.140625" style="407" bestFit="1" customWidth="1"/>
    <col min="5139" max="5376" width="9.140625" style="407"/>
    <col min="5377" max="5377" width="36" style="407" customWidth="1"/>
    <col min="5378" max="5379" width="18.140625" style="407" customWidth="1"/>
    <col min="5380" max="5380" width="15" style="407" customWidth="1"/>
    <col min="5381" max="5381" width="15.42578125" style="407" customWidth="1"/>
    <col min="5382" max="5383" width="18.7109375" style="407" customWidth="1"/>
    <col min="5384" max="5384" width="14.5703125" style="407" customWidth="1"/>
    <col min="5385" max="5386" width="14.85546875" style="407" customWidth="1"/>
    <col min="5387" max="5387" width="19.140625" style="407" customWidth="1"/>
    <col min="5388" max="5388" width="13.140625" style="407" customWidth="1"/>
    <col min="5389" max="5390" width="0" style="407" hidden="1" customWidth="1"/>
    <col min="5391" max="5391" width="12.7109375" style="407" customWidth="1"/>
    <col min="5392" max="5392" width="9" style="407" customWidth="1"/>
    <col min="5393" max="5393" width="10.85546875" style="407" bestFit="1" customWidth="1"/>
    <col min="5394" max="5394" width="10.140625" style="407" bestFit="1" customWidth="1"/>
    <col min="5395" max="5632" width="9.140625" style="407"/>
    <col min="5633" max="5633" width="36" style="407" customWidth="1"/>
    <col min="5634" max="5635" width="18.140625" style="407" customWidth="1"/>
    <col min="5636" max="5636" width="15" style="407" customWidth="1"/>
    <col min="5637" max="5637" width="15.42578125" style="407" customWidth="1"/>
    <col min="5638" max="5639" width="18.7109375" style="407" customWidth="1"/>
    <col min="5640" max="5640" width="14.5703125" style="407" customWidth="1"/>
    <col min="5641" max="5642" width="14.85546875" style="407" customWidth="1"/>
    <col min="5643" max="5643" width="19.140625" style="407" customWidth="1"/>
    <col min="5644" max="5644" width="13.140625" style="407" customWidth="1"/>
    <col min="5645" max="5646" width="0" style="407" hidden="1" customWidth="1"/>
    <col min="5647" max="5647" width="12.7109375" style="407" customWidth="1"/>
    <col min="5648" max="5648" width="9" style="407" customWidth="1"/>
    <col min="5649" max="5649" width="10.85546875" style="407" bestFit="1" customWidth="1"/>
    <col min="5650" max="5650" width="10.140625" style="407" bestFit="1" customWidth="1"/>
    <col min="5651" max="5888" width="9.140625" style="407"/>
    <col min="5889" max="5889" width="36" style="407" customWidth="1"/>
    <col min="5890" max="5891" width="18.140625" style="407" customWidth="1"/>
    <col min="5892" max="5892" width="15" style="407" customWidth="1"/>
    <col min="5893" max="5893" width="15.42578125" style="407" customWidth="1"/>
    <col min="5894" max="5895" width="18.7109375" style="407" customWidth="1"/>
    <col min="5896" max="5896" width="14.5703125" style="407" customWidth="1"/>
    <col min="5897" max="5898" width="14.85546875" style="407" customWidth="1"/>
    <col min="5899" max="5899" width="19.140625" style="407" customWidth="1"/>
    <col min="5900" max="5900" width="13.140625" style="407" customWidth="1"/>
    <col min="5901" max="5902" width="0" style="407" hidden="1" customWidth="1"/>
    <col min="5903" max="5903" width="12.7109375" style="407" customWidth="1"/>
    <col min="5904" max="5904" width="9" style="407" customWidth="1"/>
    <col min="5905" max="5905" width="10.85546875" style="407" bestFit="1" customWidth="1"/>
    <col min="5906" max="5906" width="10.140625" style="407" bestFit="1" customWidth="1"/>
    <col min="5907" max="6144" width="9.140625" style="407"/>
    <col min="6145" max="6145" width="36" style="407" customWidth="1"/>
    <col min="6146" max="6147" width="18.140625" style="407" customWidth="1"/>
    <col min="6148" max="6148" width="15" style="407" customWidth="1"/>
    <col min="6149" max="6149" width="15.42578125" style="407" customWidth="1"/>
    <col min="6150" max="6151" width="18.7109375" style="407" customWidth="1"/>
    <col min="6152" max="6152" width="14.5703125" style="407" customWidth="1"/>
    <col min="6153" max="6154" width="14.85546875" style="407" customWidth="1"/>
    <col min="6155" max="6155" width="19.140625" style="407" customWidth="1"/>
    <col min="6156" max="6156" width="13.140625" style="407" customWidth="1"/>
    <col min="6157" max="6158" width="0" style="407" hidden="1" customWidth="1"/>
    <col min="6159" max="6159" width="12.7109375" style="407" customWidth="1"/>
    <col min="6160" max="6160" width="9" style="407" customWidth="1"/>
    <col min="6161" max="6161" width="10.85546875" style="407" bestFit="1" customWidth="1"/>
    <col min="6162" max="6162" width="10.140625" style="407" bestFit="1" customWidth="1"/>
    <col min="6163" max="6400" width="9.140625" style="407"/>
    <col min="6401" max="6401" width="36" style="407" customWidth="1"/>
    <col min="6402" max="6403" width="18.140625" style="407" customWidth="1"/>
    <col min="6404" max="6404" width="15" style="407" customWidth="1"/>
    <col min="6405" max="6405" width="15.42578125" style="407" customWidth="1"/>
    <col min="6406" max="6407" width="18.7109375" style="407" customWidth="1"/>
    <col min="6408" max="6408" width="14.5703125" style="407" customWidth="1"/>
    <col min="6409" max="6410" width="14.85546875" style="407" customWidth="1"/>
    <col min="6411" max="6411" width="19.140625" style="407" customWidth="1"/>
    <col min="6412" max="6412" width="13.140625" style="407" customWidth="1"/>
    <col min="6413" max="6414" width="0" style="407" hidden="1" customWidth="1"/>
    <col min="6415" max="6415" width="12.7109375" style="407" customWidth="1"/>
    <col min="6416" max="6416" width="9" style="407" customWidth="1"/>
    <col min="6417" max="6417" width="10.85546875" style="407" bestFit="1" customWidth="1"/>
    <col min="6418" max="6418" width="10.140625" style="407" bestFit="1" customWidth="1"/>
    <col min="6419" max="6656" width="9.140625" style="407"/>
    <col min="6657" max="6657" width="36" style="407" customWidth="1"/>
    <col min="6658" max="6659" width="18.140625" style="407" customWidth="1"/>
    <col min="6660" max="6660" width="15" style="407" customWidth="1"/>
    <col min="6661" max="6661" width="15.42578125" style="407" customWidth="1"/>
    <col min="6662" max="6663" width="18.7109375" style="407" customWidth="1"/>
    <col min="6664" max="6664" width="14.5703125" style="407" customWidth="1"/>
    <col min="6665" max="6666" width="14.85546875" style="407" customWidth="1"/>
    <col min="6667" max="6667" width="19.140625" style="407" customWidth="1"/>
    <col min="6668" max="6668" width="13.140625" style="407" customWidth="1"/>
    <col min="6669" max="6670" width="0" style="407" hidden="1" customWidth="1"/>
    <col min="6671" max="6671" width="12.7109375" style="407" customWidth="1"/>
    <col min="6672" max="6672" width="9" style="407" customWidth="1"/>
    <col min="6673" max="6673" width="10.85546875" style="407" bestFit="1" customWidth="1"/>
    <col min="6674" max="6674" width="10.140625" style="407" bestFit="1" customWidth="1"/>
    <col min="6675" max="6912" width="9.140625" style="407"/>
    <col min="6913" max="6913" width="36" style="407" customWidth="1"/>
    <col min="6914" max="6915" width="18.140625" style="407" customWidth="1"/>
    <col min="6916" max="6916" width="15" style="407" customWidth="1"/>
    <col min="6917" max="6917" width="15.42578125" style="407" customWidth="1"/>
    <col min="6918" max="6919" width="18.7109375" style="407" customWidth="1"/>
    <col min="6920" max="6920" width="14.5703125" style="407" customWidth="1"/>
    <col min="6921" max="6922" width="14.85546875" style="407" customWidth="1"/>
    <col min="6923" max="6923" width="19.140625" style="407" customWidth="1"/>
    <col min="6924" max="6924" width="13.140625" style="407" customWidth="1"/>
    <col min="6925" max="6926" width="0" style="407" hidden="1" customWidth="1"/>
    <col min="6927" max="6927" width="12.7109375" style="407" customWidth="1"/>
    <col min="6928" max="6928" width="9" style="407" customWidth="1"/>
    <col min="6929" max="6929" width="10.85546875" style="407" bestFit="1" customWidth="1"/>
    <col min="6930" max="6930" width="10.140625" style="407" bestFit="1" customWidth="1"/>
    <col min="6931" max="7168" width="9.140625" style="407"/>
    <col min="7169" max="7169" width="36" style="407" customWidth="1"/>
    <col min="7170" max="7171" width="18.140625" style="407" customWidth="1"/>
    <col min="7172" max="7172" width="15" style="407" customWidth="1"/>
    <col min="7173" max="7173" width="15.42578125" style="407" customWidth="1"/>
    <col min="7174" max="7175" width="18.7109375" style="407" customWidth="1"/>
    <col min="7176" max="7176" width="14.5703125" style="407" customWidth="1"/>
    <col min="7177" max="7178" width="14.85546875" style="407" customWidth="1"/>
    <col min="7179" max="7179" width="19.140625" style="407" customWidth="1"/>
    <col min="7180" max="7180" width="13.140625" style="407" customWidth="1"/>
    <col min="7181" max="7182" width="0" style="407" hidden="1" customWidth="1"/>
    <col min="7183" max="7183" width="12.7109375" style="407" customWidth="1"/>
    <col min="7184" max="7184" width="9" style="407" customWidth="1"/>
    <col min="7185" max="7185" width="10.85546875" style="407" bestFit="1" customWidth="1"/>
    <col min="7186" max="7186" width="10.140625" style="407" bestFit="1" customWidth="1"/>
    <col min="7187" max="7424" width="9.140625" style="407"/>
    <col min="7425" max="7425" width="36" style="407" customWidth="1"/>
    <col min="7426" max="7427" width="18.140625" style="407" customWidth="1"/>
    <col min="7428" max="7428" width="15" style="407" customWidth="1"/>
    <col min="7429" max="7429" width="15.42578125" style="407" customWidth="1"/>
    <col min="7430" max="7431" width="18.7109375" style="407" customWidth="1"/>
    <col min="7432" max="7432" width="14.5703125" style="407" customWidth="1"/>
    <col min="7433" max="7434" width="14.85546875" style="407" customWidth="1"/>
    <col min="7435" max="7435" width="19.140625" style="407" customWidth="1"/>
    <col min="7436" max="7436" width="13.140625" style="407" customWidth="1"/>
    <col min="7437" max="7438" width="0" style="407" hidden="1" customWidth="1"/>
    <col min="7439" max="7439" width="12.7109375" style="407" customWidth="1"/>
    <col min="7440" max="7440" width="9" style="407" customWidth="1"/>
    <col min="7441" max="7441" width="10.85546875" style="407" bestFit="1" customWidth="1"/>
    <col min="7442" max="7442" width="10.140625" style="407" bestFit="1" customWidth="1"/>
    <col min="7443" max="7680" width="9.140625" style="407"/>
    <col min="7681" max="7681" width="36" style="407" customWidth="1"/>
    <col min="7682" max="7683" width="18.140625" style="407" customWidth="1"/>
    <col min="7684" max="7684" width="15" style="407" customWidth="1"/>
    <col min="7685" max="7685" width="15.42578125" style="407" customWidth="1"/>
    <col min="7686" max="7687" width="18.7109375" style="407" customWidth="1"/>
    <col min="7688" max="7688" width="14.5703125" style="407" customWidth="1"/>
    <col min="7689" max="7690" width="14.85546875" style="407" customWidth="1"/>
    <col min="7691" max="7691" width="19.140625" style="407" customWidth="1"/>
    <col min="7692" max="7692" width="13.140625" style="407" customWidth="1"/>
    <col min="7693" max="7694" width="0" style="407" hidden="1" customWidth="1"/>
    <col min="7695" max="7695" width="12.7109375" style="407" customWidth="1"/>
    <col min="7696" max="7696" width="9" style="407" customWidth="1"/>
    <col min="7697" max="7697" width="10.85546875" style="407" bestFit="1" customWidth="1"/>
    <col min="7698" max="7698" width="10.140625" style="407" bestFit="1" customWidth="1"/>
    <col min="7699" max="7936" width="9.140625" style="407"/>
    <col min="7937" max="7937" width="36" style="407" customWidth="1"/>
    <col min="7938" max="7939" width="18.140625" style="407" customWidth="1"/>
    <col min="7940" max="7940" width="15" style="407" customWidth="1"/>
    <col min="7941" max="7941" width="15.42578125" style="407" customWidth="1"/>
    <col min="7942" max="7943" width="18.7109375" style="407" customWidth="1"/>
    <col min="7944" max="7944" width="14.5703125" style="407" customWidth="1"/>
    <col min="7945" max="7946" width="14.85546875" style="407" customWidth="1"/>
    <col min="7947" max="7947" width="19.140625" style="407" customWidth="1"/>
    <col min="7948" max="7948" width="13.140625" style="407" customWidth="1"/>
    <col min="7949" max="7950" width="0" style="407" hidden="1" customWidth="1"/>
    <col min="7951" max="7951" width="12.7109375" style="407" customWidth="1"/>
    <col min="7952" max="7952" width="9" style="407" customWidth="1"/>
    <col min="7953" max="7953" width="10.85546875" style="407" bestFit="1" customWidth="1"/>
    <col min="7954" max="7954" width="10.140625" style="407" bestFit="1" customWidth="1"/>
    <col min="7955" max="8192" width="9.140625" style="407"/>
    <col min="8193" max="8193" width="36" style="407" customWidth="1"/>
    <col min="8194" max="8195" width="18.140625" style="407" customWidth="1"/>
    <col min="8196" max="8196" width="15" style="407" customWidth="1"/>
    <col min="8197" max="8197" width="15.42578125" style="407" customWidth="1"/>
    <col min="8198" max="8199" width="18.7109375" style="407" customWidth="1"/>
    <col min="8200" max="8200" width="14.5703125" style="407" customWidth="1"/>
    <col min="8201" max="8202" width="14.85546875" style="407" customWidth="1"/>
    <col min="8203" max="8203" width="19.140625" style="407" customWidth="1"/>
    <col min="8204" max="8204" width="13.140625" style="407" customWidth="1"/>
    <col min="8205" max="8206" width="0" style="407" hidden="1" customWidth="1"/>
    <col min="8207" max="8207" width="12.7109375" style="407" customWidth="1"/>
    <col min="8208" max="8208" width="9" style="407" customWidth="1"/>
    <col min="8209" max="8209" width="10.85546875" style="407" bestFit="1" customWidth="1"/>
    <col min="8210" max="8210" width="10.140625" style="407" bestFit="1" customWidth="1"/>
    <col min="8211" max="8448" width="9.140625" style="407"/>
    <col min="8449" max="8449" width="36" style="407" customWidth="1"/>
    <col min="8450" max="8451" width="18.140625" style="407" customWidth="1"/>
    <col min="8452" max="8452" width="15" style="407" customWidth="1"/>
    <col min="8453" max="8453" width="15.42578125" style="407" customWidth="1"/>
    <col min="8454" max="8455" width="18.7109375" style="407" customWidth="1"/>
    <col min="8456" max="8456" width="14.5703125" style="407" customWidth="1"/>
    <col min="8457" max="8458" width="14.85546875" style="407" customWidth="1"/>
    <col min="8459" max="8459" width="19.140625" style="407" customWidth="1"/>
    <col min="8460" max="8460" width="13.140625" style="407" customWidth="1"/>
    <col min="8461" max="8462" width="0" style="407" hidden="1" customWidth="1"/>
    <col min="8463" max="8463" width="12.7109375" style="407" customWidth="1"/>
    <col min="8464" max="8464" width="9" style="407" customWidth="1"/>
    <col min="8465" max="8465" width="10.85546875" style="407" bestFit="1" customWidth="1"/>
    <col min="8466" max="8466" width="10.140625" style="407" bestFit="1" customWidth="1"/>
    <col min="8467" max="8704" width="9.140625" style="407"/>
    <col min="8705" max="8705" width="36" style="407" customWidth="1"/>
    <col min="8706" max="8707" width="18.140625" style="407" customWidth="1"/>
    <col min="8708" max="8708" width="15" style="407" customWidth="1"/>
    <col min="8709" max="8709" width="15.42578125" style="407" customWidth="1"/>
    <col min="8710" max="8711" width="18.7109375" style="407" customWidth="1"/>
    <col min="8712" max="8712" width="14.5703125" style="407" customWidth="1"/>
    <col min="8713" max="8714" width="14.85546875" style="407" customWidth="1"/>
    <col min="8715" max="8715" width="19.140625" style="407" customWidth="1"/>
    <col min="8716" max="8716" width="13.140625" style="407" customWidth="1"/>
    <col min="8717" max="8718" width="0" style="407" hidden="1" customWidth="1"/>
    <col min="8719" max="8719" width="12.7109375" style="407" customWidth="1"/>
    <col min="8720" max="8720" width="9" style="407" customWidth="1"/>
    <col min="8721" max="8721" width="10.85546875" style="407" bestFit="1" customWidth="1"/>
    <col min="8722" max="8722" width="10.140625" style="407" bestFit="1" customWidth="1"/>
    <col min="8723" max="8960" width="9.140625" style="407"/>
    <col min="8961" max="8961" width="36" style="407" customWidth="1"/>
    <col min="8962" max="8963" width="18.140625" style="407" customWidth="1"/>
    <col min="8964" max="8964" width="15" style="407" customWidth="1"/>
    <col min="8965" max="8965" width="15.42578125" style="407" customWidth="1"/>
    <col min="8966" max="8967" width="18.7109375" style="407" customWidth="1"/>
    <col min="8968" max="8968" width="14.5703125" style="407" customWidth="1"/>
    <col min="8969" max="8970" width="14.85546875" style="407" customWidth="1"/>
    <col min="8971" max="8971" width="19.140625" style="407" customWidth="1"/>
    <col min="8972" max="8972" width="13.140625" style="407" customWidth="1"/>
    <col min="8973" max="8974" width="0" style="407" hidden="1" customWidth="1"/>
    <col min="8975" max="8975" width="12.7109375" style="407" customWidth="1"/>
    <col min="8976" max="8976" width="9" style="407" customWidth="1"/>
    <col min="8977" max="8977" width="10.85546875" style="407" bestFit="1" customWidth="1"/>
    <col min="8978" max="8978" width="10.140625" style="407" bestFit="1" customWidth="1"/>
    <col min="8979" max="9216" width="9.140625" style="407"/>
    <col min="9217" max="9217" width="36" style="407" customWidth="1"/>
    <col min="9218" max="9219" width="18.140625" style="407" customWidth="1"/>
    <col min="9220" max="9220" width="15" style="407" customWidth="1"/>
    <col min="9221" max="9221" width="15.42578125" style="407" customWidth="1"/>
    <col min="9222" max="9223" width="18.7109375" style="407" customWidth="1"/>
    <col min="9224" max="9224" width="14.5703125" style="407" customWidth="1"/>
    <col min="9225" max="9226" width="14.85546875" style="407" customWidth="1"/>
    <col min="9227" max="9227" width="19.140625" style="407" customWidth="1"/>
    <col min="9228" max="9228" width="13.140625" style="407" customWidth="1"/>
    <col min="9229" max="9230" width="0" style="407" hidden="1" customWidth="1"/>
    <col min="9231" max="9231" width="12.7109375" style="407" customWidth="1"/>
    <col min="9232" max="9232" width="9" style="407" customWidth="1"/>
    <col min="9233" max="9233" width="10.85546875" style="407" bestFit="1" customWidth="1"/>
    <col min="9234" max="9234" width="10.140625" style="407" bestFit="1" customWidth="1"/>
    <col min="9235" max="9472" width="9.140625" style="407"/>
    <col min="9473" max="9473" width="36" style="407" customWidth="1"/>
    <col min="9474" max="9475" width="18.140625" style="407" customWidth="1"/>
    <col min="9476" max="9476" width="15" style="407" customWidth="1"/>
    <col min="9477" max="9477" width="15.42578125" style="407" customWidth="1"/>
    <col min="9478" max="9479" width="18.7109375" style="407" customWidth="1"/>
    <col min="9480" max="9480" width="14.5703125" style="407" customWidth="1"/>
    <col min="9481" max="9482" width="14.85546875" style="407" customWidth="1"/>
    <col min="9483" max="9483" width="19.140625" style="407" customWidth="1"/>
    <col min="9484" max="9484" width="13.140625" style="407" customWidth="1"/>
    <col min="9485" max="9486" width="0" style="407" hidden="1" customWidth="1"/>
    <col min="9487" max="9487" width="12.7109375" style="407" customWidth="1"/>
    <col min="9488" max="9488" width="9" style="407" customWidth="1"/>
    <col min="9489" max="9489" width="10.85546875" style="407" bestFit="1" customWidth="1"/>
    <col min="9490" max="9490" width="10.140625" style="407" bestFit="1" customWidth="1"/>
    <col min="9491" max="9728" width="9.140625" style="407"/>
    <col min="9729" max="9729" width="36" style="407" customWidth="1"/>
    <col min="9730" max="9731" width="18.140625" style="407" customWidth="1"/>
    <col min="9732" max="9732" width="15" style="407" customWidth="1"/>
    <col min="9733" max="9733" width="15.42578125" style="407" customWidth="1"/>
    <col min="9734" max="9735" width="18.7109375" style="407" customWidth="1"/>
    <col min="9736" max="9736" width="14.5703125" style="407" customWidth="1"/>
    <col min="9737" max="9738" width="14.85546875" style="407" customWidth="1"/>
    <col min="9739" max="9739" width="19.140625" style="407" customWidth="1"/>
    <col min="9740" max="9740" width="13.140625" style="407" customWidth="1"/>
    <col min="9741" max="9742" width="0" style="407" hidden="1" customWidth="1"/>
    <col min="9743" max="9743" width="12.7109375" style="407" customWidth="1"/>
    <col min="9744" max="9744" width="9" style="407" customWidth="1"/>
    <col min="9745" max="9745" width="10.85546875" style="407" bestFit="1" customWidth="1"/>
    <col min="9746" max="9746" width="10.140625" style="407" bestFit="1" customWidth="1"/>
    <col min="9747" max="9984" width="9.140625" style="407"/>
    <col min="9985" max="9985" width="36" style="407" customWidth="1"/>
    <col min="9986" max="9987" width="18.140625" style="407" customWidth="1"/>
    <col min="9988" max="9988" width="15" style="407" customWidth="1"/>
    <col min="9989" max="9989" width="15.42578125" style="407" customWidth="1"/>
    <col min="9990" max="9991" width="18.7109375" style="407" customWidth="1"/>
    <col min="9992" max="9992" width="14.5703125" style="407" customWidth="1"/>
    <col min="9993" max="9994" width="14.85546875" style="407" customWidth="1"/>
    <col min="9995" max="9995" width="19.140625" style="407" customWidth="1"/>
    <col min="9996" max="9996" width="13.140625" style="407" customWidth="1"/>
    <col min="9997" max="9998" width="0" style="407" hidden="1" customWidth="1"/>
    <col min="9999" max="9999" width="12.7109375" style="407" customWidth="1"/>
    <col min="10000" max="10000" width="9" style="407" customWidth="1"/>
    <col min="10001" max="10001" width="10.85546875" style="407" bestFit="1" customWidth="1"/>
    <col min="10002" max="10002" width="10.140625" style="407" bestFit="1" customWidth="1"/>
    <col min="10003" max="10240" width="9.140625" style="407"/>
    <col min="10241" max="10241" width="36" style="407" customWidth="1"/>
    <col min="10242" max="10243" width="18.140625" style="407" customWidth="1"/>
    <col min="10244" max="10244" width="15" style="407" customWidth="1"/>
    <col min="10245" max="10245" width="15.42578125" style="407" customWidth="1"/>
    <col min="10246" max="10247" width="18.7109375" style="407" customWidth="1"/>
    <col min="10248" max="10248" width="14.5703125" style="407" customWidth="1"/>
    <col min="10249" max="10250" width="14.85546875" style="407" customWidth="1"/>
    <col min="10251" max="10251" width="19.140625" style="407" customWidth="1"/>
    <col min="10252" max="10252" width="13.140625" style="407" customWidth="1"/>
    <col min="10253" max="10254" width="0" style="407" hidden="1" customWidth="1"/>
    <col min="10255" max="10255" width="12.7109375" style="407" customWidth="1"/>
    <col min="10256" max="10256" width="9" style="407" customWidth="1"/>
    <col min="10257" max="10257" width="10.85546875" style="407" bestFit="1" customWidth="1"/>
    <col min="10258" max="10258" width="10.140625" style="407" bestFit="1" customWidth="1"/>
    <col min="10259" max="10496" width="9.140625" style="407"/>
    <col min="10497" max="10497" width="36" style="407" customWidth="1"/>
    <col min="10498" max="10499" width="18.140625" style="407" customWidth="1"/>
    <col min="10500" max="10500" width="15" style="407" customWidth="1"/>
    <col min="10501" max="10501" width="15.42578125" style="407" customWidth="1"/>
    <col min="10502" max="10503" width="18.7109375" style="407" customWidth="1"/>
    <col min="10504" max="10504" width="14.5703125" style="407" customWidth="1"/>
    <col min="10505" max="10506" width="14.85546875" style="407" customWidth="1"/>
    <col min="10507" max="10507" width="19.140625" style="407" customWidth="1"/>
    <col min="10508" max="10508" width="13.140625" style="407" customWidth="1"/>
    <col min="10509" max="10510" width="0" style="407" hidden="1" customWidth="1"/>
    <col min="10511" max="10511" width="12.7109375" style="407" customWidth="1"/>
    <col min="10512" max="10512" width="9" style="407" customWidth="1"/>
    <col min="10513" max="10513" width="10.85546875" style="407" bestFit="1" customWidth="1"/>
    <col min="10514" max="10514" width="10.140625" style="407" bestFit="1" customWidth="1"/>
    <col min="10515" max="10752" width="9.140625" style="407"/>
    <col min="10753" max="10753" width="36" style="407" customWidth="1"/>
    <col min="10754" max="10755" width="18.140625" style="407" customWidth="1"/>
    <col min="10756" max="10756" width="15" style="407" customWidth="1"/>
    <col min="10757" max="10757" width="15.42578125" style="407" customWidth="1"/>
    <col min="10758" max="10759" width="18.7109375" style="407" customWidth="1"/>
    <col min="10760" max="10760" width="14.5703125" style="407" customWidth="1"/>
    <col min="10761" max="10762" width="14.85546875" style="407" customWidth="1"/>
    <col min="10763" max="10763" width="19.140625" style="407" customWidth="1"/>
    <col min="10764" max="10764" width="13.140625" style="407" customWidth="1"/>
    <col min="10765" max="10766" width="0" style="407" hidden="1" customWidth="1"/>
    <col min="10767" max="10767" width="12.7109375" style="407" customWidth="1"/>
    <col min="10768" max="10768" width="9" style="407" customWidth="1"/>
    <col min="10769" max="10769" width="10.85546875" style="407" bestFit="1" customWidth="1"/>
    <col min="10770" max="10770" width="10.140625" style="407" bestFit="1" customWidth="1"/>
    <col min="10771" max="11008" width="9.140625" style="407"/>
    <col min="11009" max="11009" width="36" style="407" customWidth="1"/>
    <col min="11010" max="11011" width="18.140625" style="407" customWidth="1"/>
    <col min="11012" max="11012" width="15" style="407" customWidth="1"/>
    <col min="11013" max="11013" width="15.42578125" style="407" customWidth="1"/>
    <col min="11014" max="11015" width="18.7109375" style="407" customWidth="1"/>
    <col min="11016" max="11016" width="14.5703125" style="407" customWidth="1"/>
    <col min="11017" max="11018" width="14.85546875" style="407" customWidth="1"/>
    <col min="11019" max="11019" width="19.140625" style="407" customWidth="1"/>
    <col min="11020" max="11020" width="13.140625" style="407" customWidth="1"/>
    <col min="11021" max="11022" width="0" style="407" hidden="1" customWidth="1"/>
    <col min="11023" max="11023" width="12.7109375" style="407" customWidth="1"/>
    <col min="11024" max="11024" width="9" style="407" customWidth="1"/>
    <col min="11025" max="11025" width="10.85546875" style="407" bestFit="1" customWidth="1"/>
    <col min="11026" max="11026" width="10.140625" style="407" bestFit="1" customWidth="1"/>
    <col min="11027" max="11264" width="9.140625" style="407"/>
    <col min="11265" max="11265" width="36" style="407" customWidth="1"/>
    <col min="11266" max="11267" width="18.140625" style="407" customWidth="1"/>
    <col min="11268" max="11268" width="15" style="407" customWidth="1"/>
    <col min="11269" max="11269" width="15.42578125" style="407" customWidth="1"/>
    <col min="11270" max="11271" width="18.7109375" style="407" customWidth="1"/>
    <col min="11272" max="11272" width="14.5703125" style="407" customWidth="1"/>
    <col min="11273" max="11274" width="14.85546875" style="407" customWidth="1"/>
    <col min="11275" max="11275" width="19.140625" style="407" customWidth="1"/>
    <col min="11276" max="11276" width="13.140625" style="407" customWidth="1"/>
    <col min="11277" max="11278" width="0" style="407" hidden="1" customWidth="1"/>
    <col min="11279" max="11279" width="12.7109375" style="407" customWidth="1"/>
    <col min="11280" max="11280" width="9" style="407" customWidth="1"/>
    <col min="11281" max="11281" width="10.85546875" style="407" bestFit="1" customWidth="1"/>
    <col min="11282" max="11282" width="10.140625" style="407" bestFit="1" customWidth="1"/>
    <col min="11283" max="11520" width="9.140625" style="407"/>
    <col min="11521" max="11521" width="36" style="407" customWidth="1"/>
    <col min="11522" max="11523" width="18.140625" style="407" customWidth="1"/>
    <col min="11524" max="11524" width="15" style="407" customWidth="1"/>
    <col min="11525" max="11525" width="15.42578125" style="407" customWidth="1"/>
    <col min="11526" max="11527" width="18.7109375" style="407" customWidth="1"/>
    <col min="11528" max="11528" width="14.5703125" style="407" customWidth="1"/>
    <col min="11529" max="11530" width="14.85546875" style="407" customWidth="1"/>
    <col min="11531" max="11531" width="19.140625" style="407" customWidth="1"/>
    <col min="11532" max="11532" width="13.140625" style="407" customWidth="1"/>
    <col min="11533" max="11534" width="0" style="407" hidden="1" customWidth="1"/>
    <col min="11535" max="11535" width="12.7109375" style="407" customWidth="1"/>
    <col min="11536" max="11536" width="9" style="407" customWidth="1"/>
    <col min="11537" max="11537" width="10.85546875" style="407" bestFit="1" customWidth="1"/>
    <col min="11538" max="11538" width="10.140625" style="407" bestFit="1" customWidth="1"/>
    <col min="11539" max="11776" width="9.140625" style="407"/>
    <col min="11777" max="11777" width="36" style="407" customWidth="1"/>
    <col min="11778" max="11779" width="18.140625" style="407" customWidth="1"/>
    <col min="11780" max="11780" width="15" style="407" customWidth="1"/>
    <col min="11781" max="11781" width="15.42578125" style="407" customWidth="1"/>
    <col min="11782" max="11783" width="18.7109375" style="407" customWidth="1"/>
    <col min="11784" max="11784" width="14.5703125" style="407" customWidth="1"/>
    <col min="11785" max="11786" width="14.85546875" style="407" customWidth="1"/>
    <col min="11787" max="11787" width="19.140625" style="407" customWidth="1"/>
    <col min="11788" max="11788" width="13.140625" style="407" customWidth="1"/>
    <col min="11789" max="11790" width="0" style="407" hidden="1" customWidth="1"/>
    <col min="11791" max="11791" width="12.7109375" style="407" customWidth="1"/>
    <col min="11792" max="11792" width="9" style="407" customWidth="1"/>
    <col min="11793" max="11793" width="10.85546875" style="407" bestFit="1" customWidth="1"/>
    <col min="11794" max="11794" width="10.140625" style="407" bestFit="1" customWidth="1"/>
    <col min="11795" max="12032" width="9.140625" style="407"/>
    <col min="12033" max="12033" width="36" style="407" customWidth="1"/>
    <col min="12034" max="12035" width="18.140625" style="407" customWidth="1"/>
    <col min="12036" max="12036" width="15" style="407" customWidth="1"/>
    <col min="12037" max="12037" width="15.42578125" style="407" customWidth="1"/>
    <col min="12038" max="12039" width="18.7109375" style="407" customWidth="1"/>
    <col min="12040" max="12040" width="14.5703125" style="407" customWidth="1"/>
    <col min="12041" max="12042" width="14.85546875" style="407" customWidth="1"/>
    <col min="12043" max="12043" width="19.140625" style="407" customWidth="1"/>
    <col min="12044" max="12044" width="13.140625" style="407" customWidth="1"/>
    <col min="12045" max="12046" width="0" style="407" hidden="1" customWidth="1"/>
    <col min="12047" max="12047" width="12.7109375" style="407" customWidth="1"/>
    <col min="12048" max="12048" width="9" style="407" customWidth="1"/>
    <col min="12049" max="12049" width="10.85546875" style="407" bestFit="1" customWidth="1"/>
    <col min="12050" max="12050" width="10.140625" style="407" bestFit="1" customWidth="1"/>
    <col min="12051" max="12288" width="9.140625" style="407"/>
    <col min="12289" max="12289" width="36" style="407" customWidth="1"/>
    <col min="12290" max="12291" width="18.140625" style="407" customWidth="1"/>
    <col min="12292" max="12292" width="15" style="407" customWidth="1"/>
    <col min="12293" max="12293" width="15.42578125" style="407" customWidth="1"/>
    <col min="12294" max="12295" width="18.7109375" style="407" customWidth="1"/>
    <col min="12296" max="12296" width="14.5703125" style="407" customWidth="1"/>
    <col min="12297" max="12298" width="14.85546875" style="407" customWidth="1"/>
    <col min="12299" max="12299" width="19.140625" style="407" customWidth="1"/>
    <col min="12300" max="12300" width="13.140625" style="407" customWidth="1"/>
    <col min="12301" max="12302" width="0" style="407" hidden="1" customWidth="1"/>
    <col min="12303" max="12303" width="12.7109375" style="407" customWidth="1"/>
    <col min="12304" max="12304" width="9" style="407" customWidth="1"/>
    <col min="12305" max="12305" width="10.85546875" style="407" bestFit="1" customWidth="1"/>
    <col min="12306" max="12306" width="10.140625" style="407" bestFit="1" customWidth="1"/>
    <col min="12307" max="12544" width="9.140625" style="407"/>
    <col min="12545" max="12545" width="36" style="407" customWidth="1"/>
    <col min="12546" max="12547" width="18.140625" style="407" customWidth="1"/>
    <col min="12548" max="12548" width="15" style="407" customWidth="1"/>
    <col min="12549" max="12549" width="15.42578125" style="407" customWidth="1"/>
    <col min="12550" max="12551" width="18.7109375" style="407" customWidth="1"/>
    <col min="12552" max="12552" width="14.5703125" style="407" customWidth="1"/>
    <col min="12553" max="12554" width="14.85546875" style="407" customWidth="1"/>
    <col min="12555" max="12555" width="19.140625" style="407" customWidth="1"/>
    <col min="12556" max="12556" width="13.140625" style="407" customWidth="1"/>
    <col min="12557" max="12558" width="0" style="407" hidden="1" customWidth="1"/>
    <col min="12559" max="12559" width="12.7109375" style="407" customWidth="1"/>
    <col min="12560" max="12560" width="9" style="407" customWidth="1"/>
    <col min="12561" max="12561" width="10.85546875" style="407" bestFit="1" customWidth="1"/>
    <col min="12562" max="12562" width="10.140625" style="407" bestFit="1" customWidth="1"/>
    <col min="12563" max="12800" width="9.140625" style="407"/>
    <col min="12801" max="12801" width="36" style="407" customWidth="1"/>
    <col min="12802" max="12803" width="18.140625" style="407" customWidth="1"/>
    <col min="12804" max="12804" width="15" style="407" customWidth="1"/>
    <col min="12805" max="12805" width="15.42578125" style="407" customWidth="1"/>
    <col min="12806" max="12807" width="18.7109375" style="407" customWidth="1"/>
    <col min="12808" max="12808" width="14.5703125" style="407" customWidth="1"/>
    <col min="12809" max="12810" width="14.85546875" style="407" customWidth="1"/>
    <col min="12811" max="12811" width="19.140625" style="407" customWidth="1"/>
    <col min="12812" max="12812" width="13.140625" style="407" customWidth="1"/>
    <col min="12813" max="12814" width="0" style="407" hidden="1" customWidth="1"/>
    <col min="12815" max="12815" width="12.7109375" style="407" customWidth="1"/>
    <col min="12816" max="12816" width="9" style="407" customWidth="1"/>
    <col min="12817" max="12817" width="10.85546875" style="407" bestFit="1" customWidth="1"/>
    <col min="12818" max="12818" width="10.140625" style="407" bestFit="1" customWidth="1"/>
    <col min="12819" max="13056" width="9.140625" style="407"/>
    <col min="13057" max="13057" width="36" style="407" customWidth="1"/>
    <col min="13058" max="13059" width="18.140625" style="407" customWidth="1"/>
    <col min="13060" max="13060" width="15" style="407" customWidth="1"/>
    <col min="13061" max="13061" width="15.42578125" style="407" customWidth="1"/>
    <col min="13062" max="13063" width="18.7109375" style="407" customWidth="1"/>
    <col min="13064" max="13064" width="14.5703125" style="407" customWidth="1"/>
    <col min="13065" max="13066" width="14.85546875" style="407" customWidth="1"/>
    <col min="13067" max="13067" width="19.140625" style="407" customWidth="1"/>
    <col min="13068" max="13068" width="13.140625" style="407" customWidth="1"/>
    <col min="13069" max="13070" width="0" style="407" hidden="1" customWidth="1"/>
    <col min="13071" max="13071" width="12.7109375" style="407" customWidth="1"/>
    <col min="13072" max="13072" width="9" style="407" customWidth="1"/>
    <col min="13073" max="13073" width="10.85546875" style="407" bestFit="1" customWidth="1"/>
    <col min="13074" max="13074" width="10.140625" style="407" bestFit="1" customWidth="1"/>
    <col min="13075" max="13312" width="9.140625" style="407"/>
    <col min="13313" max="13313" width="36" style="407" customWidth="1"/>
    <col min="13314" max="13315" width="18.140625" style="407" customWidth="1"/>
    <col min="13316" max="13316" width="15" style="407" customWidth="1"/>
    <col min="13317" max="13317" width="15.42578125" style="407" customWidth="1"/>
    <col min="13318" max="13319" width="18.7109375" style="407" customWidth="1"/>
    <col min="13320" max="13320" width="14.5703125" style="407" customWidth="1"/>
    <col min="13321" max="13322" width="14.85546875" style="407" customWidth="1"/>
    <col min="13323" max="13323" width="19.140625" style="407" customWidth="1"/>
    <col min="13324" max="13324" width="13.140625" style="407" customWidth="1"/>
    <col min="13325" max="13326" width="0" style="407" hidden="1" customWidth="1"/>
    <col min="13327" max="13327" width="12.7109375" style="407" customWidth="1"/>
    <col min="13328" max="13328" width="9" style="407" customWidth="1"/>
    <col min="13329" max="13329" width="10.85546875" style="407" bestFit="1" customWidth="1"/>
    <col min="13330" max="13330" width="10.140625" style="407" bestFit="1" customWidth="1"/>
    <col min="13331" max="13568" width="9.140625" style="407"/>
    <col min="13569" max="13569" width="36" style="407" customWidth="1"/>
    <col min="13570" max="13571" width="18.140625" style="407" customWidth="1"/>
    <col min="13572" max="13572" width="15" style="407" customWidth="1"/>
    <col min="13573" max="13573" width="15.42578125" style="407" customWidth="1"/>
    <col min="13574" max="13575" width="18.7109375" style="407" customWidth="1"/>
    <col min="13576" max="13576" width="14.5703125" style="407" customWidth="1"/>
    <col min="13577" max="13578" width="14.85546875" style="407" customWidth="1"/>
    <col min="13579" max="13579" width="19.140625" style="407" customWidth="1"/>
    <col min="13580" max="13580" width="13.140625" style="407" customWidth="1"/>
    <col min="13581" max="13582" width="0" style="407" hidden="1" customWidth="1"/>
    <col min="13583" max="13583" width="12.7109375" style="407" customWidth="1"/>
    <col min="13584" max="13584" width="9" style="407" customWidth="1"/>
    <col min="13585" max="13585" width="10.85546875" style="407" bestFit="1" customWidth="1"/>
    <col min="13586" max="13586" width="10.140625" style="407" bestFit="1" customWidth="1"/>
    <col min="13587" max="13824" width="9.140625" style="407"/>
    <col min="13825" max="13825" width="36" style="407" customWidth="1"/>
    <col min="13826" max="13827" width="18.140625" style="407" customWidth="1"/>
    <col min="13828" max="13828" width="15" style="407" customWidth="1"/>
    <col min="13829" max="13829" width="15.42578125" style="407" customWidth="1"/>
    <col min="13830" max="13831" width="18.7109375" style="407" customWidth="1"/>
    <col min="13832" max="13832" width="14.5703125" style="407" customWidth="1"/>
    <col min="13833" max="13834" width="14.85546875" style="407" customWidth="1"/>
    <col min="13835" max="13835" width="19.140625" style="407" customWidth="1"/>
    <col min="13836" max="13836" width="13.140625" style="407" customWidth="1"/>
    <col min="13837" max="13838" width="0" style="407" hidden="1" customWidth="1"/>
    <col min="13839" max="13839" width="12.7109375" style="407" customWidth="1"/>
    <col min="13840" max="13840" width="9" style="407" customWidth="1"/>
    <col min="13841" max="13841" width="10.85546875" style="407" bestFit="1" customWidth="1"/>
    <col min="13842" max="13842" width="10.140625" style="407" bestFit="1" customWidth="1"/>
    <col min="13843" max="14080" width="9.140625" style="407"/>
    <col min="14081" max="14081" width="36" style="407" customWidth="1"/>
    <col min="14082" max="14083" width="18.140625" style="407" customWidth="1"/>
    <col min="14084" max="14084" width="15" style="407" customWidth="1"/>
    <col min="14085" max="14085" width="15.42578125" style="407" customWidth="1"/>
    <col min="14086" max="14087" width="18.7109375" style="407" customWidth="1"/>
    <col min="14088" max="14088" width="14.5703125" style="407" customWidth="1"/>
    <col min="14089" max="14090" width="14.85546875" style="407" customWidth="1"/>
    <col min="14091" max="14091" width="19.140625" style="407" customWidth="1"/>
    <col min="14092" max="14092" width="13.140625" style="407" customWidth="1"/>
    <col min="14093" max="14094" width="0" style="407" hidden="1" customWidth="1"/>
    <col min="14095" max="14095" width="12.7109375" style="407" customWidth="1"/>
    <col min="14096" max="14096" width="9" style="407" customWidth="1"/>
    <col min="14097" max="14097" width="10.85546875" style="407" bestFit="1" customWidth="1"/>
    <col min="14098" max="14098" width="10.140625" style="407" bestFit="1" customWidth="1"/>
    <col min="14099" max="14336" width="9.140625" style="407"/>
    <col min="14337" max="14337" width="36" style="407" customWidth="1"/>
    <col min="14338" max="14339" width="18.140625" style="407" customWidth="1"/>
    <col min="14340" max="14340" width="15" style="407" customWidth="1"/>
    <col min="14341" max="14341" width="15.42578125" style="407" customWidth="1"/>
    <col min="14342" max="14343" width="18.7109375" style="407" customWidth="1"/>
    <col min="14344" max="14344" width="14.5703125" style="407" customWidth="1"/>
    <col min="14345" max="14346" width="14.85546875" style="407" customWidth="1"/>
    <col min="14347" max="14347" width="19.140625" style="407" customWidth="1"/>
    <col min="14348" max="14348" width="13.140625" style="407" customWidth="1"/>
    <col min="14349" max="14350" width="0" style="407" hidden="1" customWidth="1"/>
    <col min="14351" max="14351" width="12.7109375" style="407" customWidth="1"/>
    <col min="14352" max="14352" width="9" style="407" customWidth="1"/>
    <col min="14353" max="14353" width="10.85546875" style="407" bestFit="1" customWidth="1"/>
    <col min="14354" max="14354" width="10.140625" style="407" bestFit="1" customWidth="1"/>
    <col min="14355" max="14592" width="9.140625" style="407"/>
    <col min="14593" max="14593" width="36" style="407" customWidth="1"/>
    <col min="14594" max="14595" width="18.140625" style="407" customWidth="1"/>
    <col min="14596" max="14596" width="15" style="407" customWidth="1"/>
    <col min="14597" max="14597" width="15.42578125" style="407" customWidth="1"/>
    <col min="14598" max="14599" width="18.7109375" style="407" customWidth="1"/>
    <col min="14600" max="14600" width="14.5703125" style="407" customWidth="1"/>
    <col min="14601" max="14602" width="14.85546875" style="407" customWidth="1"/>
    <col min="14603" max="14603" width="19.140625" style="407" customWidth="1"/>
    <col min="14604" max="14604" width="13.140625" style="407" customWidth="1"/>
    <col min="14605" max="14606" width="0" style="407" hidden="1" customWidth="1"/>
    <col min="14607" max="14607" width="12.7109375" style="407" customWidth="1"/>
    <col min="14608" max="14608" width="9" style="407" customWidth="1"/>
    <col min="14609" max="14609" width="10.85546875" style="407" bestFit="1" customWidth="1"/>
    <col min="14610" max="14610" width="10.140625" style="407" bestFit="1" customWidth="1"/>
    <col min="14611" max="14848" width="9.140625" style="407"/>
    <col min="14849" max="14849" width="36" style="407" customWidth="1"/>
    <col min="14850" max="14851" width="18.140625" style="407" customWidth="1"/>
    <col min="14852" max="14852" width="15" style="407" customWidth="1"/>
    <col min="14853" max="14853" width="15.42578125" style="407" customWidth="1"/>
    <col min="14854" max="14855" width="18.7109375" style="407" customWidth="1"/>
    <col min="14856" max="14856" width="14.5703125" style="407" customWidth="1"/>
    <col min="14857" max="14858" width="14.85546875" style="407" customWidth="1"/>
    <col min="14859" max="14859" width="19.140625" style="407" customWidth="1"/>
    <col min="14860" max="14860" width="13.140625" style="407" customWidth="1"/>
    <col min="14861" max="14862" width="0" style="407" hidden="1" customWidth="1"/>
    <col min="14863" max="14863" width="12.7109375" style="407" customWidth="1"/>
    <col min="14864" max="14864" width="9" style="407" customWidth="1"/>
    <col min="14865" max="14865" width="10.85546875" style="407" bestFit="1" customWidth="1"/>
    <col min="14866" max="14866" width="10.140625" style="407" bestFit="1" customWidth="1"/>
    <col min="14867" max="15104" width="9.140625" style="407"/>
    <col min="15105" max="15105" width="36" style="407" customWidth="1"/>
    <col min="15106" max="15107" width="18.140625" style="407" customWidth="1"/>
    <col min="15108" max="15108" width="15" style="407" customWidth="1"/>
    <col min="15109" max="15109" width="15.42578125" style="407" customWidth="1"/>
    <col min="15110" max="15111" width="18.7109375" style="407" customWidth="1"/>
    <col min="15112" max="15112" width="14.5703125" style="407" customWidth="1"/>
    <col min="15113" max="15114" width="14.85546875" style="407" customWidth="1"/>
    <col min="15115" max="15115" width="19.140625" style="407" customWidth="1"/>
    <col min="15116" max="15116" width="13.140625" style="407" customWidth="1"/>
    <col min="15117" max="15118" width="0" style="407" hidden="1" customWidth="1"/>
    <col min="15119" max="15119" width="12.7109375" style="407" customWidth="1"/>
    <col min="15120" max="15120" width="9" style="407" customWidth="1"/>
    <col min="15121" max="15121" width="10.85546875" style="407" bestFit="1" customWidth="1"/>
    <col min="15122" max="15122" width="10.140625" style="407" bestFit="1" customWidth="1"/>
    <col min="15123" max="15360" width="9.140625" style="407"/>
    <col min="15361" max="15361" width="36" style="407" customWidth="1"/>
    <col min="15362" max="15363" width="18.140625" style="407" customWidth="1"/>
    <col min="15364" max="15364" width="15" style="407" customWidth="1"/>
    <col min="15365" max="15365" width="15.42578125" style="407" customWidth="1"/>
    <col min="15366" max="15367" width="18.7109375" style="407" customWidth="1"/>
    <col min="15368" max="15368" width="14.5703125" style="407" customWidth="1"/>
    <col min="15369" max="15370" width="14.85546875" style="407" customWidth="1"/>
    <col min="15371" max="15371" width="19.140625" style="407" customWidth="1"/>
    <col min="15372" max="15372" width="13.140625" style="407" customWidth="1"/>
    <col min="15373" max="15374" width="0" style="407" hidden="1" customWidth="1"/>
    <col min="15375" max="15375" width="12.7109375" style="407" customWidth="1"/>
    <col min="15376" max="15376" width="9" style="407" customWidth="1"/>
    <col min="15377" max="15377" width="10.85546875" style="407" bestFit="1" customWidth="1"/>
    <col min="15378" max="15378" width="10.140625" style="407" bestFit="1" customWidth="1"/>
    <col min="15379" max="15616" width="9.140625" style="407"/>
    <col min="15617" max="15617" width="36" style="407" customWidth="1"/>
    <col min="15618" max="15619" width="18.140625" style="407" customWidth="1"/>
    <col min="15620" max="15620" width="15" style="407" customWidth="1"/>
    <col min="15621" max="15621" width="15.42578125" style="407" customWidth="1"/>
    <col min="15622" max="15623" width="18.7109375" style="407" customWidth="1"/>
    <col min="15624" max="15624" width="14.5703125" style="407" customWidth="1"/>
    <col min="15625" max="15626" width="14.85546875" style="407" customWidth="1"/>
    <col min="15627" max="15627" width="19.140625" style="407" customWidth="1"/>
    <col min="15628" max="15628" width="13.140625" style="407" customWidth="1"/>
    <col min="15629" max="15630" width="0" style="407" hidden="1" customWidth="1"/>
    <col min="15631" max="15631" width="12.7109375" style="407" customWidth="1"/>
    <col min="15632" max="15632" width="9" style="407" customWidth="1"/>
    <col min="15633" max="15633" width="10.85546875" style="407" bestFit="1" customWidth="1"/>
    <col min="15634" max="15634" width="10.140625" style="407" bestFit="1" customWidth="1"/>
    <col min="15635" max="15872" width="9.140625" style="407"/>
    <col min="15873" max="15873" width="36" style="407" customWidth="1"/>
    <col min="15874" max="15875" width="18.140625" style="407" customWidth="1"/>
    <col min="15876" max="15876" width="15" style="407" customWidth="1"/>
    <col min="15877" max="15877" width="15.42578125" style="407" customWidth="1"/>
    <col min="15878" max="15879" width="18.7109375" style="407" customWidth="1"/>
    <col min="15880" max="15880" width="14.5703125" style="407" customWidth="1"/>
    <col min="15881" max="15882" width="14.85546875" style="407" customWidth="1"/>
    <col min="15883" max="15883" width="19.140625" style="407" customWidth="1"/>
    <col min="15884" max="15884" width="13.140625" style="407" customWidth="1"/>
    <col min="15885" max="15886" width="0" style="407" hidden="1" customWidth="1"/>
    <col min="15887" max="15887" width="12.7109375" style="407" customWidth="1"/>
    <col min="15888" max="15888" width="9" style="407" customWidth="1"/>
    <col min="15889" max="15889" width="10.85546875" style="407" bestFit="1" customWidth="1"/>
    <col min="15890" max="15890" width="10.140625" style="407" bestFit="1" customWidth="1"/>
    <col min="15891" max="16128" width="9.140625" style="407"/>
    <col min="16129" max="16129" width="36" style="407" customWidth="1"/>
    <col min="16130" max="16131" width="18.140625" style="407" customWidth="1"/>
    <col min="16132" max="16132" width="15" style="407" customWidth="1"/>
    <col min="16133" max="16133" width="15.42578125" style="407" customWidth="1"/>
    <col min="16134" max="16135" width="18.7109375" style="407" customWidth="1"/>
    <col min="16136" max="16136" width="14.5703125" style="407" customWidth="1"/>
    <col min="16137" max="16138" width="14.85546875" style="407" customWidth="1"/>
    <col min="16139" max="16139" width="19.140625" style="407" customWidth="1"/>
    <col min="16140" max="16140" width="13.140625" style="407" customWidth="1"/>
    <col min="16141" max="16142" width="0" style="407" hidden="1" customWidth="1"/>
    <col min="16143" max="16143" width="12.7109375" style="407" customWidth="1"/>
    <col min="16144" max="16144" width="9" style="407" customWidth="1"/>
    <col min="16145" max="16145" width="10.85546875" style="407" bestFit="1" customWidth="1"/>
    <col min="16146" max="16146" width="10.140625" style="407" bestFit="1" customWidth="1"/>
    <col min="16147" max="16384" width="9.140625" style="407"/>
  </cols>
  <sheetData>
    <row r="1" spans="1:15">
      <c r="A1" s="647" t="s">
        <v>179</v>
      </c>
      <c r="B1" s="648"/>
      <c r="C1" s="629"/>
    </row>
    <row r="2" spans="1:15">
      <c r="A2" s="408"/>
    </row>
    <row r="3" spans="1:15">
      <c r="A3" s="408"/>
      <c r="I3" s="649"/>
      <c r="J3" s="650"/>
      <c r="K3" s="650"/>
      <c r="L3" s="650"/>
      <c r="M3" s="410"/>
    </row>
    <row r="4" spans="1:15">
      <c r="A4" s="411"/>
      <c r="B4" s="412"/>
      <c r="C4" s="412"/>
      <c r="D4" s="413"/>
      <c r="E4" s="651" t="s">
        <v>180</v>
      </c>
      <c r="F4" s="651"/>
      <c r="G4" s="651"/>
      <c r="H4" s="651"/>
      <c r="I4" s="652" t="s">
        <v>181</v>
      </c>
      <c r="J4" s="653"/>
      <c r="K4" s="653"/>
      <c r="L4" s="654"/>
      <c r="M4" s="414" t="s">
        <v>182</v>
      </c>
      <c r="N4" s="415" t="s">
        <v>183</v>
      </c>
    </row>
    <row r="5" spans="1:15">
      <c r="A5" s="416"/>
      <c r="B5" s="417" t="s">
        <v>184</v>
      </c>
      <c r="C5" s="417"/>
      <c r="D5" s="418" t="s">
        <v>185</v>
      </c>
      <c r="E5" s="418" t="s">
        <v>186</v>
      </c>
      <c r="F5" s="418" t="s">
        <v>187</v>
      </c>
      <c r="G5" s="418" t="s">
        <v>188</v>
      </c>
      <c r="H5" s="418" t="s">
        <v>189</v>
      </c>
      <c r="I5" s="419" t="s">
        <v>25</v>
      </c>
      <c r="J5" s="419" t="s">
        <v>26</v>
      </c>
      <c r="K5" s="419" t="s">
        <v>188</v>
      </c>
      <c r="L5" s="420" t="s">
        <v>189</v>
      </c>
      <c r="M5" s="421" t="s">
        <v>189</v>
      </c>
      <c r="N5" s="422"/>
      <c r="O5" s="423"/>
    </row>
    <row r="6" spans="1:15">
      <c r="A6" s="416" t="s">
        <v>190</v>
      </c>
      <c r="B6" s="417"/>
      <c r="C6" s="417"/>
      <c r="D6" s="418">
        <v>52000000</v>
      </c>
      <c r="E6" s="418">
        <v>60000000</v>
      </c>
      <c r="F6" s="418">
        <v>61700000</v>
      </c>
      <c r="G6" s="418">
        <v>62800000</v>
      </c>
      <c r="H6" s="418">
        <f>SUM(E6:G6)</f>
        <v>184500000</v>
      </c>
      <c r="I6" s="419"/>
      <c r="J6" s="419"/>
      <c r="K6" s="419"/>
      <c r="L6" s="420"/>
      <c r="M6" s="424"/>
      <c r="N6" s="422"/>
      <c r="O6" s="425"/>
    </row>
    <row r="7" spans="1:15">
      <c r="A7" s="426"/>
      <c r="B7" s="427"/>
      <c r="C7" s="427"/>
      <c r="D7" s="418" t="s">
        <v>191</v>
      </c>
      <c r="E7" s="428" t="s">
        <v>192</v>
      </c>
      <c r="F7" s="428" t="s">
        <v>193</v>
      </c>
      <c r="G7" s="428" t="s">
        <v>194</v>
      </c>
      <c r="H7" s="428"/>
      <c r="I7" s="420"/>
      <c r="J7" s="420"/>
      <c r="K7" s="420"/>
      <c r="L7" s="420"/>
      <c r="M7" s="429"/>
      <c r="N7" s="430"/>
    </row>
    <row r="8" spans="1:15" ht="18" customHeight="1">
      <c r="A8" s="431" t="s">
        <v>195</v>
      </c>
      <c r="B8" s="432"/>
      <c r="C8" s="432"/>
      <c r="D8" s="433">
        <v>21219</v>
      </c>
      <c r="E8" s="434">
        <v>23453</v>
      </c>
      <c r="F8" s="435">
        <v>24569</v>
      </c>
      <c r="G8" s="435">
        <v>22336</v>
      </c>
      <c r="H8" s="436">
        <f>SUM(E8:G8)</f>
        <v>70358</v>
      </c>
      <c r="I8" s="437">
        <f>E8*103%</f>
        <v>24156.59</v>
      </c>
      <c r="J8" s="437">
        <f>I8*107%</f>
        <v>25847.551300000003</v>
      </c>
      <c r="K8" s="437">
        <f>J8*101%</f>
        <v>26106.026813000004</v>
      </c>
      <c r="L8" s="437">
        <f>SUM(I8:K8)</f>
        <v>76110.168113000007</v>
      </c>
      <c r="M8" s="422"/>
      <c r="N8" s="438"/>
      <c r="O8" s="634"/>
    </row>
    <row r="9" spans="1:15" hidden="1">
      <c r="A9" s="439" t="s">
        <v>196</v>
      </c>
      <c r="B9" s="432">
        <v>1.0169999999999999</v>
      </c>
      <c r="C9" s="432"/>
      <c r="D9" s="433">
        <v>21510</v>
      </c>
      <c r="E9" s="434">
        <f>E8*B9</f>
        <v>23851.700999999997</v>
      </c>
      <c r="F9" s="435"/>
      <c r="G9" s="435"/>
      <c r="H9" s="436">
        <f>SUM(D9:F9)</f>
        <v>45361.701000000001</v>
      </c>
      <c r="I9" s="437">
        <f>(D9*15%)+D9</f>
        <v>24736.5</v>
      </c>
      <c r="J9" s="437">
        <f>(I9*5%)+I9</f>
        <v>25973.325000000001</v>
      </c>
      <c r="K9" s="437"/>
      <c r="L9" s="437">
        <f>SUM(I9:J9)</f>
        <v>50709.824999999997</v>
      </c>
      <c r="M9" s="422"/>
      <c r="N9" s="438"/>
    </row>
    <row r="10" spans="1:15">
      <c r="A10" s="439" t="s">
        <v>197</v>
      </c>
      <c r="B10" s="440">
        <v>0.28299999999999997</v>
      </c>
      <c r="C10" s="440"/>
      <c r="D10" s="433">
        <f>B10*D8</f>
        <v>6004.9769999999999</v>
      </c>
      <c r="E10" s="434">
        <f>B10*E8</f>
        <v>6637.1989999999996</v>
      </c>
      <c r="F10" s="434">
        <f>B10*F8</f>
        <v>6953.0269999999991</v>
      </c>
      <c r="G10" s="434">
        <f>B10*G8</f>
        <v>6321.0879999999997</v>
      </c>
      <c r="H10" s="436">
        <f>SUM(E10:G10)</f>
        <v>19911.313999999998</v>
      </c>
      <c r="I10" s="437">
        <f>I8*B10</f>
        <v>6836.3149699999994</v>
      </c>
      <c r="J10" s="437">
        <f>B10*J8</f>
        <v>7314.8570178999998</v>
      </c>
      <c r="K10" s="437">
        <f>B10*K8</f>
        <v>7388.0055880790005</v>
      </c>
      <c r="L10" s="437">
        <f>SUM(I10:K10)</f>
        <v>21539.177575979</v>
      </c>
      <c r="M10" s="422"/>
      <c r="N10" s="438"/>
    </row>
    <row r="11" spans="1:15">
      <c r="A11" s="439" t="s">
        <v>198</v>
      </c>
      <c r="B11" s="440">
        <v>0.95599999999999996</v>
      </c>
      <c r="C11" s="440"/>
      <c r="D11" s="433">
        <f>D10*B11</f>
        <v>5740.7580119999993</v>
      </c>
      <c r="E11" s="434">
        <f>E10*B11</f>
        <v>6345.1622439999992</v>
      </c>
      <c r="F11" s="434">
        <f>F10*B11</f>
        <v>6647.0938119999992</v>
      </c>
      <c r="G11" s="434">
        <f>G10*B11</f>
        <v>6042.9601279999997</v>
      </c>
      <c r="H11" s="436">
        <f>SUM(E11:G11)</f>
        <v>19035.216183999997</v>
      </c>
      <c r="I11" s="437">
        <f>B11*I10</f>
        <v>6535.5171113199995</v>
      </c>
      <c r="J11" s="437">
        <f>B11*J10</f>
        <v>6993.0033091123996</v>
      </c>
      <c r="K11" s="437">
        <f>B11*K10</f>
        <v>7062.9333422035243</v>
      </c>
      <c r="L11" s="437">
        <f>SUM(I11:K11)</f>
        <v>20591.453762635923</v>
      </c>
      <c r="M11" s="422">
        <f>(L11-H11)</f>
        <v>1556.2375786359262</v>
      </c>
      <c r="N11" s="441">
        <f>(M11/H11)</f>
        <v>8.1755708135535538E-2</v>
      </c>
    </row>
    <row r="12" spans="1:15">
      <c r="A12" s="442" t="s">
        <v>270</v>
      </c>
      <c r="B12" s="443">
        <v>0.91600000000000004</v>
      </c>
      <c r="C12" s="443"/>
      <c r="D12" s="444">
        <f>B12*D11</f>
        <v>5258.5343389919999</v>
      </c>
      <c r="E12" s="444">
        <f>B12*E11</f>
        <v>5812.1686155039997</v>
      </c>
      <c r="F12" s="444">
        <f>B12*F11</f>
        <v>6088.7379317919995</v>
      </c>
      <c r="G12" s="444">
        <f>B12*G11</f>
        <v>5535.3514772480003</v>
      </c>
      <c r="H12" s="436">
        <f>SUM(E12:G12)</f>
        <v>17436.258024544</v>
      </c>
      <c r="I12" s="436">
        <f>B12*I11</f>
        <v>5986.5336739691202</v>
      </c>
      <c r="J12" s="436">
        <f>B12*J11</f>
        <v>6405.5910311469579</v>
      </c>
      <c r="K12" s="436">
        <f>B12*K11</f>
        <v>6469.646941458428</v>
      </c>
      <c r="L12" s="436">
        <f>SUM(I12:K12)</f>
        <v>18861.771646574507</v>
      </c>
      <c r="M12" s="422"/>
      <c r="N12" s="445"/>
    </row>
    <row r="13" spans="1:15">
      <c r="A13" s="442" t="s">
        <v>271</v>
      </c>
      <c r="B13" s="446">
        <v>8.4000000000000005E-2</v>
      </c>
      <c r="C13" s="446"/>
      <c r="D13" s="444">
        <f>B13*D11</f>
        <v>482.22367300799999</v>
      </c>
      <c r="E13" s="436">
        <f>B13*E11</f>
        <v>532.99362849599993</v>
      </c>
      <c r="F13" s="436">
        <f>B13*F11</f>
        <v>558.35588020799992</v>
      </c>
      <c r="G13" s="436">
        <f>B13*G11</f>
        <v>507.60865075200002</v>
      </c>
      <c r="H13" s="436">
        <f>SUM(E13:G13)</f>
        <v>1598.958159456</v>
      </c>
      <c r="I13" s="436">
        <f>B13*I11</f>
        <v>548.98343735087997</v>
      </c>
      <c r="J13" s="436">
        <f>+B13*J11</f>
        <v>587.4122779654416</v>
      </c>
      <c r="K13" s="436">
        <f>K11*B13</f>
        <v>593.2864007450961</v>
      </c>
      <c r="L13" s="436">
        <f>SUM(I13:K13)</f>
        <v>1729.6821160614177</v>
      </c>
      <c r="M13" s="422"/>
      <c r="N13" s="445"/>
    </row>
    <row r="14" spans="1:15">
      <c r="A14" s="447"/>
      <c r="B14" s="448"/>
      <c r="C14" s="448"/>
      <c r="D14" s="449"/>
      <c r="E14" s="450"/>
      <c r="F14" s="450"/>
      <c r="G14" s="450"/>
      <c r="H14" s="451"/>
      <c r="I14" s="452"/>
      <c r="J14" s="453"/>
      <c r="K14" s="453"/>
      <c r="L14" s="454"/>
      <c r="M14" s="429"/>
      <c r="N14" s="430"/>
    </row>
    <row r="15" spans="1:15" ht="30">
      <c r="A15" s="447" t="s">
        <v>199</v>
      </c>
      <c r="B15" s="455"/>
      <c r="C15" s="455"/>
      <c r="D15" s="456">
        <f>D6/D11</f>
        <v>9058.0372646440701</v>
      </c>
      <c r="E15" s="457">
        <f>D15*102%</f>
        <v>9239.1980099369521</v>
      </c>
      <c r="F15" s="457">
        <f>E15*102%</f>
        <v>9423.9819701356919</v>
      </c>
      <c r="G15" s="457">
        <f>F15*102%</f>
        <v>9612.4616095384063</v>
      </c>
      <c r="H15" s="458"/>
      <c r="I15" s="456">
        <f>E15*102%</f>
        <v>9423.9819701356919</v>
      </c>
      <c r="J15" s="457">
        <f>I15*102%</f>
        <v>9612.4616095384063</v>
      </c>
      <c r="K15" s="457">
        <f>G15*102%</f>
        <v>9804.7108417291747</v>
      </c>
      <c r="L15" s="454"/>
      <c r="M15" s="429"/>
      <c r="N15" s="430"/>
    </row>
    <row r="16" spans="1:15" ht="15.75" thickBot="1">
      <c r="A16" s="447"/>
      <c r="B16" s="455"/>
      <c r="C16" s="455"/>
      <c r="D16" s="459"/>
      <c r="E16" s="460"/>
      <c r="F16" s="460"/>
      <c r="G16" s="460"/>
      <c r="H16" s="461"/>
      <c r="I16" s="452"/>
      <c r="J16" s="453"/>
      <c r="K16" s="453"/>
      <c r="L16" s="454"/>
      <c r="M16" s="429"/>
      <c r="N16" s="430"/>
    </row>
    <row r="17" spans="1:15" ht="15.75" thickBot="1">
      <c r="A17" s="447" t="s">
        <v>200</v>
      </c>
      <c r="B17" s="455"/>
      <c r="C17" s="455"/>
      <c r="D17" s="459">
        <f>D15*D11</f>
        <v>52000000</v>
      </c>
      <c r="E17" s="460">
        <f>E15*E11</f>
        <v>58624210.377491876</v>
      </c>
      <c r="F17" s="460">
        <f>F15*F11</f>
        <v>62642092.238088518</v>
      </c>
      <c r="G17" s="460">
        <f>G15*G11</f>
        <v>58087722.23837129</v>
      </c>
      <c r="H17" s="636">
        <f>SUM(E17:G17)</f>
        <v>179354024.85395169</v>
      </c>
      <c r="I17" s="460">
        <f>(I15*I11)</f>
        <v>61590595.422592975</v>
      </c>
      <c r="J17" s="460">
        <f>(J15*J11)</f>
        <v>67219975.844217971</v>
      </c>
      <c r="K17" s="460">
        <f>(K15*K11)</f>
        <v>69250019.114713371</v>
      </c>
      <c r="L17" s="636">
        <f>SUM(I17:K17)</f>
        <v>198060590.38152432</v>
      </c>
      <c r="M17" s="422">
        <f>(L17/3)</f>
        <v>66020196.793841444</v>
      </c>
      <c r="N17" s="462">
        <f>(M17/(SUM(D17:F17)/3))</f>
        <v>1.1430993066260213</v>
      </c>
      <c r="O17" s="634">
        <f>L17/H17</f>
        <v>1.1042996695658511</v>
      </c>
    </row>
    <row r="18" spans="1:15" hidden="1">
      <c r="A18" s="463" t="s">
        <v>201</v>
      </c>
      <c r="B18" s="455"/>
      <c r="C18" s="455"/>
      <c r="D18" s="459"/>
      <c r="E18" s="464">
        <f>SUM(E17-D17)</f>
        <v>6624210.3774918765</v>
      </c>
      <c r="F18" s="464">
        <f>SUM(F17-E17)</f>
        <v>4017881.8605966419</v>
      </c>
      <c r="G18" s="464"/>
      <c r="H18" s="465">
        <f>SUM(D18:F18)</f>
        <v>10642092.238088518</v>
      </c>
      <c r="I18" s="466">
        <f>(I17-D17)</f>
        <v>9590595.4225929752</v>
      </c>
      <c r="J18" s="464">
        <f>(J17-D17)</f>
        <v>15219975.844217971</v>
      </c>
      <c r="K18" s="464">
        <f>(K17-E17)</f>
        <v>10625808.737221494</v>
      </c>
      <c r="L18" s="467">
        <f>SUM(I18:K18)</f>
        <v>35436380.00403244</v>
      </c>
      <c r="M18" s="422"/>
      <c r="N18" s="438"/>
    </row>
    <row r="19" spans="1:15" ht="5.25" customHeight="1">
      <c r="A19" s="468"/>
      <c r="B19" s="469"/>
      <c r="C19" s="469"/>
      <c r="D19" s="470"/>
      <c r="E19" s="471"/>
      <c r="F19" s="471"/>
      <c r="G19" s="471"/>
      <c r="H19" s="472"/>
      <c r="I19" s="473"/>
      <c r="J19" s="474"/>
      <c r="K19" s="474"/>
      <c r="L19" s="472"/>
      <c r="M19" s="429"/>
      <c r="N19" s="430"/>
    </row>
    <row r="20" spans="1:15">
      <c r="A20" s="475" t="s">
        <v>202</v>
      </c>
      <c r="B20" s="455"/>
      <c r="C20" s="455"/>
      <c r="D20" s="476"/>
      <c r="E20" s="477"/>
      <c r="F20" s="477"/>
      <c r="G20" s="477"/>
      <c r="H20" s="461"/>
      <c r="I20" s="452"/>
      <c r="J20" s="453"/>
      <c r="K20" s="453"/>
      <c r="L20" s="454"/>
      <c r="M20" s="429"/>
      <c r="N20" s="430"/>
    </row>
    <row r="21" spans="1:15">
      <c r="A21" s="447" t="s">
        <v>203</v>
      </c>
      <c r="B21" s="455"/>
      <c r="C21" s="455"/>
      <c r="D21" s="423">
        <f t="shared" ref="D21:K21" si="0">(D11)</f>
        <v>5740.7580119999993</v>
      </c>
      <c r="E21" s="425">
        <f t="shared" si="0"/>
        <v>6345.1622439999992</v>
      </c>
      <c r="F21" s="425">
        <f t="shared" si="0"/>
        <v>6647.0938119999992</v>
      </c>
      <c r="G21" s="425">
        <f t="shared" si="0"/>
        <v>6042.9601279999997</v>
      </c>
      <c r="H21" s="478">
        <f>(H11)</f>
        <v>19035.216183999997</v>
      </c>
      <c r="I21" s="423">
        <f t="shared" si="0"/>
        <v>6535.5171113199995</v>
      </c>
      <c r="J21" s="425">
        <f t="shared" si="0"/>
        <v>6993.0033091123996</v>
      </c>
      <c r="K21" s="425">
        <f t="shared" si="0"/>
        <v>7062.9333422035243</v>
      </c>
      <c r="L21" s="478">
        <f>SUM(I21:K21)</f>
        <v>20591.453762635923</v>
      </c>
      <c r="M21" s="429"/>
      <c r="N21" s="430"/>
    </row>
    <row r="22" spans="1:15">
      <c r="A22" s="447" t="s">
        <v>204</v>
      </c>
      <c r="B22" s="455"/>
      <c r="C22" s="455"/>
      <c r="D22" s="479">
        <f>D17</f>
        <v>52000000</v>
      </c>
      <c r="E22" s="480">
        <f>E17</f>
        <v>58624210.377491876</v>
      </c>
      <c r="F22" s="480">
        <f>F17</f>
        <v>62642092.238088518</v>
      </c>
      <c r="G22" s="481">
        <f>G17</f>
        <v>58087722.23837129</v>
      </c>
      <c r="H22" s="482">
        <f>SUM(E22:G22)</f>
        <v>179354024.85395169</v>
      </c>
      <c r="I22" s="479">
        <f>I17</f>
        <v>61590595.422592975</v>
      </c>
      <c r="J22" s="480">
        <f>J17</f>
        <v>67219975.844217971</v>
      </c>
      <c r="K22" s="480">
        <f>K17</f>
        <v>69250019.114713371</v>
      </c>
      <c r="L22" s="483">
        <f>SUM(I22:K22)</f>
        <v>198060590.38152432</v>
      </c>
      <c r="M22" s="429">
        <f>(L22-H22)</f>
        <v>18706565.527572632</v>
      </c>
      <c r="N22" s="484">
        <f>(M22/H22)</f>
        <v>0.10429966956585124</v>
      </c>
    </row>
    <row r="23" spans="1:15">
      <c r="A23" s="447" t="s">
        <v>205</v>
      </c>
      <c r="B23" s="455"/>
      <c r="C23" s="455"/>
      <c r="D23" s="485">
        <v>0</v>
      </c>
      <c r="E23" s="486">
        <f>D28</f>
        <v>52000000</v>
      </c>
      <c r="F23" s="486">
        <f>E28</f>
        <v>106360210.37749188</v>
      </c>
      <c r="G23" s="486">
        <f>F28</f>
        <v>160280765.36462605</v>
      </c>
      <c r="H23" s="482">
        <f>E23</f>
        <v>52000000</v>
      </c>
      <c r="I23" s="485">
        <v>52000000</v>
      </c>
      <c r="J23" s="486">
        <f>I28</f>
        <v>109326595.42259297</v>
      </c>
      <c r="K23" s="486">
        <f>J28</f>
        <v>167581790.44215831</v>
      </c>
      <c r="L23" s="530">
        <f>I23</f>
        <v>52000000</v>
      </c>
      <c r="M23" s="429"/>
      <c r="N23" s="430"/>
    </row>
    <row r="24" spans="1:15" ht="30">
      <c r="A24" s="447" t="s">
        <v>206</v>
      </c>
      <c r="B24" s="581">
        <v>3.2000000000000001E-2</v>
      </c>
      <c r="C24" s="455"/>
      <c r="D24" s="487">
        <v>0</v>
      </c>
      <c r="E24" s="488">
        <f>-B24*E23</f>
        <v>-1664000</v>
      </c>
      <c r="F24" s="488">
        <f>-B24*F23</f>
        <v>-3403526.7320797401</v>
      </c>
      <c r="G24" s="489">
        <f>-B24*G23</f>
        <v>-5128984.4916680334</v>
      </c>
      <c r="H24" s="490">
        <f>SUM(E24:G24)</f>
        <v>-10196511.223747775</v>
      </c>
      <c r="I24" s="487">
        <f>-B24*I23</f>
        <v>-1664000</v>
      </c>
      <c r="J24" s="488">
        <f>-B24*J23</f>
        <v>-3498451.0535229752</v>
      </c>
      <c r="K24" s="488">
        <f>-B24*K23</f>
        <v>-5362617.2941490663</v>
      </c>
      <c r="L24" s="491">
        <f>SUM(I24:K24)</f>
        <v>-10525068.347672042</v>
      </c>
      <c r="M24" s="429"/>
      <c r="N24" s="430"/>
    </row>
    <row r="25" spans="1:15">
      <c r="A25" s="463" t="s">
        <v>207</v>
      </c>
      <c r="B25" s="455"/>
      <c r="C25" s="455"/>
      <c r="D25" s="476">
        <f t="shared" ref="D25:K25" si="1">SUM(D22+D24)</f>
        <v>52000000</v>
      </c>
      <c r="E25" s="477">
        <f t="shared" si="1"/>
        <v>56960210.377491876</v>
      </c>
      <c r="F25" s="477">
        <f>SUM(F22+F24)</f>
        <v>59238565.506008781</v>
      </c>
      <c r="G25" s="477">
        <f>SUM(G22+G24)</f>
        <v>52958737.74670326</v>
      </c>
      <c r="H25" s="454">
        <f>SUM(H22+H24)</f>
        <v>169157513.6302039</v>
      </c>
      <c r="I25" s="476">
        <f>SUM(I22+I24)</f>
        <v>59926595.422592975</v>
      </c>
      <c r="J25" s="477">
        <f t="shared" si="1"/>
        <v>63721524.790694997</v>
      </c>
      <c r="K25" s="477">
        <f t="shared" si="1"/>
        <v>63887401.820564307</v>
      </c>
      <c r="L25" s="454">
        <f>SUM(L22+L24)</f>
        <v>187535522.03385228</v>
      </c>
      <c r="M25" s="429"/>
      <c r="N25" s="430"/>
    </row>
    <row r="26" spans="1:15">
      <c r="A26" s="447"/>
      <c r="B26" s="455"/>
      <c r="C26" s="455"/>
      <c r="D26" s="476"/>
      <c r="E26" s="477"/>
      <c r="F26" s="477"/>
      <c r="G26" s="477"/>
      <c r="H26" s="454"/>
      <c r="I26" s="476"/>
      <c r="J26" s="477"/>
      <c r="K26" s="477"/>
      <c r="L26" s="492"/>
      <c r="M26" s="429"/>
      <c r="N26" s="430"/>
    </row>
    <row r="27" spans="1:15">
      <c r="A27" s="447" t="s">
        <v>208</v>
      </c>
      <c r="B27" s="455">
        <v>0.95</v>
      </c>
      <c r="C27" s="455"/>
      <c r="D27" s="493">
        <f>$B$27*D23</f>
        <v>0</v>
      </c>
      <c r="E27" s="494">
        <f>$B$27*E23</f>
        <v>49400000</v>
      </c>
      <c r="F27" s="494">
        <f>$B$27*F23</f>
        <v>101042199.85861728</v>
      </c>
      <c r="G27" s="494">
        <f>$B$27*G23</f>
        <v>152266727.09639475</v>
      </c>
      <c r="H27" s="494">
        <f>+H28-H25</f>
        <v>36067951.212894112</v>
      </c>
      <c r="I27" s="493">
        <f>$B$27*I23</f>
        <v>49400000</v>
      </c>
      <c r="J27" s="494">
        <f>$B$27*J23</f>
        <v>103860265.65146331</v>
      </c>
      <c r="K27" s="494">
        <f>$B$27*K23</f>
        <v>159202700.92005038</v>
      </c>
      <c r="L27" s="494">
        <f>+L28-L25</f>
        <v>35554580.706762403</v>
      </c>
      <c r="M27" s="429"/>
      <c r="N27" s="430"/>
    </row>
    <row r="28" spans="1:15">
      <c r="A28" s="447" t="s">
        <v>209</v>
      </c>
      <c r="B28" s="455"/>
      <c r="C28" s="455"/>
      <c r="D28" s="496">
        <f>SUM(D25:D27)</f>
        <v>52000000</v>
      </c>
      <c r="E28" s="497">
        <f>SUM(E25:E27)</f>
        <v>106360210.37749188</v>
      </c>
      <c r="F28" s="497">
        <f>SUM(F25:F27)</f>
        <v>160280765.36462605</v>
      </c>
      <c r="G28" s="497">
        <f>SUM(G25:G27)</f>
        <v>205225464.84309801</v>
      </c>
      <c r="H28" s="497">
        <f>G28</f>
        <v>205225464.84309801</v>
      </c>
      <c r="I28" s="496">
        <f>SUM(I25:I27)</f>
        <v>109326595.42259297</v>
      </c>
      <c r="J28" s="497">
        <f>SUM(J25:J27)</f>
        <v>167581790.44215831</v>
      </c>
      <c r="K28" s="497">
        <f>SUM(K25:K27)</f>
        <v>223090102.74061468</v>
      </c>
      <c r="L28" s="635">
        <f>K28</f>
        <v>223090102.74061468</v>
      </c>
      <c r="M28" s="429"/>
      <c r="N28" s="430"/>
    </row>
    <row r="29" spans="1:15">
      <c r="A29" s="447"/>
      <c r="B29" s="455"/>
      <c r="C29" s="455"/>
      <c r="D29" s="493"/>
      <c r="E29" s="494"/>
      <c r="F29" s="494"/>
      <c r="G29" s="494"/>
      <c r="H29" s="582"/>
      <c r="I29" s="493"/>
      <c r="J29" s="494"/>
      <c r="K29" s="494"/>
      <c r="L29" s="498"/>
      <c r="M29" s="429"/>
      <c r="N29" s="430"/>
    </row>
    <row r="30" spans="1:15">
      <c r="A30" s="447" t="s">
        <v>210</v>
      </c>
      <c r="B30" s="407"/>
      <c r="C30" s="407"/>
      <c r="D30" s="476">
        <v>89</v>
      </c>
      <c r="E30" s="477">
        <v>99</v>
      </c>
      <c r="F30" s="477">
        <v>103</v>
      </c>
      <c r="G30" s="477">
        <v>94</v>
      </c>
      <c r="H30" s="454">
        <f>SUM(E30:G30)</f>
        <v>296</v>
      </c>
      <c r="I30" s="476">
        <v>136</v>
      </c>
      <c r="J30" s="477">
        <f>I30*114%</f>
        <v>155.04</v>
      </c>
      <c r="K30" s="477">
        <f>J30*107%</f>
        <v>165.89279999999999</v>
      </c>
      <c r="L30" s="454">
        <f>SUM(I30:K30)</f>
        <v>456.93279999999993</v>
      </c>
      <c r="M30" s="429"/>
      <c r="N30" s="430"/>
      <c r="O30" s="637"/>
    </row>
    <row r="31" spans="1:15">
      <c r="A31" s="447" t="s">
        <v>211</v>
      </c>
      <c r="B31" s="407"/>
      <c r="C31" s="407"/>
      <c r="D31" s="476">
        <v>72</v>
      </c>
      <c r="E31" s="477">
        <v>80</v>
      </c>
      <c r="F31" s="477">
        <v>84</v>
      </c>
      <c r="G31" s="477">
        <v>76</v>
      </c>
      <c r="H31" s="454">
        <f>SUM(E31:G31)</f>
        <v>240</v>
      </c>
      <c r="I31" s="476">
        <v>90</v>
      </c>
      <c r="J31" s="477">
        <f>I31*114%</f>
        <v>102.6</v>
      </c>
      <c r="K31" s="477">
        <f>J31*107%</f>
        <v>109.782</v>
      </c>
      <c r="L31" s="454">
        <f>SUM(I31:K31)</f>
        <v>302.38200000000001</v>
      </c>
      <c r="M31" s="429"/>
      <c r="N31" s="430"/>
      <c r="O31" s="634"/>
    </row>
    <row r="32" spans="1:15" ht="15.75" thickBot="1">
      <c r="A32" s="447"/>
      <c r="B32" s="407"/>
      <c r="C32" s="407"/>
      <c r="D32" s="476"/>
      <c r="E32" s="477"/>
      <c r="F32" s="477"/>
      <c r="G32" s="477"/>
      <c r="H32" s="454"/>
      <c r="I32" s="476"/>
      <c r="J32" s="477"/>
      <c r="K32" s="477"/>
      <c r="L32" s="454"/>
      <c r="M32" s="429"/>
      <c r="N32" s="430"/>
      <c r="O32" s="634"/>
    </row>
    <row r="33" spans="1:73" ht="15.75" outlineLevel="1" thickBot="1">
      <c r="A33" s="447" t="s">
        <v>212</v>
      </c>
      <c r="B33" s="455">
        <v>1.2999999999999999E-2</v>
      </c>
      <c r="C33" s="455"/>
      <c r="D33" s="452">
        <f>$B$33*D28</f>
        <v>676000</v>
      </c>
      <c r="E33" s="453">
        <f>$B$33*E28</f>
        <v>1382682.7349073943</v>
      </c>
      <c r="F33" s="453">
        <f t="shared" ref="F33:J33" si="2">$B$33*F28</f>
        <v>2083649.9497401386</v>
      </c>
      <c r="G33" s="453">
        <f t="shared" si="2"/>
        <v>2667931.042960274</v>
      </c>
      <c r="H33" s="639">
        <f>SUM(E33:G33)</f>
        <v>6134263.7276078071</v>
      </c>
      <c r="I33" s="453">
        <f>$B$33*I28</f>
        <v>1421245.7404937085</v>
      </c>
      <c r="J33" s="453">
        <f t="shared" si="2"/>
        <v>2178563.2757480578</v>
      </c>
      <c r="K33" s="453">
        <f>$B$33*K28</f>
        <v>2900171.3356279908</v>
      </c>
      <c r="L33" s="638">
        <f>SUM(I33:K33)</f>
        <v>6499980.3518697573</v>
      </c>
      <c r="M33" s="429"/>
      <c r="N33" s="430"/>
      <c r="O33" s="634">
        <f>L33/H33</f>
        <v>1.0596186666406286</v>
      </c>
    </row>
    <row r="34" spans="1:73" outlineLevel="1">
      <c r="A34" s="447" t="s">
        <v>213</v>
      </c>
      <c r="B34" s="581">
        <f>3.95%/12</f>
        <v>3.2916666666666667E-3</v>
      </c>
      <c r="C34" s="455"/>
      <c r="D34" s="513">
        <f>-$B$34*SUM(D22)</f>
        <v>-171166.66666666666</v>
      </c>
      <c r="E34" s="632">
        <f>-$B$34*SUM(E28)</f>
        <v>-350102.35915924411</v>
      </c>
      <c r="F34" s="632">
        <f t="shared" ref="F34:G34" si="3">-$B$34*SUM(F28)</f>
        <v>-527590.85265856073</v>
      </c>
      <c r="G34" s="632">
        <f t="shared" si="3"/>
        <v>-675533.82177519763</v>
      </c>
      <c r="H34" s="633">
        <f>SUM(E34:G34)</f>
        <v>-1553227.0335930025</v>
      </c>
      <c r="I34" s="632">
        <f>-$B$34*SUM(I28)</f>
        <v>-359866.70993270184</v>
      </c>
      <c r="J34" s="632">
        <f>-$B$34*SUM(J28)</f>
        <v>-551623.39353877108</v>
      </c>
      <c r="K34" s="632">
        <f>-$B$34*SUM(K28)</f>
        <v>-734338.25485452334</v>
      </c>
      <c r="L34" s="633">
        <f>SUM(I34:K34)</f>
        <v>-1645828.3583259962</v>
      </c>
      <c r="M34" s="429"/>
      <c r="N34" s="430"/>
    </row>
    <row r="35" spans="1:73" outlineLevel="1">
      <c r="A35" s="447"/>
      <c r="B35" s="455"/>
      <c r="C35" s="455"/>
      <c r="D35" s="499"/>
      <c r="E35" s="500"/>
      <c r="F35" s="500"/>
      <c r="G35" s="500"/>
      <c r="H35" s="501"/>
      <c r="I35" s="499"/>
      <c r="J35" s="500"/>
      <c r="K35" s="500"/>
      <c r="L35" s="501"/>
      <c r="M35" s="429"/>
      <c r="N35" s="430"/>
    </row>
    <row r="36" spans="1:73" outlineLevel="1">
      <c r="A36" s="447" t="s">
        <v>214</v>
      </c>
      <c r="B36" s="502">
        <v>97</v>
      </c>
      <c r="C36" s="502"/>
      <c r="D36" s="452">
        <f>B36*D30</f>
        <v>8633</v>
      </c>
      <c r="E36" s="453">
        <f>B36*E30</f>
        <v>9603</v>
      </c>
      <c r="F36" s="453">
        <f>B36*F30</f>
        <v>9991</v>
      </c>
      <c r="G36" s="453">
        <f>G30*B36</f>
        <v>9118</v>
      </c>
      <c r="H36" s="503">
        <f>SUM(E36:G36)</f>
        <v>28712</v>
      </c>
      <c r="I36" s="452">
        <f>I30*B$36</f>
        <v>13192</v>
      </c>
      <c r="J36" s="453">
        <f>J30*B$36</f>
        <v>15038.88</v>
      </c>
      <c r="K36" s="453">
        <f>K30*B$36</f>
        <v>16091.6016</v>
      </c>
      <c r="L36" s="503">
        <f>SUM(I36:K36)</f>
        <v>44322.481599999999</v>
      </c>
      <c r="M36" s="429"/>
      <c r="N36" s="430"/>
    </row>
    <row r="37" spans="1:73" outlineLevel="1">
      <c r="A37" s="447" t="s">
        <v>215</v>
      </c>
      <c r="B37" s="502">
        <v>122</v>
      </c>
      <c r="C37" s="502"/>
      <c r="D37" s="452">
        <f>B37*D31</f>
        <v>8784</v>
      </c>
      <c r="E37" s="453">
        <f>B37*E31</f>
        <v>9760</v>
      </c>
      <c r="F37" s="453">
        <f>B37*F31</f>
        <v>10248</v>
      </c>
      <c r="G37" s="453">
        <f>G31*B37</f>
        <v>9272</v>
      </c>
      <c r="H37" s="503">
        <f>SUM(E37:G37)</f>
        <v>29280</v>
      </c>
      <c r="I37" s="452">
        <f>I31*B$37</f>
        <v>10980</v>
      </c>
      <c r="J37" s="453">
        <f>J31*B$37</f>
        <v>12517.199999999999</v>
      </c>
      <c r="K37" s="453">
        <f>K31*B$37</f>
        <v>13393.404</v>
      </c>
      <c r="L37" s="503">
        <f>SUM(I37:K37)</f>
        <v>36890.603999999999</v>
      </c>
      <c r="M37" s="429"/>
      <c r="N37" s="430"/>
    </row>
    <row r="38" spans="1:73" outlineLevel="1">
      <c r="A38" s="447" t="s">
        <v>216</v>
      </c>
      <c r="B38" s="452">
        <v>30000</v>
      </c>
      <c r="C38" s="452"/>
      <c r="D38" s="499">
        <v>0</v>
      </c>
      <c r="E38" s="500">
        <v>0</v>
      </c>
      <c r="F38" s="500">
        <v>0</v>
      </c>
      <c r="G38" s="500"/>
      <c r="H38" s="501">
        <v>0</v>
      </c>
      <c r="I38" s="499">
        <v>30000</v>
      </c>
      <c r="J38" s="500">
        <v>30000</v>
      </c>
      <c r="K38" s="500">
        <v>30000</v>
      </c>
      <c r="L38" s="501">
        <f>SUM(I38:K38)</f>
        <v>90000</v>
      </c>
      <c r="M38" s="429"/>
      <c r="N38" s="430"/>
    </row>
    <row r="39" spans="1:73" outlineLevel="1">
      <c r="A39" s="463" t="s">
        <v>217</v>
      </c>
      <c r="B39" s="504">
        <v>0.63600000000000001</v>
      </c>
      <c r="C39" s="504"/>
      <c r="D39" s="487">
        <f>(D22*B39)*4%</f>
        <v>1322880</v>
      </c>
      <c r="E39" s="488">
        <f>(E22*B39)*4%</f>
        <v>1491399.9120033935</v>
      </c>
      <c r="F39" s="488">
        <f>(F22*B39)*4%</f>
        <v>1593614.8265369721</v>
      </c>
      <c r="G39" s="488">
        <f>(G22*B39)*4%</f>
        <v>1477751.6537441656</v>
      </c>
      <c r="H39" s="505">
        <f>(H22*B39)*4%</f>
        <v>4562766.3922845311</v>
      </c>
      <c r="I39" s="487">
        <f>(I22*B39)*4%</f>
        <v>1566864.7475507653</v>
      </c>
      <c r="J39" s="488">
        <f>(J22*B39)*4%</f>
        <v>1710076.1854769052</v>
      </c>
      <c r="K39" s="488">
        <f>(K22*B39)*4%</f>
        <v>1761720.4862783081</v>
      </c>
      <c r="L39" s="505">
        <f>(L22*B39)*4%</f>
        <v>5038661.4193059793</v>
      </c>
      <c r="M39" s="429"/>
      <c r="N39" s="430"/>
    </row>
    <row r="40" spans="1:73" ht="15.75" outlineLevel="1" thickBot="1">
      <c r="A40" s="463" t="s">
        <v>218</v>
      </c>
      <c r="B40" s="504">
        <v>0.36399999999999999</v>
      </c>
      <c r="C40" s="504"/>
      <c r="D40" s="487">
        <f>(D22*B40)*2%</f>
        <v>378560</v>
      </c>
      <c r="E40" s="488">
        <f>(E22*B40)*2%</f>
        <v>426784.25154814089</v>
      </c>
      <c r="F40" s="488">
        <f>(F22*B40)*2%</f>
        <v>456034.43149328441</v>
      </c>
      <c r="G40" s="488">
        <f>(G22*B40)*2%</f>
        <v>422878.61789534299</v>
      </c>
      <c r="H40" s="501">
        <f>(H22*B40)*2%</f>
        <v>1305697.3009367683</v>
      </c>
      <c r="I40" s="487">
        <f>(I22*B40)*2%</f>
        <v>448379.53467647685</v>
      </c>
      <c r="J40" s="488">
        <f>(J22*B40)*2%</f>
        <v>489361.42414590681</v>
      </c>
      <c r="K40" s="488">
        <f>(K22*B40)*2%</f>
        <v>504140.13915511331</v>
      </c>
      <c r="L40" s="501">
        <f>(L22*B40)*2%</f>
        <v>1441881.0979774969</v>
      </c>
      <c r="M40" s="429"/>
      <c r="N40" s="430"/>
    </row>
    <row r="41" spans="1:73" ht="15.75" outlineLevel="1" thickBot="1">
      <c r="A41" s="447" t="s">
        <v>219</v>
      </c>
      <c r="B41" s="455"/>
      <c r="C41" s="455"/>
      <c r="D41" s="476">
        <f>SUM(D33:D40)</f>
        <v>2223690.3333333335</v>
      </c>
      <c r="E41" s="477">
        <f t="shared" ref="E41:L41" si="4">SUM(E33:E40)</f>
        <v>2970127.5392996841</v>
      </c>
      <c r="F41" s="477">
        <f t="shared" si="4"/>
        <v>3625947.3551118346</v>
      </c>
      <c r="G41" s="477">
        <f>SUM(G33:G40)</f>
        <v>3911417.4928245847</v>
      </c>
      <c r="H41" s="580">
        <f t="shared" si="4"/>
        <v>10507492.387236103</v>
      </c>
      <c r="I41" s="477">
        <f t="shared" si="4"/>
        <v>3130795.3127882485</v>
      </c>
      <c r="J41" s="477">
        <f t="shared" si="4"/>
        <v>3883933.5718320985</v>
      </c>
      <c r="K41" s="477">
        <f t="shared" si="4"/>
        <v>4491178.7118068887</v>
      </c>
      <c r="L41" s="580">
        <f t="shared" si="4"/>
        <v>11505907.596427236</v>
      </c>
      <c r="M41" s="429"/>
      <c r="N41" s="430"/>
      <c r="O41" s="634">
        <f>L41/H41</f>
        <v>1.0950193606996041</v>
      </c>
    </row>
    <row r="42" spans="1:73" ht="9" customHeight="1" outlineLevel="1">
      <c r="A42" s="447"/>
      <c r="B42" s="455"/>
      <c r="C42" s="455"/>
      <c r="D42" s="476"/>
      <c r="E42" s="477"/>
      <c r="F42" s="477"/>
      <c r="G42" s="477"/>
      <c r="H42" s="454"/>
      <c r="I42" s="452"/>
      <c r="J42" s="453"/>
      <c r="K42" s="453"/>
      <c r="L42" s="454"/>
      <c r="M42" s="429"/>
      <c r="N42" s="430"/>
    </row>
    <row r="43" spans="1:73" outlineLevel="1">
      <c r="A43" s="426" t="s">
        <v>220</v>
      </c>
      <c r="B43" s="455"/>
      <c r="C43" s="455"/>
      <c r="D43" s="476"/>
      <c r="E43" s="477"/>
      <c r="F43" s="477"/>
      <c r="G43" s="477"/>
      <c r="H43" s="454"/>
      <c r="I43" s="452"/>
      <c r="J43" s="453"/>
      <c r="K43" s="453"/>
      <c r="L43" s="454"/>
      <c r="M43" s="429"/>
      <c r="N43" s="430"/>
    </row>
    <row r="44" spans="1:73" ht="47.25" customHeight="1" outlineLevel="1">
      <c r="A44" s="447" t="s">
        <v>221</v>
      </c>
      <c r="B44" s="506" t="s">
        <v>222</v>
      </c>
      <c r="C44" s="506"/>
      <c r="D44" s="452">
        <v>0</v>
      </c>
      <c r="E44" s="453">
        <v>0</v>
      </c>
      <c r="F44" s="453">
        <v>0</v>
      </c>
      <c r="G44" s="453">
        <v>0</v>
      </c>
      <c r="H44" s="503">
        <v>0</v>
      </c>
      <c r="I44" s="452">
        <v>0</v>
      </c>
      <c r="J44" s="453">
        <v>0</v>
      </c>
      <c r="K44" s="453">
        <v>0</v>
      </c>
      <c r="L44" s="454">
        <f>SUM(I44:J44)</f>
        <v>0</v>
      </c>
      <c r="M44" s="429"/>
      <c r="N44" s="430"/>
    </row>
    <row r="45" spans="1:73" outlineLevel="1">
      <c r="A45" s="447" t="s">
        <v>223</v>
      </c>
      <c r="B45" s="455">
        <v>0.01</v>
      </c>
      <c r="C45" s="455"/>
      <c r="D45" s="499">
        <f t="shared" ref="D45:K45" si="5">-$B$45*D22</f>
        <v>-520000</v>
      </c>
      <c r="E45" s="500">
        <f t="shared" si="5"/>
        <v>-586242.10377491883</v>
      </c>
      <c r="F45" s="500">
        <f t="shared" si="5"/>
        <v>-626420.92238088523</v>
      </c>
      <c r="G45" s="500">
        <f t="shared" si="5"/>
        <v>-580877.22238371288</v>
      </c>
      <c r="H45" s="501">
        <f t="shared" si="5"/>
        <v>-1793540.2485395169</v>
      </c>
      <c r="I45" s="499">
        <f t="shared" si="5"/>
        <v>-615905.9542259298</v>
      </c>
      <c r="J45" s="500">
        <f t="shared" si="5"/>
        <v>-672199.75844217977</v>
      </c>
      <c r="K45" s="500">
        <f t="shared" si="5"/>
        <v>-692500.19114713371</v>
      </c>
      <c r="L45" s="501">
        <f>SUM(I45:K45)</f>
        <v>-1980605.9038152434</v>
      </c>
      <c r="M45" s="507"/>
      <c r="N45" s="473"/>
      <c r="O45" s="508"/>
      <c r="P45" s="508"/>
      <c r="Q45" s="508"/>
      <c r="R45" s="508"/>
      <c r="S45" s="508"/>
      <c r="T45" s="508"/>
      <c r="U45" s="406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508"/>
      <c r="AG45" s="508"/>
      <c r="AH45" s="406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  <c r="AT45" s="508"/>
      <c r="AU45" s="406"/>
      <c r="AV45" s="508"/>
      <c r="AW45" s="508"/>
      <c r="AX45" s="508"/>
      <c r="AY45" s="508"/>
      <c r="AZ45" s="508"/>
      <c r="BA45" s="508"/>
      <c r="BB45" s="508"/>
      <c r="BC45" s="508"/>
      <c r="BD45" s="508"/>
      <c r="BE45" s="508"/>
      <c r="BF45" s="508"/>
      <c r="BG45" s="508"/>
      <c r="BH45" s="406"/>
      <c r="BI45" s="508"/>
      <c r="BJ45" s="508"/>
      <c r="BK45" s="508"/>
      <c r="BL45" s="508"/>
      <c r="BM45" s="508"/>
      <c r="BN45" s="508"/>
      <c r="BO45" s="508"/>
      <c r="BP45" s="508"/>
      <c r="BQ45" s="508"/>
      <c r="BR45" s="508"/>
      <c r="BS45" s="508"/>
      <c r="BT45" s="508"/>
      <c r="BU45" s="406"/>
    </row>
    <row r="46" spans="1:73" outlineLevel="1">
      <c r="A46" s="447" t="s">
        <v>224</v>
      </c>
      <c r="B46" s="509">
        <v>18.5</v>
      </c>
      <c r="C46" s="509"/>
      <c r="D46" s="499">
        <f>-($B$46*SUM(D30:D31))</f>
        <v>-2978.5</v>
      </c>
      <c r="E46" s="500">
        <f>-18.5*SUM(E30:E31)</f>
        <v>-3311.5</v>
      </c>
      <c r="F46" s="500">
        <f>-18.5*SUM(F30:F31)</f>
        <v>-3459.5</v>
      </c>
      <c r="G46" s="500">
        <f>-18.5*SUM(G30:G31)</f>
        <v>-3145</v>
      </c>
      <c r="H46" s="501">
        <f>SUM(E46:G46)</f>
        <v>-9916</v>
      </c>
      <c r="I46" s="499">
        <f>-18.5*SUM(I30:I31)</f>
        <v>-4181</v>
      </c>
      <c r="J46" s="500">
        <f>-18.5*SUM(J30:J31)</f>
        <v>-4766.34</v>
      </c>
      <c r="K46" s="500">
        <f>-18.5*SUM(K30:K31)</f>
        <v>-5099.9838</v>
      </c>
      <c r="L46" s="501">
        <f>SUM(I46:K46)</f>
        <v>-14047.3238</v>
      </c>
      <c r="M46" s="507"/>
      <c r="N46" s="473"/>
      <c r="O46" s="508"/>
      <c r="P46" s="508"/>
      <c r="Q46" s="508"/>
      <c r="R46" s="508"/>
      <c r="S46" s="508"/>
      <c r="T46" s="508"/>
      <c r="U46" s="406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406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406"/>
      <c r="AV46" s="508"/>
      <c r="AW46" s="508"/>
      <c r="AX46" s="508"/>
      <c r="AY46" s="508"/>
      <c r="AZ46" s="508"/>
      <c r="BA46" s="508"/>
      <c r="BB46" s="508"/>
      <c r="BC46" s="508"/>
      <c r="BD46" s="508"/>
      <c r="BE46" s="508"/>
      <c r="BF46" s="508"/>
      <c r="BG46" s="508"/>
      <c r="BH46" s="406"/>
      <c r="BI46" s="508"/>
      <c r="BJ46" s="508"/>
      <c r="BK46" s="508"/>
      <c r="BL46" s="508"/>
      <c r="BM46" s="508"/>
      <c r="BN46" s="508"/>
      <c r="BO46" s="508"/>
      <c r="BP46" s="508"/>
      <c r="BQ46" s="508"/>
      <c r="BR46" s="508"/>
      <c r="BS46" s="508"/>
      <c r="BT46" s="508"/>
      <c r="BU46" s="406"/>
    </row>
    <row r="47" spans="1:73" outlineLevel="1">
      <c r="A47" s="463" t="s">
        <v>225</v>
      </c>
      <c r="B47" s="510">
        <v>150000</v>
      </c>
      <c r="C47" s="510"/>
      <c r="D47" s="499">
        <v>0</v>
      </c>
      <c r="E47" s="453">
        <v>0</v>
      </c>
      <c r="F47" s="453">
        <v>0</v>
      </c>
      <c r="G47" s="453">
        <v>0</v>
      </c>
      <c r="H47" s="503">
        <v>0</v>
      </c>
      <c r="I47" s="511">
        <v>-56180</v>
      </c>
      <c r="J47" s="453">
        <v>0</v>
      </c>
      <c r="K47" s="453">
        <v>0</v>
      </c>
      <c r="L47" s="501">
        <f>SUM(I47:K47)</f>
        <v>-56180</v>
      </c>
      <c r="M47" s="429"/>
      <c r="N47" s="430"/>
    </row>
    <row r="48" spans="1:73" outlineLevel="1">
      <c r="A48" s="463" t="s">
        <v>226</v>
      </c>
      <c r="B48" s="512">
        <v>1491</v>
      </c>
      <c r="C48" s="512"/>
      <c r="D48" s="452">
        <v>0</v>
      </c>
      <c r="E48" s="453">
        <v>0</v>
      </c>
      <c r="F48" s="453">
        <v>0</v>
      </c>
      <c r="G48" s="453">
        <v>0</v>
      </c>
      <c r="H48" s="503">
        <v>0</v>
      </c>
      <c r="I48" s="513">
        <v>-1491</v>
      </c>
      <c r="J48" s="453">
        <v>0</v>
      </c>
      <c r="K48" s="453">
        <v>0</v>
      </c>
      <c r="L48" s="501">
        <f>SUM(I48:K48)</f>
        <v>-1491</v>
      </c>
      <c r="M48" s="429"/>
      <c r="N48" s="430"/>
    </row>
    <row r="49" spans="1:16" outlineLevel="1">
      <c r="A49" s="447" t="s">
        <v>272</v>
      </c>
      <c r="B49" s="510">
        <v>150000</v>
      </c>
      <c r="C49" s="510"/>
      <c r="D49" s="499">
        <v>0</v>
      </c>
      <c r="E49" s="453">
        <v>0</v>
      </c>
      <c r="F49" s="453">
        <v>0</v>
      </c>
      <c r="G49" s="453">
        <v>0</v>
      </c>
      <c r="H49" s="503">
        <v>0</v>
      </c>
      <c r="I49" s="513">
        <f>-I13*150</f>
        <v>-82347.515602631989</v>
      </c>
      <c r="J49" s="513">
        <f>-J13*150</f>
        <v>-88111.841694816234</v>
      </c>
      <c r="K49" s="514">
        <f>-K13*150</f>
        <v>-88992.96011176442</v>
      </c>
      <c r="L49" s="515">
        <f>-L13*150</f>
        <v>-259452.31740921264</v>
      </c>
      <c r="M49" s="429"/>
      <c r="N49" s="430"/>
    </row>
    <row r="50" spans="1:16" outlineLevel="1">
      <c r="A50" s="447" t="s">
        <v>127</v>
      </c>
      <c r="B50" s="455"/>
      <c r="C50" s="455"/>
      <c r="D50" s="516">
        <f t="shared" ref="D50:L50" si="6">SUM(D44:D49)</f>
        <v>-522978.5</v>
      </c>
      <c r="E50" s="517">
        <f t="shared" si="6"/>
        <v>-589553.60377491883</v>
      </c>
      <c r="F50" s="517">
        <f t="shared" si="6"/>
        <v>-629880.42238088523</v>
      </c>
      <c r="G50" s="517">
        <f t="shared" si="6"/>
        <v>-584022.22238371288</v>
      </c>
      <c r="H50" s="518">
        <f t="shared" si="6"/>
        <v>-1803456.2485395169</v>
      </c>
      <c r="I50" s="516">
        <f t="shared" si="6"/>
        <v>-760105.46982856176</v>
      </c>
      <c r="J50" s="517">
        <f t="shared" si="6"/>
        <v>-765077.94013699598</v>
      </c>
      <c r="K50" s="517">
        <f t="shared" si="6"/>
        <v>-786593.13505889813</v>
      </c>
      <c r="L50" s="518">
        <f t="shared" si="6"/>
        <v>-2311776.545024456</v>
      </c>
      <c r="M50" s="429"/>
      <c r="N50" s="430"/>
    </row>
    <row r="51" spans="1:16" outlineLevel="1">
      <c r="A51" s="447"/>
      <c r="B51" s="455"/>
      <c r="C51" s="455"/>
      <c r="D51" s="476"/>
      <c r="E51" s="477"/>
      <c r="F51" s="477"/>
      <c r="G51" s="477"/>
      <c r="H51" s="454"/>
      <c r="I51" s="452"/>
      <c r="J51" s="453"/>
      <c r="K51" s="453"/>
      <c r="L51" s="454"/>
      <c r="M51" s="429"/>
      <c r="N51" s="430"/>
      <c r="O51" s="519"/>
      <c r="P51" s="519"/>
    </row>
    <row r="52" spans="1:16" ht="15.75" outlineLevel="1" thickBot="1">
      <c r="A52" s="426" t="s">
        <v>228</v>
      </c>
      <c r="B52" s="455"/>
      <c r="C52" s="455"/>
      <c r="D52" s="476"/>
      <c r="E52" s="477"/>
      <c r="F52" s="477"/>
      <c r="G52" s="477"/>
      <c r="H52" s="454"/>
      <c r="I52" s="452"/>
      <c r="J52" s="453"/>
      <c r="K52" s="453"/>
      <c r="L52" s="454"/>
      <c r="M52" s="429"/>
      <c r="N52" s="430"/>
      <c r="O52" s="520"/>
      <c r="P52" s="519"/>
    </row>
    <row r="53" spans="1:16" ht="15.75" outlineLevel="1" thickBot="1">
      <c r="A53" s="447" t="s">
        <v>229</v>
      </c>
      <c r="B53" s="455"/>
      <c r="C53" s="455"/>
      <c r="D53" s="521">
        <f t="shared" ref="D53:K53" si="7">SUM(D41+D50)</f>
        <v>1700711.8333333335</v>
      </c>
      <c r="E53" s="522">
        <f t="shared" si="7"/>
        <v>2380573.9355247654</v>
      </c>
      <c r="F53" s="522">
        <f t="shared" si="7"/>
        <v>2996066.9327309495</v>
      </c>
      <c r="G53" s="522">
        <f t="shared" si="7"/>
        <v>3327395.2704408718</v>
      </c>
      <c r="H53" s="640">
        <f t="shared" si="7"/>
        <v>8704036.1386965867</v>
      </c>
      <c r="I53" s="522">
        <f t="shared" si="7"/>
        <v>2370689.8429596866</v>
      </c>
      <c r="J53" s="457">
        <f t="shared" si="7"/>
        <v>3118855.6316951024</v>
      </c>
      <c r="K53" s="457">
        <f t="shared" si="7"/>
        <v>3704585.5767479907</v>
      </c>
      <c r="L53" s="580">
        <f>(L41+L50)</f>
        <v>9194131.0514027793</v>
      </c>
      <c r="M53" s="429">
        <f>(L53-H53)</f>
        <v>490094.91270619258</v>
      </c>
      <c r="N53" s="523">
        <f>(M53/H53)</f>
        <v>5.6306626592152846E-2</v>
      </c>
      <c r="O53" s="641">
        <f>L53/H53</f>
        <v>1.0563066265921528</v>
      </c>
      <c r="P53" s="524"/>
    </row>
    <row r="54" spans="1:16" ht="15.75" outlineLevel="1" thickBot="1">
      <c r="A54" s="447" t="s">
        <v>230</v>
      </c>
      <c r="B54" s="455"/>
      <c r="C54" s="455"/>
      <c r="D54" s="525">
        <f>D53</f>
        <v>1700711.8333333335</v>
      </c>
      <c r="E54" s="526">
        <f>SUM(D54+E53)</f>
        <v>4081285.7688580989</v>
      </c>
      <c r="F54" s="526">
        <f>SUM(E54+F53)</f>
        <v>7077352.7015890479</v>
      </c>
      <c r="G54" s="526">
        <f>SUM(F54+G53)</f>
        <v>10404747.972029921</v>
      </c>
      <c r="H54" s="640">
        <f>G54</f>
        <v>10404747.972029921</v>
      </c>
      <c r="I54" s="526">
        <f>I53</f>
        <v>2370689.8429596866</v>
      </c>
      <c r="J54" s="527">
        <f>J53+I54</f>
        <v>5489545.4746547891</v>
      </c>
      <c r="K54" s="527">
        <f>K53+J54</f>
        <v>9194131.0514027793</v>
      </c>
      <c r="L54" s="458">
        <f>K54</f>
        <v>9194131.0514027793</v>
      </c>
      <c r="M54" s="429"/>
      <c r="N54" s="528"/>
      <c r="O54" s="641">
        <f>L54/H54</f>
        <v>0.88364764587460209</v>
      </c>
      <c r="P54" s="519"/>
    </row>
    <row r="55" spans="1:16" outlineLevel="1">
      <c r="A55" s="447" t="s">
        <v>231</v>
      </c>
      <c r="B55" s="529">
        <v>1</v>
      </c>
      <c r="C55" s="529"/>
      <c r="D55" s="485"/>
      <c r="E55" s="486"/>
      <c r="F55" s="486"/>
      <c r="G55" s="486"/>
      <c r="H55" s="530"/>
      <c r="I55" s="531">
        <f>I53/D53</f>
        <v>1.3939397589262494</v>
      </c>
      <c r="J55" s="531">
        <f>J53/E53</f>
        <v>1.3101276062688609</v>
      </c>
      <c r="K55" s="532">
        <f>K53/F53</f>
        <v>1.2364829157442148</v>
      </c>
      <c r="L55" s="454"/>
      <c r="M55" s="429"/>
      <c r="N55" s="430"/>
      <c r="O55" s="520"/>
      <c r="P55" s="519"/>
    </row>
    <row r="56" spans="1:16" outlineLevel="1">
      <c r="A56" s="447" t="s">
        <v>232</v>
      </c>
      <c r="B56" s="529"/>
      <c r="C56" s="529"/>
      <c r="D56" s="485"/>
      <c r="E56" s="486"/>
      <c r="F56" s="486"/>
      <c r="G56" s="486"/>
      <c r="H56" s="530"/>
      <c r="I56" s="485"/>
      <c r="J56" s="486"/>
      <c r="K56" s="486"/>
      <c r="L56" s="454"/>
      <c r="M56" s="429"/>
      <c r="N56" s="430"/>
      <c r="O56" s="520"/>
      <c r="P56" s="519"/>
    </row>
    <row r="57" spans="1:16" ht="15.75" outlineLevel="1" thickBot="1">
      <c r="A57" s="447"/>
      <c r="B57" s="455"/>
      <c r="C57" s="455"/>
      <c r="D57" s="485"/>
      <c r="E57" s="486"/>
      <c r="F57" s="486"/>
      <c r="G57" s="486"/>
      <c r="H57" s="530"/>
      <c r="I57" s="531"/>
      <c r="J57" s="533"/>
      <c r="K57" s="533"/>
      <c r="L57" s="534"/>
      <c r="M57" s="429"/>
      <c r="N57" s="535"/>
      <c r="O57" s="520"/>
      <c r="P57" s="519"/>
    </row>
    <row r="58" spans="1:16" ht="15.75" outlineLevel="1" thickBot="1">
      <c r="A58" s="475" t="s">
        <v>233</v>
      </c>
      <c r="B58" s="455"/>
      <c r="C58" s="455"/>
      <c r="D58" s="485"/>
      <c r="E58" s="486"/>
      <c r="F58" s="486"/>
      <c r="G58" s="486"/>
      <c r="H58" s="530"/>
      <c r="I58" s="536"/>
      <c r="J58" s="537"/>
      <c r="K58" s="537"/>
      <c r="L58" s="538">
        <f>-(L41/L50)</f>
        <v>4.9770846672836697</v>
      </c>
      <c r="M58" s="407"/>
      <c r="N58" s="407"/>
      <c r="O58" s="520"/>
      <c r="P58" s="519"/>
    </row>
    <row r="59" spans="1:16" outlineLevel="1">
      <c r="A59" s="539"/>
      <c r="B59" s="540"/>
      <c r="C59" s="540"/>
      <c r="D59" s="541"/>
      <c r="E59" s="542"/>
      <c r="F59" s="542"/>
      <c r="G59" s="542"/>
      <c r="H59" s="495"/>
      <c r="I59" s="541"/>
      <c r="J59" s="542"/>
      <c r="K59" s="542"/>
      <c r="L59" s="495"/>
      <c r="M59" s="407"/>
      <c r="N59" s="407"/>
      <c r="O59" s="519"/>
      <c r="P59" s="519"/>
    </row>
    <row r="60" spans="1:16" outlineLevel="1">
      <c r="A60" s="630"/>
      <c r="M60" s="544"/>
      <c r="N60" s="405"/>
    </row>
    <row r="61" spans="1:16" outlineLevel="1">
      <c r="A61" s="545" t="s">
        <v>234</v>
      </c>
    </row>
    <row r="62" spans="1:16" outlineLevel="1">
      <c r="A62" s="545"/>
    </row>
    <row r="63" spans="1:16" ht="15" customHeight="1" outlineLevel="1">
      <c r="A63" s="546" t="s">
        <v>235</v>
      </c>
    </row>
    <row r="64" spans="1:16" ht="15" customHeight="1" outlineLevel="1">
      <c r="A64" s="655" t="s">
        <v>236</v>
      </c>
      <c r="B64" s="648"/>
      <c r="C64" s="648"/>
      <c r="D64" s="648"/>
      <c r="E64" s="648"/>
      <c r="F64" s="648"/>
      <c r="G64" s="648"/>
      <c r="H64" s="648"/>
      <c r="I64" s="648"/>
      <c r="J64" s="648"/>
      <c r="K64" s="648"/>
      <c r="L64" s="648"/>
      <c r="M64" s="648"/>
      <c r="N64" s="648"/>
    </row>
    <row r="65" spans="1:14" outlineLevel="1">
      <c r="A65" s="655" t="s">
        <v>237</v>
      </c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</row>
    <row r="66" spans="1:14" ht="20.25" customHeight="1">
      <c r="A66" s="547"/>
      <c r="L66" s="508"/>
      <c r="N66" s="407"/>
    </row>
    <row r="67" spans="1:14" s="508" customFormat="1" ht="63.75" hidden="1" customHeight="1">
      <c r="A67" s="548"/>
      <c r="B67" s="549" t="s">
        <v>238</v>
      </c>
      <c r="C67" s="549"/>
      <c r="D67" s="550" t="s">
        <v>239</v>
      </c>
      <c r="E67" s="550" t="s">
        <v>240</v>
      </c>
      <c r="F67" s="550"/>
      <c r="G67" s="550"/>
      <c r="H67" s="550"/>
      <c r="I67" s="550"/>
      <c r="J67" s="550" t="s">
        <v>241</v>
      </c>
      <c r="K67" s="628"/>
      <c r="L67" s="645" t="s">
        <v>242</v>
      </c>
      <c r="M67" s="646"/>
    </row>
    <row r="68" spans="1:14" ht="65.25" hidden="1" customHeight="1">
      <c r="A68" s="552" t="s">
        <v>243</v>
      </c>
      <c r="B68" s="548">
        <f>25%*B78</f>
        <v>1937.5</v>
      </c>
      <c r="C68" s="548"/>
      <c r="D68" s="553" t="s">
        <v>244</v>
      </c>
      <c r="E68" s="553" t="s">
        <v>245</v>
      </c>
      <c r="F68" s="553"/>
      <c r="G68" s="553"/>
      <c r="H68" s="553"/>
      <c r="I68" s="553"/>
      <c r="J68" s="554">
        <f>(2250*10)</f>
        <v>22500</v>
      </c>
      <c r="K68" s="554"/>
      <c r="L68" s="554">
        <f>(B68-J68)</f>
        <v>-20562.5</v>
      </c>
      <c r="M68" s="550"/>
      <c r="N68" s="407"/>
    </row>
    <row r="69" spans="1:14" ht="45" hidden="1">
      <c r="A69" s="552" t="s">
        <v>246</v>
      </c>
      <c r="B69" s="548">
        <f>35%*B78</f>
        <v>2712.5</v>
      </c>
      <c r="C69" s="548"/>
      <c r="D69" s="553" t="s">
        <v>247</v>
      </c>
      <c r="E69" s="553" t="s">
        <v>248</v>
      </c>
      <c r="F69" s="553"/>
      <c r="G69" s="553"/>
      <c r="H69" s="553"/>
      <c r="I69" s="553"/>
      <c r="J69" s="554">
        <f>(2130)*25</f>
        <v>53250</v>
      </c>
      <c r="K69" s="554"/>
      <c r="L69" s="554">
        <f>(B69-J69)</f>
        <v>-50537.5</v>
      </c>
      <c r="M69" s="550"/>
      <c r="N69" s="407"/>
    </row>
    <row r="70" spans="1:14" ht="30" hidden="1">
      <c r="A70" s="552" t="s">
        <v>249</v>
      </c>
      <c r="B70" s="548">
        <f>40%*B78</f>
        <v>3100</v>
      </c>
      <c r="C70" s="548"/>
      <c r="D70" s="553" t="s">
        <v>250</v>
      </c>
      <c r="E70" s="553" t="s">
        <v>251</v>
      </c>
      <c r="F70" s="553"/>
      <c r="G70" s="553"/>
      <c r="H70" s="553"/>
      <c r="I70" s="553"/>
      <c r="J70" s="554">
        <f>(2230)*30</f>
        <v>66900</v>
      </c>
      <c r="K70" s="554"/>
      <c r="L70" s="554">
        <f>(B70-J70)</f>
        <v>-63800</v>
      </c>
      <c r="M70" s="550"/>
      <c r="N70" s="407"/>
    </row>
    <row r="71" spans="1:14" hidden="1">
      <c r="A71" s="555"/>
      <c r="B71" s="548"/>
      <c r="C71" s="548"/>
      <c r="D71" s="554"/>
      <c r="E71" s="554"/>
      <c r="F71" s="554"/>
      <c r="G71" s="554"/>
      <c r="H71" s="554"/>
      <c r="I71" s="554"/>
      <c r="J71" s="554">
        <f>SUM(J68:J70)</f>
        <v>142650</v>
      </c>
      <c r="K71" s="554"/>
      <c r="L71" s="554">
        <f>SUM(L68:L70)</f>
        <v>-134900</v>
      </c>
      <c r="M71" s="554">
        <f>SUM(M68:M70)</f>
        <v>0</v>
      </c>
      <c r="N71" s="407"/>
    </row>
    <row r="72" spans="1:14" hidden="1">
      <c r="B72" s="547"/>
      <c r="C72" s="547"/>
    </row>
    <row r="73" spans="1:14" ht="15.75" hidden="1" thickBot="1">
      <c r="A73" s="556" t="s">
        <v>252</v>
      </c>
      <c r="B73" s="557">
        <v>210000</v>
      </c>
      <c r="C73" s="558"/>
    </row>
    <row r="74" spans="1:14" ht="21" hidden="1" customHeight="1">
      <c r="A74" s="559" t="s">
        <v>253</v>
      </c>
      <c r="B74" s="560">
        <v>15000</v>
      </c>
      <c r="C74" s="561"/>
    </row>
    <row r="75" spans="1:14" ht="21" hidden="1" customHeight="1">
      <c r="A75" s="552" t="s">
        <v>254</v>
      </c>
      <c r="B75" s="555">
        <v>2250</v>
      </c>
      <c r="C75" s="562"/>
    </row>
    <row r="76" spans="1:14" hidden="1">
      <c r="A76" s="552" t="s">
        <v>255</v>
      </c>
      <c r="B76" s="563">
        <v>166500</v>
      </c>
      <c r="C76" s="561"/>
    </row>
    <row r="77" spans="1:14" hidden="1">
      <c r="A77" s="552" t="s">
        <v>256</v>
      </c>
      <c r="B77" s="563">
        <v>18500</v>
      </c>
      <c r="C77" s="561"/>
    </row>
    <row r="78" spans="1:14" hidden="1">
      <c r="A78" s="552" t="s">
        <v>257</v>
      </c>
      <c r="B78" s="564">
        <v>7750</v>
      </c>
      <c r="C78" s="565"/>
    </row>
    <row r="79" spans="1:14" hidden="1">
      <c r="B79" s="566"/>
      <c r="C79" s="566"/>
    </row>
    <row r="80" spans="1:14" ht="27.75" hidden="1" customHeight="1">
      <c r="A80" s="567" t="s">
        <v>258</v>
      </c>
      <c r="B80" s="568">
        <v>95000</v>
      </c>
      <c r="C80" s="569"/>
    </row>
    <row r="81" spans="1:14" ht="31.5" hidden="1" customHeight="1">
      <c r="A81" s="570" t="s">
        <v>259</v>
      </c>
      <c r="B81" s="571">
        <v>1800000</v>
      </c>
      <c r="C81" s="569"/>
      <c r="N81" s="405"/>
    </row>
    <row r="82" spans="1:14" ht="33.75" hidden="1" customHeight="1">
      <c r="A82" s="570" t="s">
        <v>260</v>
      </c>
      <c r="B82" s="572">
        <f>(B80/B81)</f>
        <v>5.2777777777777778E-2</v>
      </c>
      <c r="C82" s="573"/>
    </row>
    <row r="83" spans="1:14" ht="33.75" hidden="1" customHeight="1" thickBot="1">
      <c r="A83" s="574" t="s">
        <v>261</v>
      </c>
      <c r="B83" s="575">
        <f>((B80/3)/50)</f>
        <v>633.33333333333337</v>
      </c>
      <c r="C83" s="576"/>
    </row>
    <row r="84" spans="1:14" ht="30.75" hidden="1" thickBot="1">
      <c r="A84" s="577" t="s">
        <v>262</v>
      </c>
      <c r="B84" s="578">
        <f>((B81/3)/50)</f>
        <v>12000</v>
      </c>
      <c r="C84" s="579"/>
      <c r="D84" s="580" t="s">
        <v>263</v>
      </c>
    </row>
    <row r="85" spans="1:14">
      <c r="A85" s="583" t="s">
        <v>264</v>
      </c>
      <c r="B85" s="584"/>
      <c r="C85" s="584"/>
      <c r="D85" s="585">
        <f>D23</f>
        <v>0</v>
      </c>
      <c r="E85" s="585">
        <f>D89</f>
        <v>52000000</v>
      </c>
      <c r="F85" s="585">
        <f t="shared" ref="F85:G85" si="8">E89</f>
        <v>106360210.37749188</v>
      </c>
      <c r="G85" s="585">
        <f t="shared" si="8"/>
        <v>160280765.36462605</v>
      </c>
      <c r="H85" s="585">
        <f>E85</f>
        <v>52000000</v>
      </c>
      <c r="I85" s="585">
        <f>I23</f>
        <v>52000000</v>
      </c>
      <c r="J85" s="585">
        <f t="shared" ref="J85:K85" si="9">I89</f>
        <v>109326595.42259297</v>
      </c>
      <c r="K85" s="585">
        <f t="shared" si="9"/>
        <v>167581790.44215834</v>
      </c>
      <c r="L85" s="585">
        <f>I85</f>
        <v>52000000</v>
      </c>
    </row>
    <row r="86" spans="1:14">
      <c r="A86" s="583" t="s">
        <v>173</v>
      </c>
      <c r="B86" s="584"/>
      <c r="C86" s="584"/>
      <c r="D86" s="585">
        <f>D22</f>
        <v>52000000</v>
      </c>
      <c r="E86" s="585">
        <f>E22</f>
        <v>58624210.377491876</v>
      </c>
      <c r="F86" s="585">
        <f>F22</f>
        <v>62642092.238088518</v>
      </c>
      <c r="G86" s="585">
        <f>G22</f>
        <v>58087722.23837129</v>
      </c>
      <c r="H86" s="586">
        <f>SUM(E86:G86)</f>
        <v>179354024.85395169</v>
      </c>
      <c r="I86" s="585">
        <f>I22</f>
        <v>61590595.422592975</v>
      </c>
      <c r="J86" s="585">
        <f>J22</f>
        <v>67219975.844217971</v>
      </c>
      <c r="K86" s="585">
        <f>K22</f>
        <v>69250019.114713371</v>
      </c>
      <c r="L86" s="585">
        <f>SUM(I86:K86)</f>
        <v>198060590.38152432</v>
      </c>
    </row>
    <row r="87" spans="1:14">
      <c r="A87" s="583" t="s">
        <v>265</v>
      </c>
      <c r="B87" s="584"/>
      <c r="C87" s="584"/>
      <c r="D87" s="587">
        <f>D24</f>
        <v>0</v>
      </c>
      <c r="E87" s="587">
        <f>E24</f>
        <v>-1664000</v>
      </c>
      <c r="F87" s="587">
        <f>F24</f>
        <v>-3403526.7320797401</v>
      </c>
      <c r="G87" s="587">
        <f>G24</f>
        <v>-5128984.4916680334</v>
      </c>
      <c r="H87" s="588">
        <f>SUM(E87:G87)</f>
        <v>-10196511.223747775</v>
      </c>
      <c r="I87" s="585">
        <f>I24</f>
        <v>-1664000</v>
      </c>
      <c r="J87" s="587">
        <f>J24</f>
        <v>-3498451.0535229752</v>
      </c>
      <c r="K87" s="587">
        <f>K24</f>
        <v>-5362617.2941490663</v>
      </c>
      <c r="L87" s="585">
        <f t="shared" ref="L87:L88" si="10">SUM(I87:K87)</f>
        <v>-10525068.347672042</v>
      </c>
    </row>
    <row r="88" spans="1:14">
      <c r="A88" s="583" t="s">
        <v>266</v>
      </c>
      <c r="B88" s="584">
        <f>100%-B27</f>
        <v>5.0000000000000044E-2</v>
      </c>
      <c r="C88" s="584"/>
      <c r="D88" s="587">
        <f>D27</f>
        <v>0</v>
      </c>
      <c r="E88" s="587">
        <f>-E23*$B$88</f>
        <v>-2600000.0000000023</v>
      </c>
      <c r="F88" s="587">
        <f>-F23*$B$88</f>
        <v>-5318010.5188745987</v>
      </c>
      <c r="G88" s="587">
        <f>-G23*$B$88</f>
        <v>-8014038.26823131</v>
      </c>
      <c r="H88" s="587">
        <f>SUM(E88:G88)</f>
        <v>-15932048.78710591</v>
      </c>
      <c r="I88" s="587">
        <f>-I23*$B$88</f>
        <v>-2600000.0000000023</v>
      </c>
      <c r="J88" s="587">
        <f>-J23*$B$88</f>
        <v>-5466329.7711296529</v>
      </c>
      <c r="K88" s="587">
        <f>-K23*$B$88</f>
        <v>-8379089.5221079234</v>
      </c>
      <c r="L88" s="585">
        <f t="shared" si="10"/>
        <v>-16445419.293237578</v>
      </c>
    </row>
    <row r="89" spans="1:14" ht="15.75" thickBot="1">
      <c r="A89" s="583" t="s">
        <v>267</v>
      </c>
      <c r="B89" s="584"/>
      <c r="C89" s="584"/>
      <c r="D89" s="589">
        <f>SUM(D85:D88)</f>
        <v>52000000</v>
      </c>
      <c r="E89" s="589">
        <f t="shared" ref="E89:J89" si="11">SUM(E85:E88)</f>
        <v>106360210.37749188</v>
      </c>
      <c r="F89" s="589">
        <f t="shared" si="11"/>
        <v>160280765.36462605</v>
      </c>
      <c r="G89" s="589">
        <f t="shared" si="11"/>
        <v>205225464.84309798</v>
      </c>
      <c r="H89" s="589">
        <f>SUM(H85:H88)</f>
        <v>205225464.84309798</v>
      </c>
      <c r="I89" s="589">
        <f t="shared" ref="I89" si="12">SUM(I85:I88)</f>
        <v>109326595.42259297</v>
      </c>
      <c r="J89" s="589">
        <f t="shared" si="11"/>
        <v>167581790.44215834</v>
      </c>
      <c r="K89" s="589">
        <f>SUM(K85:K88)</f>
        <v>223090102.74061471</v>
      </c>
      <c r="L89" s="589">
        <f>SUM(L85:L88)</f>
        <v>223090102.74061471</v>
      </c>
    </row>
    <row r="91" spans="1:14">
      <c r="E91" s="405">
        <f>E85*B27</f>
        <v>49400000</v>
      </c>
    </row>
    <row r="92" spans="1:14">
      <c r="E92" s="405">
        <f>+E86+E87</f>
        <v>56960210.377491876</v>
      </c>
    </row>
    <row r="93" spans="1:14">
      <c r="E93" s="405">
        <f>+E91+E92</f>
        <v>106360210.37749188</v>
      </c>
    </row>
  </sheetData>
  <mergeCells count="7">
    <mergeCell ref="L67:M67"/>
    <mergeCell ref="A1:B1"/>
    <mergeCell ref="I3:L3"/>
    <mergeCell ref="E4:H4"/>
    <mergeCell ref="I4:L4"/>
    <mergeCell ref="A64:N64"/>
    <mergeCell ref="A65:N65"/>
  </mergeCells>
  <pageMargins left="0.25" right="0.25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93"/>
  <sheetViews>
    <sheetView tabSelected="1" zoomScale="80" zoomScaleNormal="80" zoomScaleSheetLayoutView="55" workbookViewId="0">
      <pane xSplit="1" ySplit="7" topLeftCell="D8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5" outlineLevelRow="1" outlineLevelCol="1"/>
  <cols>
    <col min="1" max="1" width="36" style="407" customWidth="1"/>
    <col min="2" max="2" width="18.140625" style="409" customWidth="1"/>
    <col min="3" max="3" width="18.140625" style="409" hidden="1" customWidth="1"/>
    <col min="4" max="4" width="15" style="405" customWidth="1"/>
    <col min="5" max="5" width="15.42578125" style="405" customWidth="1"/>
    <col min="6" max="7" width="18.7109375" style="405" customWidth="1"/>
    <col min="8" max="8" width="14.5703125" style="405" customWidth="1"/>
    <col min="9" max="9" width="14.85546875" style="405" customWidth="1"/>
    <col min="10" max="10" width="14.85546875" style="405" customWidth="1" outlineLevel="1"/>
    <col min="11" max="11" width="19.140625" style="405" customWidth="1" outlineLevel="1"/>
    <col min="12" max="12" width="13.140625" style="405" customWidth="1" outlineLevel="1"/>
    <col min="13" max="13" width="13.140625" style="405" hidden="1" customWidth="1" outlineLevel="1"/>
    <col min="14" max="14" width="20.85546875" style="406" hidden="1" customWidth="1"/>
    <col min="15" max="15" width="12.7109375" style="407" customWidth="1"/>
    <col min="16" max="16" width="9" style="407" customWidth="1"/>
    <col min="17" max="17" width="10.85546875" style="407" bestFit="1" customWidth="1"/>
    <col min="18" max="18" width="10.140625" style="407" bestFit="1" customWidth="1"/>
    <col min="19" max="256" width="9.140625" style="407"/>
    <col min="257" max="257" width="36" style="407" customWidth="1"/>
    <col min="258" max="259" width="18.140625" style="407" customWidth="1"/>
    <col min="260" max="260" width="15" style="407" customWidth="1"/>
    <col min="261" max="261" width="15.42578125" style="407" customWidth="1"/>
    <col min="262" max="263" width="18.7109375" style="407" customWidth="1"/>
    <col min="264" max="264" width="14.5703125" style="407" customWidth="1"/>
    <col min="265" max="266" width="14.85546875" style="407" customWidth="1"/>
    <col min="267" max="267" width="19.140625" style="407" customWidth="1"/>
    <col min="268" max="268" width="13.140625" style="407" customWidth="1"/>
    <col min="269" max="270" width="0" style="407" hidden="1" customWidth="1"/>
    <col min="271" max="271" width="12.7109375" style="407" customWidth="1"/>
    <col min="272" max="272" width="9" style="407" customWidth="1"/>
    <col min="273" max="273" width="10.85546875" style="407" bestFit="1" customWidth="1"/>
    <col min="274" max="274" width="10.140625" style="407" bestFit="1" customWidth="1"/>
    <col min="275" max="512" width="9.140625" style="407"/>
    <col min="513" max="513" width="36" style="407" customWidth="1"/>
    <col min="514" max="515" width="18.140625" style="407" customWidth="1"/>
    <col min="516" max="516" width="15" style="407" customWidth="1"/>
    <col min="517" max="517" width="15.42578125" style="407" customWidth="1"/>
    <col min="518" max="519" width="18.7109375" style="407" customWidth="1"/>
    <col min="520" max="520" width="14.5703125" style="407" customWidth="1"/>
    <col min="521" max="522" width="14.85546875" style="407" customWidth="1"/>
    <col min="523" max="523" width="19.140625" style="407" customWidth="1"/>
    <col min="524" max="524" width="13.140625" style="407" customWidth="1"/>
    <col min="525" max="526" width="0" style="407" hidden="1" customWidth="1"/>
    <col min="527" max="527" width="12.7109375" style="407" customWidth="1"/>
    <col min="528" max="528" width="9" style="407" customWidth="1"/>
    <col min="529" max="529" width="10.85546875" style="407" bestFit="1" customWidth="1"/>
    <col min="530" max="530" width="10.140625" style="407" bestFit="1" customWidth="1"/>
    <col min="531" max="768" width="9.140625" style="407"/>
    <col min="769" max="769" width="36" style="407" customWidth="1"/>
    <col min="770" max="771" width="18.140625" style="407" customWidth="1"/>
    <col min="772" max="772" width="15" style="407" customWidth="1"/>
    <col min="773" max="773" width="15.42578125" style="407" customWidth="1"/>
    <col min="774" max="775" width="18.7109375" style="407" customWidth="1"/>
    <col min="776" max="776" width="14.5703125" style="407" customWidth="1"/>
    <col min="777" max="778" width="14.85546875" style="407" customWidth="1"/>
    <col min="779" max="779" width="19.140625" style="407" customWidth="1"/>
    <col min="780" max="780" width="13.140625" style="407" customWidth="1"/>
    <col min="781" max="782" width="0" style="407" hidden="1" customWidth="1"/>
    <col min="783" max="783" width="12.7109375" style="407" customWidth="1"/>
    <col min="784" max="784" width="9" style="407" customWidth="1"/>
    <col min="785" max="785" width="10.85546875" style="407" bestFit="1" customWidth="1"/>
    <col min="786" max="786" width="10.140625" style="407" bestFit="1" customWidth="1"/>
    <col min="787" max="1024" width="9.140625" style="407"/>
    <col min="1025" max="1025" width="36" style="407" customWidth="1"/>
    <col min="1026" max="1027" width="18.140625" style="407" customWidth="1"/>
    <col min="1028" max="1028" width="15" style="407" customWidth="1"/>
    <col min="1029" max="1029" width="15.42578125" style="407" customWidth="1"/>
    <col min="1030" max="1031" width="18.7109375" style="407" customWidth="1"/>
    <col min="1032" max="1032" width="14.5703125" style="407" customWidth="1"/>
    <col min="1033" max="1034" width="14.85546875" style="407" customWidth="1"/>
    <col min="1035" max="1035" width="19.140625" style="407" customWidth="1"/>
    <col min="1036" max="1036" width="13.140625" style="407" customWidth="1"/>
    <col min="1037" max="1038" width="0" style="407" hidden="1" customWidth="1"/>
    <col min="1039" max="1039" width="12.7109375" style="407" customWidth="1"/>
    <col min="1040" max="1040" width="9" style="407" customWidth="1"/>
    <col min="1041" max="1041" width="10.85546875" style="407" bestFit="1" customWidth="1"/>
    <col min="1042" max="1042" width="10.140625" style="407" bestFit="1" customWidth="1"/>
    <col min="1043" max="1280" width="9.140625" style="407"/>
    <col min="1281" max="1281" width="36" style="407" customWidth="1"/>
    <col min="1282" max="1283" width="18.140625" style="407" customWidth="1"/>
    <col min="1284" max="1284" width="15" style="407" customWidth="1"/>
    <col min="1285" max="1285" width="15.42578125" style="407" customWidth="1"/>
    <col min="1286" max="1287" width="18.7109375" style="407" customWidth="1"/>
    <col min="1288" max="1288" width="14.5703125" style="407" customWidth="1"/>
    <col min="1289" max="1290" width="14.85546875" style="407" customWidth="1"/>
    <col min="1291" max="1291" width="19.140625" style="407" customWidth="1"/>
    <col min="1292" max="1292" width="13.140625" style="407" customWidth="1"/>
    <col min="1293" max="1294" width="0" style="407" hidden="1" customWidth="1"/>
    <col min="1295" max="1295" width="12.7109375" style="407" customWidth="1"/>
    <col min="1296" max="1296" width="9" style="407" customWidth="1"/>
    <col min="1297" max="1297" width="10.85546875" style="407" bestFit="1" customWidth="1"/>
    <col min="1298" max="1298" width="10.140625" style="407" bestFit="1" customWidth="1"/>
    <col min="1299" max="1536" width="9.140625" style="407"/>
    <col min="1537" max="1537" width="36" style="407" customWidth="1"/>
    <col min="1538" max="1539" width="18.140625" style="407" customWidth="1"/>
    <col min="1540" max="1540" width="15" style="407" customWidth="1"/>
    <col min="1541" max="1541" width="15.42578125" style="407" customWidth="1"/>
    <col min="1542" max="1543" width="18.7109375" style="407" customWidth="1"/>
    <col min="1544" max="1544" width="14.5703125" style="407" customWidth="1"/>
    <col min="1545" max="1546" width="14.85546875" style="407" customWidth="1"/>
    <col min="1547" max="1547" width="19.140625" style="407" customWidth="1"/>
    <col min="1548" max="1548" width="13.140625" style="407" customWidth="1"/>
    <col min="1549" max="1550" width="0" style="407" hidden="1" customWidth="1"/>
    <col min="1551" max="1551" width="12.7109375" style="407" customWidth="1"/>
    <col min="1552" max="1552" width="9" style="407" customWidth="1"/>
    <col min="1553" max="1553" width="10.85546875" style="407" bestFit="1" customWidth="1"/>
    <col min="1554" max="1554" width="10.140625" style="407" bestFit="1" customWidth="1"/>
    <col min="1555" max="1792" width="9.140625" style="407"/>
    <col min="1793" max="1793" width="36" style="407" customWidth="1"/>
    <col min="1794" max="1795" width="18.140625" style="407" customWidth="1"/>
    <col min="1796" max="1796" width="15" style="407" customWidth="1"/>
    <col min="1797" max="1797" width="15.42578125" style="407" customWidth="1"/>
    <col min="1798" max="1799" width="18.7109375" style="407" customWidth="1"/>
    <col min="1800" max="1800" width="14.5703125" style="407" customWidth="1"/>
    <col min="1801" max="1802" width="14.85546875" style="407" customWidth="1"/>
    <col min="1803" max="1803" width="19.140625" style="407" customWidth="1"/>
    <col min="1804" max="1804" width="13.140625" style="407" customWidth="1"/>
    <col min="1805" max="1806" width="0" style="407" hidden="1" customWidth="1"/>
    <col min="1807" max="1807" width="12.7109375" style="407" customWidth="1"/>
    <col min="1808" max="1808" width="9" style="407" customWidth="1"/>
    <col min="1809" max="1809" width="10.85546875" style="407" bestFit="1" customWidth="1"/>
    <col min="1810" max="1810" width="10.140625" style="407" bestFit="1" customWidth="1"/>
    <col min="1811" max="2048" width="9.140625" style="407"/>
    <col min="2049" max="2049" width="36" style="407" customWidth="1"/>
    <col min="2050" max="2051" width="18.140625" style="407" customWidth="1"/>
    <col min="2052" max="2052" width="15" style="407" customWidth="1"/>
    <col min="2053" max="2053" width="15.42578125" style="407" customWidth="1"/>
    <col min="2054" max="2055" width="18.7109375" style="407" customWidth="1"/>
    <col min="2056" max="2056" width="14.5703125" style="407" customWidth="1"/>
    <col min="2057" max="2058" width="14.85546875" style="407" customWidth="1"/>
    <col min="2059" max="2059" width="19.140625" style="407" customWidth="1"/>
    <col min="2060" max="2060" width="13.140625" style="407" customWidth="1"/>
    <col min="2061" max="2062" width="0" style="407" hidden="1" customWidth="1"/>
    <col min="2063" max="2063" width="12.7109375" style="407" customWidth="1"/>
    <col min="2064" max="2064" width="9" style="407" customWidth="1"/>
    <col min="2065" max="2065" width="10.85546875" style="407" bestFit="1" customWidth="1"/>
    <col min="2066" max="2066" width="10.140625" style="407" bestFit="1" customWidth="1"/>
    <col min="2067" max="2304" width="9.140625" style="407"/>
    <col min="2305" max="2305" width="36" style="407" customWidth="1"/>
    <col min="2306" max="2307" width="18.140625" style="407" customWidth="1"/>
    <col min="2308" max="2308" width="15" style="407" customWidth="1"/>
    <col min="2309" max="2309" width="15.42578125" style="407" customWidth="1"/>
    <col min="2310" max="2311" width="18.7109375" style="407" customWidth="1"/>
    <col min="2312" max="2312" width="14.5703125" style="407" customWidth="1"/>
    <col min="2313" max="2314" width="14.85546875" style="407" customWidth="1"/>
    <col min="2315" max="2315" width="19.140625" style="407" customWidth="1"/>
    <col min="2316" max="2316" width="13.140625" style="407" customWidth="1"/>
    <col min="2317" max="2318" width="0" style="407" hidden="1" customWidth="1"/>
    <col min="2319" max="2319" width="12.7109375" style="407" customWidth="1"/>
    <col min="2320" max="2320" width="9" style="407" customWidth="1"/>
    <col min="2321" max="2321" width="10.85546875" style="407" bestFit="1" customWidth="1"/>
    <col min="2322" max="2322" width="10.140625" style="407" bestFit="1" customWidth="1"/>
    <col min="2323" max="2560" width="9.140625" style="407"/>
    <col min="2561" max="2561" width="36" style="407" customWidth="1"/>
    <col min="2562" max="2563" width="18.140625" style="407" customWidth="1"/>
    <col min="2564" max="2564" width="15" style="407" customWidth="1"/>
    <col min="2565" max="2565" width="15.42578125" style="407" customWidth="1"/>
    <col min="2566" max="2567" width="18.7109375" style="407" customWidth="1"/>
    <col min="2568" max="2568" width="14.5703125" style="407" customWidth="1"/>
    <col min="2569" max="2570" width="14.85546875" style="407" customWidth="1"/>
    <col min="2571" max="2571" width="19.140625" style="407" customWidth="1"/>
    <col min="2572" max="2572" width="13.140625" style="407" customWidth="1"/>
    <col min="2573" max="2574" width="0" style="407" hidden="1" customWidth="1"/>
    <col min="2575" max="2575" width="12.7109375" style="407" customWidth="1"/>
    <col min="2576" max="2576" width="9" style="407" customWidth="1"/>
    <col min="2577" max="2577" width="10.85546875" style="407" bestFit="1" customWidth="1"/>
    <col min="2578" max="2578" width="10.140625" style="407" bestFit="1" customWidth="1"/>
    <col min="2579" max="2816" width="9.140625" style="407"/>
    <col min="2817" max="2817" width="36" style="407" customWidth="1"/>
    <col min="2818" max="2819" width="18.140625" style="407" customWidth="1"/>
    <col min="2820" max="2820" width="15" style="407" customWidth="1"/>
    <col min="2821" max="2821" width="15.42578125" style="407" customWidth="1"/>
    <col min="2822" max="2823" width="18.7109375" style="407" customWidth="1"/>
    <col min="2824" max="2824" width="14.5703125" style="407" customWidth="1"/>
    <col min="2825" max="2826" width="14.85546875" style="407" customWidth="1"/>
    <col min="2827" max="2827" width="19.140625" style="407" customWidth="1"/>
    <col min="2828" max="2828" width="13.140625" style="407" customWidth="1"/>
    <col min="2829" max="2830" width="0" style="407" hidden="1" customWidth="1"/>
    <col min="2831" max="2831" width="12.7109375" style="407" customWidth="1"/>
    <col min="2832" max="2832" width="9" style="407" customWidth="1"/>
    <col min="2833" max="2833" width="10.85546875" style="407" bestFit="1" customWidth="1"/>
    <col min="2834" max="2834" width="10.140625" style="407" bestFit="1" customWidth="1"/>
    <col min="2835" max="3072" width="9.140625" style="407"/>
    <col min="3073" max="3073" width="36" style="407" customWidth="1"/>
    <col min="3074" max="3075" width="18.140625" style="407" customWidth="1"/>
    <col min="3076" max="3076" width="15" style="407" customWidth="1"/>
    <col min="3077" max="3077" width="15.42578125" style="407" customWidth="1"/>
    <col min="3078" max="3079" width="18.7109375" style="407" customWidth="1"/>
    <col min="3080" max="3080" width="14.5703125" style="407" customWidth="1"/>
    <col min="3081" max="3082" width="14.85546875" style="407" customWidth="1"/>
    <col min="3083" max="3083" width="19.140625" style="407" customWidth="1"/>
    <col min="3084" max="3084" width="13.140625" style="407" customWidth="1"/>
    <col min="3085" max="3086" width="0" style="407" hidden="1" customWidth="1"/>
    <col min="3087" max="3087" width="12.7109375" style="407" customWidth="1"/>
    <col min="3088" max="3088" width="9" style="407" customWidth="1"/>
    <col min="3089" max="3089" width="10.85546875" style="407" bestFit="1" customWidth="1"/>
    <col min="3090" max="3090" width="10.140625" style="407" bestFit="1" customWidth="1"/>
    <col min="3091" max="3328" width="9.140625" style="407"/>
    <col min="3329" max="3329" width="36" style="407" customWidth="1"/>
    <col min="3330" max="3331" width="18.140625" style="407" customWidth="1"/>
    <col min="3332" max="3332" width="15" style="407" customWidth="1"/>
    <col min="3333" max="3333" width="15.42578125" style="407" customWidth="1"/>
    <col min="3334" max="3335" width="18.7109375" style="407" customWidth="1"/>
    <col min="3336" max="3336" width="14.5703125" style="407" customWidth="1"/>
    <col min="3337" max="3338" width="14.85546875" style="407" customWidth="1"/>
    <col min="3339" max="3339" width="19.140625" style="407" customWidth="1"/>
    <col min="3340" max="3340" width="13.140625" style="407" customWidth="1"/>
    <col min="3341" max="3342" width="0" style="407" hidden="1" customWidth="1"/>
    <col min="3343" max="3343" width="12.7109375" style="407" customWidth="1"/>
    <col min="3344" max="3344" width="9" style="407" customWidth="1"/>
    <col min="3345" max="3345" width="10.85546875" style="407" bestFit="1" customWidth="1"/>
    <col min="3346" max="3346" width="10.140625" style="407" bestFit="1" customWidth="1"/>
    <col min="3347" max="3584" width="9.140625" style="407"/>
    <col min="3585" max="3585" width="36" style="407" customWidth="1"/>
    <col min="3586" max="3587" width="18.140625" style="407" customWidth="1"/>
    <col min="3588" max="3588" width="15" style="407" customWidth="1"/>
    <col min="3589" max="3589" width="15.42578125" style="407" customWidth="1"/>
    <col min="3590" max="3591" width="18.7109375" style="407" customWidth="1"/>
    <col min="3592" max="3592" width="14.5703125" style="407" customWidth="1"/>
    <col min="3593" max="3594" width="14.85546875" style="407" customWidth="1"/>
    <col min="3595" max="3595" width="19.140625" style="407" customWidth="1"/>
    <col min="3596" max="3596" width="13.140625" style="407" customWidth="1"/>
    <col min="3597" max="3598" width="0" style="407" hidden="1" customWidth="1"/>
    <col min="3599" max="3599" width="12.7109375" style="407" customWidth="1"/>
    <col min="3600" max="3600" width="9" style="407" customWidth="1"/>
    <col min="3601" max="3601" width="10.85546875" style="407" bestFit="1" customWidth="1"/>
    <col min="3602" max="3602" width="10.140625" style="407" bestFit="1" customWidth="1"/>
    <col min="3603" max="3840" width="9.140625" style="407"/>
    <col min="3841" max="3841" width="36" style="407" customWidth="1"/>
    <col min="3842" max="3843" width="18.140625" style="407" customWidth="1"/>
    <col min="3844" max="3844" width="15" style="407" customWidth="1"/>
    <col min="3845" max="3845" width="15.42578125" style="407" customWidth="1"/>
    <col min="3846" max="3847" width="18.7109375" style="407" customWidth="1"/>
    <col min="3848" max="3848" width="14.5703125" style="407" customWidth="1"/>
    <col min="3849" max="3850" width="14.85546875" style="407" customWidth="1"/>
    <col min="3851" max="3851" width="19.140625" style="407" customWidth="1"/>
    <col min="3852" max="3852" width="13.140625" style="407" customWidth="1"/>
    <col min="3853" max="3854" width="0" style="407" hidden="1" customWidth="1"/>
    <col min="3855" max="3855" width="12.7109375" style="407" customWidth="1"/>
    <col min="3856" max="3856" width="9" style="407" customWidth="1"/>
    <col min="3857" max="3857" width="10.85546875" style="407" bestFit="1" customWidth="1"/>
    <col min="3858" max="3858" width="10.140625" style="407" bestFit="1" customWidth="1"/>
    <col min="3859" max="4096" width="9.140625" style="407"/>
    <col min="4097" max="4097" width="36" style="407" customWidth="1"/>
    <col min="4098" max="4099" width="18.140625" style="407" customWidth="1"/>
    <col min="4100" max="4100" width="15" style="407" customWidth="1"/>
    <col min="4101" max="4101" width="15.42578125" style="407" customWidth="1"/>
    <col min="4102" max="4103" width="18.7109375" style="407" customWidth="1"/>
    <col min="4104" max="4104" width="14.5703125" style="407" customWidth="1"/>
    <col min="4105" max="4106" width="14.85546875" style="407" customWidth="1"/>
    <col min="4107" max="4107" width="19.140625" style="407" customWidth="1"/>
    <col min="4108" max="4108" width="13.140625" style="407" customWidth="1"/>
    <col min="4109" max="4110" width="0" style="407" hidden="1" customWidth="1"/>
    <col min="4111" max="4111" width="12.7109375" style="407" customWidth="1"/>
    <col min="4112" max="4112" width="9" style="407" customWidth="1"/>
    <col min="4113" max="4113" width="10.85546875" style="407" bestFit="1" customWidth="1"/>
    <col min="4114" max="4114" width="10.140625" style="407" bestFit="1" customWidth="1"/>
    <col min="4115" max="4352" width="9.140625" style="407"/>
    <col min="4353" max="4353" width="36" style="407" customWidth="1"/>
    <col min="4354" max="4355" width="18.140625" style="407" customWidth="1"/>
    <col min="4356" max="4356" width="15" style="407" customWidth="1"/>
    <col min="4357" max="4357" width="15.42578125" style="407" customWidth="1"/>
    <col min="4358" max="4359" width="18.7109375" style="407" customWidth="1"/>
    <col min="4360" max="4360" width="14.5703125" style="407" customWidth="1"/>
    <col min="4361" max="4362" width="14.85546875" style="407" customWidth="1"/>
    <col min="4363" max="4363" width="19.140625" style="407" customWidth="1"/>
    <col min="4364" max="4364" width="13.140625" style="407" customWidth="1"/>
    <col min="4365" max="4366" width="0" style="407" hidden="1" customWidth="1"/>
    <col min="4367" max="4367" width="12.7109375" style="407" customWidth="1"/>
    <col min="4368" max="4368" width="9" style="407" customWidth="1"/>
    <col min="4369" max="4369" width="10.85546875" style="407" bestFit="1" customWidth="1"/>
    <col min="4370" max="4370" width="10.140625" style="407" bestFit="1" customWidth="1"/>
    <col min="4371" max="4608" width="9.140625" style="407"/>
    <col min="4609" max="4609" width="36" style="407" customWidth="1"/>
    <col min="4610" max="4611" width="18.140625" style="407" customWidth="1"/>
    <col min="4612" max="4612" width="15" style="407" customWidth="1"/>
    <col min="4613" max="4613" width="15.42578125" style="407" customWidth="1"/>
    <col min="4614" max="4615" width="18.7109375" style="407" customWidth="1"/>
    <col min="4616" max="4616" width="14.5703125" style="407" customWidth="1"/>
    <col min="4617" max="4618" width="14.85546875" style="407" customWidth="1"/>
    <col min="4619" max="4619" width="19.140625" style="407" customWidth="1"/>
    <col min="4620" max="4620" width="13.140625" style="407" customWidth="1"/>
    <col min="4621" max="4622" width="0" style="407" hidden="1" customWidth="1"/>
    <col min="4623" max="4623" width="12.7109375" style="407" customWidth="1"/>
    <col min="4624" max="4624" width="9" style="407" customWidth="1"/>
    <col min="4625" max="4625" width="10.85546875" style="407" bestFit="1" customWidth="1"/>
    <col min="4626" max="4626" width="10.140625" style="407" bestFit="1" customWidth="1"/>
    <col min="4627" max="4864" width="9.140625" style="407"/>
    <col min="4865" max="4865" width="36" style="407" customWidth="1"/>
    <col min="4866" max="4867" width="18.140625" style="407" customWidth="1"/>
    <col min="4868" max="4868" width="15" style="407" customWidth="1"/>
    <col min="4869" max="4869" width="15.42578125" style="407" customWidth="1"/>
    <col min="4870" max="4871" width="18.7109375" style="407" customWidth="1"/>
    <col min="4872" max="4872" width="14.5703125" style="407" customWidth="1"/>
    <col min="4873" max="4874" width="14.85546875" style="407" customWidth="1"/>
    <col min="4875" max="4875" width="19.140625" style="407" customWidth="1"/>
    <col min="4876" max="4876" width="13.140625" style="407" customWidth="1"/>
    <col min="4877" max="4878" width="0" style="407" hidden="1" customWidth="1"/>
    <col min="4879" max="4879" width="12.7109375" style="407" customWidth="1"/>
    <col min="4880" max="4880" width="9" style="407" customWidth="1"/>
    <col min="4881" max="4881" width="10.85546875" style="407" bestFit="1" customWidth="1"/>
    <col min="4882" max="4882" width="10.140625" style="407" bestFit="1" customWidth="1"/>
    <col min="4883" max="5120" width="9.140625" style="407"/>
    <col min="5121" max="5121" width="36" style="407" customWidth="1"/>
    <col min="5122" max="5123" width="18.140625" style="407" customWidth="1"/>
    <col min="5124" max="5124" width="15" style="407" customWidth="1"/>
    <col min="5125" max="5125" width="15.42578125" style="407" customWidth="1"/>
    <col min="5126" max="5127" width="18.7109375" style="407" customWidth="1"/>
    <col min="5128" max="5128" width="14.5703125" style="407" customWidth="1"/>
    <col min="5129" max="5130" width="14.85546875" style="407" customWidth="1"/>
    <col min="5131" max="5131" width="19.140625" style="407" customWidth="1"/>
    <col min="5132" max="5132" width="13.140625" style="407" customWidth="1"/>
    <col min="5133" max="5134" width="0" style="407" hidden="1" customWidth="1"/>
    <col min="5135" max="5135" width="12.7109375" style="407" customWidth="1"/>
    <col min="5136" max="5136" width="9" style="407" customWidth="1"/>
    <col min="5137" max="5137" width="10.85546875" style="407" bestFit="1" customWidth="1"/>
    <col min="5138" max="5138" width="10.140625" style="407" bestFit="1" customWidth="1"/>
    <col min="5139" max="5376" width="9.140625" style="407"/>
    <col min="5377" max="5377" width="36" style="407" customWidth="1"/>
    <col min="5378" max="5379" width="18.140625" style="407" customWidth="1"/>
    <col min="5380" max="5380" width="15" style="407" customWidth="1"/>
    <col min="5381" max="5381" width="15.42578125" style="407" customWidth="1"/>
    <col min="5382" max="5383" width="18.7109375" style="407" customWidth="1"/>
    <col min="5384" max="5384" width="14.5703125" style="407" customWidth="1"/>
    <col min="5385" max="5386" width="14.85546875" style="407" customWidth="1"/>
    <col min="5387" max="5387" width="19.140625" style="407" customWidth="1"/>
    <col min="5388" max="5388" width="13.140625" style="407" customWidth="1"/>
    <col min="5389" max="5390" width="0" style="407" hidden="1" customWidth="1"/>
    <col min="5391" max="5391" width="12.7109375" style="407" customWidth="1"/>
    <col min="5392" max="5392" width="9" style="407" customWidth="1"/>
    <col min="5393" max="5393" width="10.85546875" style="407" bestFit="1" customWidth="1"/>
    <col min="5394" max="5394" width="10.140625" style="407" bestFit="1" customWidth="1"/>
    <col min="5395" max="5632" width="9.140625" style="407"/>
    <col min="5633" max="5633" width="36" style="407" customWidth="1"/>
    <col min="5634" max="5635" width="18.140625" style="407" customWidth="1"/>
    <col min="5636" max="5636" width="15" style="407" customWidth="1"/>
    <col min="5637" max="5637" width="15.42578125" style="407" customWidth="1"/>
    <col min="5638" max="5639" width="18.7109375" style="407" customWidth="1"/>
    <col min="5640" max="5640" width="14.5703125" style="407" customWidth="1"/>
    <col min="5641" max="5642" width="14.85546875" style="407" customWidth="1"/>
    <col min="5643" max="5643" width="19.140625" style="407" customWidth="1"/>
    <col min="5644" max="5644" width="13.140625" style="407" customWidth="1"/>
    <col min="5645" max="5646" width="0" style="407" hidden="1" customWidth="1"/>
    <col min="5647" max="5647" width="12.7109375" style="407" customWidth="1"/>
    <col min="5648" max="5648" width="9" style="407" customWidth="1"/>
    <col min="5649" max="5649" width="10.85546875" style="407" bestFit="1" customWidth="1"/>
    <col min="5650" max="5650" width="10.140625" style="407" bestFit="1" customWidth="1"/>
    <col min="5651" max="5888" width="9.140625" style="407"/>
    <col min="5889" max="5889" width="36" style="407" customWidth="1"/>
    <col min="5890" max="5891" width="18.140625" style="407" customWidth="1"/>
    <col min="5892" max="5892" width="15" style="407" customWidth="1"/>
    <col min="5893" max="5893" width="15.42578125" style="407" customWidth="1"/>
    <col min="5894" max="5895" width="18.7109375" style="407" customWidth="1"/>
    <col min="5896" max="5896" width="14.5703125" style="407" customWidth="1"/>
    <col min="5897" max="5898" width="14.85546875" style="407" customWidth="1"/>
    <col min="5899" max="5899" width="19.140625" style="407" customWidth="1"/>
    <col min="5900" max="5900" width="13.140625" style="407" customWidth="1"/>
    <col min="5901" max="5902" width="0" style="407" hidden="1" customWidth="1"/>
    <col min="5903" max="5903" width="12.7109375" style="407" customWidth="1"/>
    <col min="5904" max="5904" width="9" style="407" customWidth="1"/>
    <col min="5905" max="5905" width="10.85546875" style="407" bestFit="1" customWidth="1"/>
    <col min="5906" max="5906" width="10.140625" style="407" bestFit="1" customWidth="1"/>
    <col min="5907" max="6144" width="9.140625" style="407"/>
    <col min="6145" max="6145" width="36" style="407" customWidth="1"/>
    <col min="6146" max="6147" width="18.140625" style="407" customWidth="1"/>
    <col min="6148" max="6148" width="15" style="407" customWidth="1"/>
    <col min="6149" max="6149" width="15.42578125" style="407" customWidth="1"/>
    <col min="6150" max="6151" width="18.7109375" style="407" customWidth="1"/>
    <col min="6152" max="6152" width="14.5703125" style="407" customWidth="1"/>
    <col min="6153" max="6154" width="14.85546875" style="407" customWidth="1"/>
    <col min="6155" max="6155" width="19.140625" style="407" customWidth="1"/>
    <col min="6156" max="6156" width="13.140625" style="407" customWidth="1"/>
    <col min="6157" max="6158" width="0" style="407" hidden="1" customWidth="1"/>
    <col min="6159" max="6159" width="12.7109375" style="407" customWidth="1"/>
    <col min="6160" max="6160" width="9" style="407" customWidth="1"/>
    <col min="6161" max="6161" width="10.85546875" style="407" bestFit="1" customWidth="1"/>
    <col min="6162" max="6162" width="10.140625" style="407" bestFit="1" customWidth="1"/>
    <col min="6163" max="6400" width="9.140625" style="407"/>
    <col min="6401" max="6401" width="36" style="407" customWidth="1"/>
    <col min="6402" max="6403" width="18.140625" style="407" customWidth="1"/>
    <col min="6404" max="6404" width="15" style="407" customWidth="1"/>
    <col min="6405" max="6405" width="15.42578125" style="407" customWidth="1"/>
    <col min="6406" max="6407" width="18.7109375" style="407" customWidth="1"/>
    <col min="6408" max="6408" width="14.5703125" style="407" customWidth="1"/>
    <col min="6409" max="6410" width="14.85546875" style="407" customWidth="1"/>
    <col min="6411" max="6411" width="19.140625" style="407" customWidth="1"/>
    <col min="6412" max="6412" width="13.140625" style="407" customWidth="1"/>
    <col min="6413" max="6414" width="0" style="407" hidden="1" customWidth="1"/>
    <col min="6415" max="6415" width="12.7109375" style="407" customWidth="1"/>
    <col min="6416" max="6416" width="9" style="407" customWidth="1"/>
    <col min="6417" max="6417" width="10.85546875" style="407" bestFit="1" customWidth="1"/>
    <col min="6418" max="6418" width="10.140625" style="407" bestFit="1" customWidth="1"/>
    <col min="6419" max="6656" width="9.140625" style="407"/>
    <col min="6657" max="6657" width="36" style="407" customWidth="1"/>
    <col min="6658" max="6659" width="18.140625" style="407" customWidth="1"/>
    <col min="6660" max="6660" width="15" style="407" customWidth="1"/>
    <col min="6661" max="6661" width="15.42578125" style="407" customWidth="1"/>
    <col min="6662" max="6663" width="18.7109375" style="407" customWidth="1"/>
    <col min="6664" max="6664" width="14.5703125" style="407" customWidth="1"/>
    <col min="6665" max="6666" width="14.85546875" style="407" customWidth="1"/>
    <col min="6667" max="6667" width="19.140625" style="407" customWidth="1"/>
    <col min="6668" max="6668" width="13.140625" style="407" customWidth="1"/>
    <col min="6669" max="6670" width="0" style="407" hidden="1" customWidth="1"/>
    <col min="6671" max="6671" width="12.7109375" style="407" customWidth="1"/>
    <col min="6672" max="6672" width="9" style="407" customWidth="1"/>
    <col min="6673" max="6673" width="10.85546875" style="407" bestFit="1" customWidth="1"/>
    <col min="6674" max="6674" width="10.140625" style="407" bestFit="1" customWidth="1"/>
    <col min="6675" max="6912" width="9.140625" style="407"/>
    <col min="6913" max="6913" width="36" style="407" customWidth="1"/>
    <col min="6914" max="6915" width="18.140625" style="407" customWidth="1"/>
    <col min="6916" max="6916" width="15" style="407" customWidth="1"/>
    <col min="6917" max="6917" width="15.42578125" style="407" customWidth="1"/>
    <col min="6918" max="6919" width="18.7109375" style="407" customWidth="1"/>
    <col min="6920" max="6920" width="14.5703125" style="407" customWidth="1"/>
    <col min="6921" max="6922" width="14.85546875" style="407" customWidth="1"/>
    <col min="6923" max="6923" width="19.140625" style="407" customWidth="1"/>
    <col min="6924" max="6924" width="13.140625" style="407" customWidth="1"/>
    <col min="6925" max="6926" width="0" style="407" hidden="1" customWidth="1"/>
    <col min="6927" max="6927" width="12.7109375" style="407" customWidth="1"/>
    <col min="6928" max="6928" width="9" style="407" customWidth="1"/>
    <col min="6929" max="6929" width="10.85546875" style="407" bestFit="1" customWidth="1"/>
    <col min="6930" max="6930" width="10.140625" style="407" bestFit="1" customWidth="1"/>
    <col min="6931" max="7168" width="9.140625" style="407"/>
    <col min="7169" max="7169" width="36" style="407" customWidth="1"/>
    <col min="7170" max="7171" width="18.140625" style="407" customWidth="1"/>
    <col min="7172" max="7172" width="15" style="407" customWidth="1"/>
    <col min="7173" max="7173" width="15.42578125" style="407" customWidth="1"/>
    <col min="7174" max="7175" width="18.7109375" style="407" customWidth="1"/>
    <col min="7176" max="7176" width="14.5703125" style="407" customWidth="1"/>
    <col min="7177" max="7178" width="14.85546875" style="407" customWidth="1"/>
    <col min="7179" max="7179" width="19.140625" style="407" customWidth="1"/>
    <col min="7180" max="7180" width="13.140625" style="407" customWidth="1"/>
    <col min="7181" max="7182" width="0" style="407" hidden="1" customWidth="1"/>
    <col min="7183" max="7183" width="12.7109375" style="407" customWidth="1"/>
    <col min="7184" max="7184" width="9" style="407" customWidth="1"/>
    <col min="7185" max="7185" width="10.85546875" style="407" bestFit="1" customWidth="1"/>
    <col min="7186" max="7186" width="10.140625" style="407" bestFit="1" customWidth="1"/>
    <col min="7187" max="7424" width="9.140625" style="407"/>
    <col min="7425" max="7425" width="36" style="407" customWidth="1"/>
    <col min="7426" max="7427" width="18.140625" style="407" customWidth="1"/>
    <col min="7428" max="7428" width="15" style="407" customWidth="1"/>
    <col min="7429" max="7429" width="15.42578125" style="407" customWidth="1"/>
    <col min="7430" max="7431" width="18.7109375" style="407" customWidth="1"/>
    <col min="7432" max="7432" width="14.5703125" style="407" customWidth="1"/>
    <col min="7433" max="7434" width="14.85546875" style="407" customWidth="1"/>
    <col min="7435" max="7435" width="19.140625" style="407" customWidth="1"/>
    <col min="7436" max="7436" width="13.140625" style="407" customWidth="1"/>
    <col min="7437" max="7438" width="0" style="407" hidden="1" customWidth="1"/>
    <col min="7439" max="7439" width="12.7109375" style="407" customWidth="1"/>
    <col min="7440" max="7440" width="9" style="407" customWidth="1"/>
    <col min="7441" max="7441" width="10.85546875" style="407" bestFit="1" customWidth="1"/>
    <col min="7442" max="7442" width="10.140625" style="407" bestFit="1" customWidth="1"/>
    <col min="7443" max="7680" width="9.140625" style="407"/>
    <col min="7681" max="7681" width="36" style="407" customWidth="1"/>
    <col min="7682" max="7683" width="18.140625" style="407" customWidth="1"/>
    <col min="7684" max="7684" width="15" style="407" customWidth="1"/>
    <col min="7685" max="7685" width="15.42578125" style="407" customWidth="1"/>
    <col min="7686" max="7687" width="18.7109375" style="407" customWidth="1"/>
    <col min="7688" max="7688" width="14.5703125" style="407" customWidth="1"/>
    <col min="7689" max="7690" width="14.85546875" style="407" customWidth="1"/>
    <col min="7691" max="7691" width="19.140625" style="407" customWidth="1"/>
    <col min="7692" max="7692" width="13.140625" style="407" customWidth="1"/>
    <col min="7693" max="7694" width="0" style="407" hidden="1" customWidth="1"/>
    <col min="7695" max="7695" width="12.7109375" style="407" customWidth="1"/>
    <col min="7696" max="7696" width="9" style="407" customWidth="1"/>
    <col min="7697" max="7697" width="10.85546875" style="407" bestFit="1" customWidth="1"/>
    <col min="7698" max="7698" width="10.140625" style="407" bestFit="1" customWidth="1"/>
    <col min="7699" max="7936" width="9.140625" style="407"/>
    <col min="7937" max="7937" width="36" style="407" customWidth="1"/>
    <col min="7938" max="7939" width="18.140625" style="407" customWidth="1"/>
    <col min="7940" max="7940" width="15" style="407" customWidth="1"/>
    <col min="7941" max="7941" width="15.42578125" style="407" customWidth="1"/>
    <col min="7942" max="7943" width="18.7109375" style="407" customWidth="1"/>
    <col min="7944" max="7944" width="14.5703125" style="407" customWidth="1"/>
    <col min="7945" max="7946" width="14.85546875" style="407" customWidth="1"/>
    <col min="7947" max="7947" width="19.140625" style="407" customWidth="1"/>
    <col min="7948" max="7948" width="13.140625" style="407" customWidth="1"/>
    <col min="7949" max="7950" width="0" style="407" hidden="1" customWidth="1"/>
    <col min="7951" max="7951" width="12.7109375" style="407" customWidth="1"/>
    <col min="7952" max="7952" width="9" style="407" customWidth="1"/>
    <col min="7953" max="7953" width="10.85546875" style="407" bestFit="1" customWidth="1"/>
    <col min="7954" max="7954" width="10.140625" style="407" bestFit="1" customWidth="1"/>
    <col min="7955" max="8192" width="9.140625" style="407"/>
    <col min="8193" max="8193" width="36" style="407" customWidth="1"/>
    <col min="8194" max="8195" width="18.140625" style="407" customWidth="1"/>
    <col min="8196" max="8196" width="15" style="407" customWidth="1"/>
    <col min="8197" max="8197" width="15.42578125" style="407" customWidth="1"/>
    <col min="8198" max="8199" width="18.7109375" style="407" customWidth="1"/>
    <col min="8200" max="8200" width="14.5703125" style="407" customWidth="1"/>
    <col min="8201" max="8202" width="14.85546875" style="407" customWidth="1"/>
    <col min="8203" max="8203" width="19.140625" style="407" customWidth="1"/>
    <col min="8204" max="8204" width="13.140625" style="407" customWidth="1"/>
    <col min="8205" max="8206" width="0" style="407" hidden="1" customWidth="1"/>
    <col min="8207" max="8207" width="12.7109375" style="407" customWidth="1"/>
    <col min="8208" max="8208" width="9" style="407" customWidth="1"/>
    <col min="8209" max="8209" width="10.85546875" style="407" bestFit="1" customWidth="1"/>
    <col min="8210" max="8210" width="10.140625" style="407" bestFit="1" customWidth="1"/>
    <col min="8211" max="8448" width="9.140625" style="407"/>
    <col min="8449" max="8449" width="36" style="407" customWidth="1"/>
    <col min="8450" max="8451" width="18.140625" style="407" customWidth="1"/>
    <col min="8452" max="8452" width="15" style="407" customWidth="1"/>
    <col min="8453" max="8453" width="15.42578125" style="407" customWidth="1"/>
    <col min="8454" max="8455" width="18.7109375" style="407" customWidth="1"/>
    <col min="8456" max="8456" width="14.5703125" style="407" customWidth="1"/>
    <col min="8457" max="8458" width="14.85546875" style="407" customWidth="1"/>
    <col min="8459" max="8459" width="19.140625" style="407" customWidth="1"/>
    <col min="8460" max="8460" width="13.140625" style="407" customWidth="1"/>
    <col min="8461" max="8462" width="0" style="407" hidden="1" customWidth="1"/>
    <col min="8463" max="8463" width="12.7109375" style="407" customWidth="1"/>
    <col min="8464" max="8464" width="9" style="407" customWidth="1"/>
    <col min="8465" max="8465" width="10.85546875" style="407" bestFit="1" customWidth="1"/>
    <col min="8466" max="8466" width="10.140625" style="407" bestFit="1" customWidth="1"/>
    <col min="8467" max="8704" width="9.140625" style="407"/>
    <col min="8705" max="8705" width="36" style="407" customWidth="1"/>
    <col min="8706" max="8707" width="18.140625" style="407" customWidth="1"/>
    <col min="8708" max="8708" width="15" style="407" customWidth="1"/>
    <col min="8709" max="8709" width="15.42578125" style="407" customWidth="1"/>
    <col min="8710" max="8711" width="18.7109375" style="407" customWidth="1"/>
    <col min="8712" max="8712" width="14.5703125" style="407" customWidth="1"/>
    <col min="8713" max="8714" width="14.85546875" style="407" customWidth="1"/>
    <col min="8715" max="8715" width="19.140625" style="407" customWidth="1"/>
    <col min="8716" max="8716" width="13.140625" style="407" customWidth="1"/>
    <col min="8717" max="8718" width="0" style="407" hidden="1" customWidth="1"/>
    <col min="8719" max="8719" width="12.7109375" style="407" customWidth="1"/>
    <col min="8720" max="8720" width="9" style="407" customWidth="1"/>
    <col min="8721" max="8721" width="10.85546875" style="407" bestFit="1" customWidth="1"/>
    <col min="8722" max="8722" width="10.140625" style="407" bestFit="1" customWidth="1"/>
    <col min="8723" max="8960" width="9.140625" style="407"/>
    <col min="8961" max="8961" width="36" style="407" customWidth="1"/>
    <col min="8962" max="8963" width="18.140625" style="407" customWidth="1"/>
    <col min="8964" max="8964" width="15" style="407" customWidth="1"/>
    <col min="8965" max="8965" width="15.42578125" style="407" customWidth="1"/>
    <col min="8966" max="8967" width="18.7109375" style="407" customWidth="1"/>
    <col min="8968" max="8968" width="14.5703125" style="407" customWidth="1"/>
    <col min="8969" max="8970" width="14.85546875" style="407" customWidth="1"/>
    <col min="8971" max="8971" width="19.140625" style="407" customWidth="1"/>
    <col min="8972" max="8972" width="13.140625" style="407" customWidth="1"/>
    <col min="8973" max="8974" width="0" style="407" hidden="1" customWidth="1"/>
    <col min="8975" max="8975" width="12.7109375" style="407" customWidth="1"/>
    <col min="8976" max="8976" width="9" style="407" customWidth="1"/>
    <col min="8977" max="8977" width="10.85546875" style="407" bestFit="1" customWidth="1"/>
    <col min="8978" max="8978" width="10.140625" style="407" bestFit="1" customWidth="1"/>
    <col min="8979" max="9216" width="9.140625" style="407"/>
    <col min="9217" max="9217" width="36" style="407" customWidth="1"/>
    <col min="9218" max="9219" width="18.140625" style="407" customWidth="1"/>
    <col min="9220" max="9220" width="15" style="407" customWidth="1"/>
    <col min="9221" max="9221" width="15.42578125" style="407" customWidth="1"/>
    <col min="9222" max="9223" width="18.7109375" style="407" customWidth="1"/>
    <col min="9224" max="9224" width="14.5703125" style="407" customWidth="1"/>
    <col min="9225" max="9226" width="14.85546875" style="407" customWidth="1"/>
    <col min="9227" max="9227" width="19.140625" style="407" customWidth="1"/>
    <col min="9228" max="9228" width="13.140625" style="407" customWidth="1"/>
    <col min="9229" max="9230" width="0" style="407" hidden="1" customWidth="1"/>
    <col min="9231" max="9231" width="12.7109375" style="407" customWidth="1"/>
    <col min="9232" max="9232" width="9" style="407" customWidth="1"/>
    <col min="9233" max="9233" width="10.85546875" style="407" bestFit="1" customWidth="1"/>
    <col min="9234" max="9234" width="10.140625" style="407" bestFit="1" customWidth="1"/>
    <col min="9235" max="9472" width="9.140625" style="407"/>
    <col min="9473" max="9473" width="36" style="407" customWidth="1"/>
    <col min="9474" max="9475" width="18.140625" style="407" customWidth="1"/>
    <col min="9476" max="9476" width="15" style="407" customWidth="1"/>
    <col min="9477" max="9477" width="15.42578125" style="407" customWidth="1"/>
    <col min="9478" max="9479" width="18.7109375" style="407" customWidth="1"/>
    <col min="9480" max="9480" width="14.5703125" style="407" customWidth="1"/>
    <col min="9481" max="9482" width="14.85546875" style="407" customWidth="1"/>
    <col min="9483" max="9483" width="19.140625" style="407" customWidth="1"/>
    <col min="9484" max="9484" width="13.140625" style="407" customWidth="1"/>
    <col min="9485" max="9486" width="0" style="407" hidden="1" customWidth="1"/>
    <col min="9487" max="9487" width="12.7109375" style="407" customWidth="1"/>
    <col min="9488" max="9488" width="9" style="407" customWidth="1"/>
    <col min="9489" max="9489" width="10.85546875" style="407" bestFit="1" customWidth="1"/>
    <col min="9490" max="9490" width="10.140625" style="407" bestFit="1" customWidth="1"/>
    <col min="9491" max="9728" width="9.140625" style="407"/>
    <col min="9729" max="9729" width="36" style="407" customWidth="1"/>
    <col min="9730" max="9731" width="18.140625" style="407" customWidth="1"/>
    <col min="9732" max="9732" width="15" style="407" customWidth="1"/>
    <col min="9733" max="9733" width="15.42578125" style="407" customWidth="1"/>
    <col min="9734" max="9735" width="18.7109375" style="407" customWidth="1"/>
    <col min="9736" max="9736" width="14.5703125" style="407" customWidth="1"/>
    <col min="9737" max="9738" width="14.85546875" style="407" customWidth="1"/>
    <col min="9739" max="9739" width="19.140625" style="407" customWidth="1"/>
    <col min="9740" max="9740" width="13.140625" style="407" customWidth="1"/>
    <col min="9741" max="9742" width="0" style="407" hidden="1" customWidth="1"/>
    <col min="9743" max="9743" width="12.7109375" style="407" customWidth="1"/>
    <col min="9744" max="9744" width="9" style="407" customWidth="1"/>
    <col min="9745" max="9745" width="10.85546875" style="407" bestFit="1" customWidth="1"/>
    <col min="9746" max="9746" width="10.140625" style="407" bestFit="1" customWidth="1"/>
    <col min="9747" max="9984" width="9.140625" style="407"/>
    <col min="9985" max="9985" width="36" style="407" customWidth="1"/>
    <col min="9986" max="9987" width="18.140625" style="407" customWidth="1"/>
    <col min="9988" max="9988" width="15" style="407" customWidth="1"/>
    <col min="9989" max="9989" width="15.42578125" style="407" customWidth="1"/>
    <col min="9990" max="9991" width="18.7109375" style="407" customWidth="1"/>
    <col min="9992" max="9992" width="14.5703125" style="407" customWidth="1"/>
    <col min="9993" max="9994" width="14.85546875" style="407" customWidth="1"/>
    <col min="9995" max="9995" width="19.140625" style="407" customWidth="1"/>
    <col min="9996" max="9996" width="13.140625" style="407" customWidth="1"/>
    <col min="9997" max="9998" width="0" style="407" hidden="1" customWidth="1"/>
    <col min="9999" max="9999" width="12.7109375" style="407" customWidth="1"/>
    <col min="10000" max="10000" width="9" style="407" customWidth="1"/>
    <col min="10001" max="10001" width="10.85546875" style="407" bestFit="1" customWidth="1"/>
    <col min="10002" max="10002" width="10.140625" style="407" bestFit="1" customWidth="1"/>
    <col min="10003" max="10240" width="9.140625" style="407"/>
    <col min="10241" max="10241" width="36" style="407" customWidth="1"/>
    <col min="10242" max="10243" width="18.140625" style="407" customWidth="1"/>
    <col min="10244" max="10244" width="15" style="407" customWidth="1"/>
    <col min="10245" max="10245" width="15.42578125" style="407" customWidth="1"/>
    <col min="10246" max="10247" width="18.7109375" style="407" customWidth="1"/>
    <col min="10248" max="10248" width="14.5703125" style="407" customWidth="1"/>
    <col min="10249" max="10250" width="14.85546875" style="407" customWidth="1"/>
    <col min="10251" max="10251" width="19.140625" style="407" customWidth="1"/>
    <col min="10252" max="10252" width="13.140625" style="407" customWidth="1"/>
    <col min="10253" max="10254" width="0" style="407" hidden="1" customWidth="1"/>
    <col min="10255" max="10255" width="12.7109375" style="407" customWidth="1"/>
    <col min="10256" max="10256" width="9" style="407" customWidth="1"/>
    <col min="10257" max="10257" width="10.85546875" style="407" bestFit="1" customWidth="1"/>
    <col min="10258" max="10258" width="10.140625" style="407" bestFit="1" customWidth="1"/>
    <col min="10259" max="10496" width="9.140625" style="407"/>
    <col min="10497" max="10497" width="36" style="407" customWidth="1"/>
    <col min="10498" max="10499" width="18.140625" style="407" customWidth="1"/>
    <col min="10500" max="10500" width="15" style="407" customWidth="1"/>
    <col min="10501" max="10501" width="15.42578125" style="407" customWidth="1"/>
    <col min="10502" max="10503" width="18.7109375" style="407" customWidth="1"/>
    <col min="10504" max="10504" width="14.5703125" style="407" customWidth="1"/>
    <col min="10505" max="10506" width="14.85546875" style="407" customWidth="1"/>
    <col min="10507" max="10507" width="19.140625" style="407" customWidth="1"/>
    <col min="10508" max="10508" width="13.140625" style="407" customWidth="1"/>
    <col min="10509" max="10510" width="0" style="407" hidden="1" customWidth="1"/>
    <col min="10511" max="10511" width="12.7109375" style="407" customWidth="1"/>
    <col min="10512" max="10512" width="9" style="407" customWidth="1"/>
    <col min="10513" max="10513" width="10.85546875" style="407" bestFit="1" customWidth="1"/>
    <col min="10514" max="10514" width="10.140625" style="407" bestFit="1" customWidth="1"/>
    <col min="10515" max="10752" width="9.140625" style="407"/>
    <col min="10753" max="10753" width="36" style="407" customWidth="1"/>
    <col min="10754" max="10755" width="18.140625" style="407" customWidth="1"/>
    <col min="10756" max="10756" width="15" style="407" customWidth="1"/>
    <col min="10757" max="10757" width="15.42578125" style="407" customWidth="1"/>
    <col min="10758" max="10759" width="18.7109375" style="407" customWidth="1"/>
    <col min="10760" max="10760" width="14.5703125" style="407" customWidth="1"/>
    <col min="10761" max="10762" width="14.85546875" style="407" customWidth="1"/>
    <col min="10763" max="10763" width="19.140625" style="407" customWidth="1"/>
    <col min="10764" max="10764" width="13.140625" style="407" customWidth="1"/>
    <col min="10765" max="10766" width="0" style="407" hidden="1" customWidth="1"/>
    <col min="10767" max="10767" width="12.7109375" style="407" customWidth="1"/>
    <col min="10768" max="10768" width="9" style="407" customWidth="1"/>
    <col min="10769" max="10769" width="10.85546875" style="407" bestFit="1" customWidth="1"/>
    <col min="10770" max="10770" width="10.140625" style="407" bestFit="1" customWidth="1"/>
    <col min="10771" max="11008" width="9.140625" style="407"/>
    <col min="11009" max="11009" width="36" style="407" customWidth="1"/>
    <col min="11010" max="11011" width="18.140625" style="407" customWidth="1"/>
    <col min="11012" max="11012" width="15" style="407" customWidth="1"/>
    <col min="11013" max="11013" width="15.42578125" style="407" customWidth="1"/>
    <col min="11014" max="11015" width="18.7109375" style="407" customWidth="1"/>
    <col min="11016" max="11016" width="14.5703125" style="407" customWidth="1"/>
    <col min="11017" max="11018" width="14.85546875" style="407" customWidth="1"/>
    <col min="11019" max="11019" width="19.140625" style="407" customWidth="1"/>
    <col min="11020" max="11020" width="13.140625" style="407" customWidth="1"/>
    <col min="11021" max="11022" width="0" style="407" hidden="1" customWidth="1"/>
    <col min="11023" max="11023" width="12.7109375" style="407" customWidth="1"/>
    <col min="11024" max="11024" width="9" style="407" customWidth="1"/>
    <col min="11025" max="11025" width="10.85546875" style="407" bestFit="1" customWidth="1"/>
    <col min="11026" max="11026" width="10.140625" style="407" bestFit="1" customWidth="1"/>
    <col min="11027" max="11264" width="9.140625" style="407"/>
    <col min="11265" max="11265" width="36" style="407" customWidth="1"/>
    <col min="11266" max="11267" width="18.140625" style="407" customWidth="1"/>
    <col min="11268" max="11268" width="15" style="407" customWidth="1"/>
    <col min="11269" max="11269" width="15.42578125" style="407" customWidth="1"/>
    <col min="11270" max="11271" width="18.7109375" style="407" customWidth="1"/>
    <col min="11272" max="11272" width="14.5703125" style="407" customWidth="1"/>
    <col min="11273" max="11274" width="14.85546875" style="407" customWidth="1"/>
    <col min="11275" max="11275" width="19.140625" style="407" customWidth="1"/>
    <col min="11276" max="11276" width="13.140625" style="407" customWidth="1"/>
    <col min="11277" max="11278" width="0" style="407" hidden="1" customWidth="1"/>
    <col min="11279" max="11279" width="12.7109375" style="407" customWidth="1"/>
    <col min="11280" max="11280" width="9" style="407" customWidth="1"/>
    <col min="11281" max="11281" width="10.85546875" style="407" bestFit="1" customWidth="1"/>
    <col min="11282" max="11282" width="10.140625" style="407" bestFit="1" customWidth="1"/>
    <col min="11283" max="11520" width="9.140625" style="407"/>
    <col min="11521" max="11521" width="36" style="407" customWidth="1"/>
    <col min="11522" max="11523" width="18.140625" style="407" customWidth="1"/>
    <col min="11524" max="11524" width="15" style="407" customWidth="1"/>
    <col min="11525" max="11525" width="15.42578125" style="407" customWidth="1"/>
    <col min="11526" max="11527" width="18.7109375" style="407" customWidth="1"/>
    <col min="11528" max="11528" width="14.5703125" style="407" customWidth="1"/>
    <col min="11529" max="11530" width="14.85546875" style="407" customWidth="1"/>
    <col min="11531" max="11531" width="19.140625" style="407" customWidth="1"/>
    <col min="11532" max="11532" width="13.140625" style="407" customWidth="1"/>
    <col min="11533" max="11534" width="0" style="407" hidden="1" customWidth="1"/>
    <col min="11535" max="11535" width="12.7109375" style="407" customWidth="1"/>
    <col min="11536" max="11536" width="9" style="407" customWidth="1"/>
    <col min="11537" max="11537" width="10.85546875" style="407" bestFit="1" customWidth="1"/>
    <col min="11538" max="11538" width="10.140625" style="407" bestFit="1" customWidth="1"/>
    <col min="11539" max="11776" width="9.140625" style="407"/>
    <col min="11777" max="11777" width="36" style="407" customWidth="1"/>
    <col min="11778" max="11779" width="18.140625" style="407" customWidth="1"/>
    <col min="11780" max="11780" width="15" style="407" customWidth="1"/>
    <col min="11781" max="11781" width="15.42578125" style="407" customWidth="1"/>
    <col min="11782" max="11783" width="18.7109375" style="407" customWidth="1"/>
    <col min="11784" max="11784" width="14.5703125" style="407" customWidth="1"/>
    <col min="11785" max="11786" width="14.85546875" style="407" customWidth="1"/>
    <col min="11787" max="11787" width="19.140625" style="407" customWidth="1"/>
    <col min="11788" max="11788" width="13.140625" style="407" customWidth="1"/>
    <col min="11789" max="11790" width="0" style="407" hidden="1" customWidth="1"/>
    <col min="11791" max="11791" width="12.7109375" style="407" customWidth="1"/>
    <col min="11792" max="11792" width="9" style="407" customWidth="1"/>
    <col min="11793" max="11793" width="10.85546875" style="407" bestFit="1" customWidth="1"/>
    <col min="11794" max="11794" width="10.140625" style="407" bestFit="1" customWidth="1"/>
    <col min="11795" max="12032" width="9.140625" style="407"/>
    <col min="12033" max="12033" width="36" style="407" customWidth="1"/>
    <col min="12034" max="12035" width="18.140625" style="407" customWidth="1"/>
    <col min="12036" max="12036" width="15" style="407" customWidth="1"/>
    <col min="12037" max="12037" width="15.42578125" style="407" customWidth="1"/>
    <col min="12038" max="12039" width="18.7109375" style="407" customWidth="1"/>
    <col min="12040" max="12040" width="14.5703125" style="407" customWidth="1"/>
    <col min="12041" max="12042" width="14.85546875" style="407" customWidth="1"/>
    <col min="12043" max="12043" width="19.140625" style="407" customWidth="1"/>
    <col min="12044" max="12044" width="13.140625" style="407" customWidth="1"/>
    <col min="12045" max="12046" width="0" style="407" hidden="1" customWidth="1"/>
    <col min="12047" max="12047" width="12.7109375" style="407" customWidth="1"/>
    <col min="12048" max="12048" width="9" style="407" customWidth="1"/>
    <col min="12049" max="12049" width="10.85546875" style="407" bestFit="1" customWidth="1"/>
    <col min="12050" max="12050" width="10.140625" style="407" bestFit="1" customWidth="1"/>
    <col min="12051" max="12288" width="9.140625" style="407"/>
    <col min="12289" max="12289" width="36" style="407" customWidth="1"/>
    <col min="12290" max="12291" width="18.140625" style="407" customWidth="1"/>
    <col min="12292" max="12292" width="15" style="407" customWidth="1"/>
    <col min="12293" max="12293" width="15.42578125" style="407" customWidth="1"/>
    <col min="12294" max="12295" width="18.7109375" style="407" customWidth="1"/>
    <col min="12296" max="12296" width="14.5703125" style="407" customWidth="1"/>
    <col min="12297" max="12298" width="14.85546875" style="407" customWidth="1"/>
    <col min="12299" max="12299" width="19.140625" style="407" customWidth="1"/>
    <col min="12300" max="12300" width="13.140625" style="407" customWidth="1"/>
    <col min="12301" max="12302" width="0" style="407" hidden="1" customWidth="1"/>
    <col min="12303" max="12303" width="12.7109375" style="407" customWidth="1"/>
    <col min="12304" max="12304" width="9" style="407" customWidth="1"/>
    <col min="12305" max="12305" width="10.85546875" style="407" bestFit="1" customWidth="1"/>
    <col min="12306" max="12306" width="10.140625" style="407" bestFit="1" customWidth="1"/>
    <col min="12307" max="12544" width="9.140625" style="407"/>
    <col min="12545" max="12545" width="36" style="407" customWidth="1"/>
    <col min="12546" max="12547" width="18.140625" style="407" customWidth="1"/>
    <col min="12548" max="12548" width="15" style="407" customWidth="1"/>
    <col min="12549" max="12549" width="15.42578125" style="407" customWidth="1"/>
    <col min="12550" max="12551" width="18.7109375" style="407" customWidth="1"/>
    <col min="12552" max="12552" width="14.5703125" style="407" customWidth="1"/>
    <col min="12553" max="12554" width="14.85546875" style="407" customWidth="1"/>
    <col min="12555" max="12555" width="19.140625" style="407" customWidth="1"/>
    <col min="12556" max="12556" width="13.140625" style="407" customWidth="1"/>
    <col min="12557" max="12558" width="0" style="407" hidden="1" customWidth="1"/>
    <col min="12559" max="12559" width="12.7109375" style="407" customWidth="1"/>
    <col min="12560" max="12560" width="9" style="407" customWidth="1"/>
    <col min="12561" max="12561" width="10.85546875" style="407" bestFit="1" customWidth="1"/>
    <col min="12562" max="12562" width="10.140625" style="407" bestFit="1" customWidth="1"/>
    <col min="12563" max="12800" width="9.140625" style="407"/>
    <col min="12801" max="12801" width="36" style="407" customWidth="1"/>
    <col min="12802" max="12803" width="18.140625" style="407" customWidth="1"/>
    <col min="12804" max="12804" width="15" style="407" customWidth="1"/>
    <col min="12805" max="12805" width="15.42578125" style="407" customWidth="1"/>
    <col min="12806" max="12807" width="18.7109375" style="407" customWidth="1"/>
    <col min="12808" max="12808" width="14.5703125" style="407" customWidth="1"/>
    <col min="12809" max="12810" width="14.85546875" style="407" customWidth="1"/>
    <col min="12811" max="12811" width="19.140625" style="407" customWidth="1"/>
    <col min="12812" max="12812" width="13.140625" style="407" customWidth="1"/>
    <col min="12813" max="12814" width="0" style="407" hidden="1" customWidth="1"/>
    <col min="12815" max="12815" width="12.7109375" style="407" customWidth="1"/>
    <col min="12816" max="12816" width="9" style="407" customWidth="1"/>
    <col min="12817" max="12817" width="10.85546875" style="407" bestFit="1" customWidth="1"/>
    <col min="12818" max="12818" width="10.140625" style="407" bestFit="1" customWidth="1"/>
    <col min="12819" max="13056" width="9.140625" style="407"/>
    <col min="13057" max="13057" width="36" style="407" customWidth="1"/>
    <col min="13058" max="13059" width="18.140625" style="407" customWidth="1"/>
    <col min="13060" max="13060" width="15" style="407" customWidth="1"/>
    <col min="13061" max="13061" width="15.42578125" style="407" customWidth="1"/>
    <col min="13062" max="13063" width="18.7109375" style="407" customWidth="1"/>
    <col min="13064" max="13064" width="14.5703125" style="407" customWidth="1"/>
    <col min="13065" max="13066" width="14.85546875" style="407" customWidth="1"/>
    <col min="13067" max="13067" width="19.140625" style="407" customWidth="1"/>
    <col min="13068" max="13068" width="13.140625" style="407" customWidth="1"/>
    <col min="13069" max="13070" width="0" style="407" hidden="1" customWidth="1"/>
    <col min="13071" max="13071" width="12.7109375" style="407" customWidth="1"/>
    <col min="13072" max="13072" width="9" style="407" customWidth="1"/>
    <col min="13073" max="13073" width="10.85546875" style="407" bestFit="1" customWidth="1"/>
    <col min="13074" max="13074" width="10.140625" style="407" bestFit="1" customWidth="1"/>
    <col min="13075" max="13312" width="9.140625" style="407"/>
    <col min="13313" max="13313" width="36" style="407" customWidth="1"/>
    <col min="13314" max="13315" width="18.140625" style="407" customWidth="1"/>
    <col min="13316" max="13316" width="15" style="407" customWidth="1"/>
    <col min="13317" max="13317" width="15.42578125" style="407" customWidth="1"/>
    <col min="13318" max="13319" width="18.7109375" style="407" customWidth="1"/>
    <col min="13320" max="13320" width="14.5703125" style="407" customWidth="1"/>
    <col min="13321" max="13322" width="14.85546875" style="407" customWidth="1"/>
    <col min="13323" max="13323" width="19.140625" style="407" customWidth="1"/>
    <col min="13324" max="13324" width="13.140625" style="407" customWidth="1"/>
    <col min="13325" max="13326" width="0" style="407" hidden="1" customWidth="1"/>
    <col min="13327" max="13327" width="12.7109375" style="407" customWidth="1"/>
    <col min="13328" max="13328" width="9" style="407" customWidth="1"/>
    <col min="13329" max="13329" width="10.85546875" style="407" bestFit="1" customWidth="1"/>
    <col min="13330" max="13330" width="10.140625" style="407" bestFit="1" customWidth="1"/>
    <col min="13331" max="13568" width="9.140625" style="407"/>
    <col min="13569" max="13569" width="36" style="407" customWidth="1"/>
    <col min="13570" max="13571" width="18.140625" style="407" customWidth="1"/>
    <col min="13572" max="13572" width="15" style="407" customWidth="1"/>
    <col min="13573" max="13573" width="15.42578125" style="407" customWidth="1"/>
    <col min="13574" max="13575" width="18.7109375" style="407" customWidth="1"/>
    <col min="13576" max="13576" width="14.5703125" style="407" customWidth="1"/>
    <col min="13577" max="13578" width="14.85546875" style="407" customWidth="1"/>
    <col min="13579" max="13579" width="19.140625" style="407" customWidth="1"/>
    <col min="13580" max="13580" width="13.140625" style="407" customWidth="1"/>
    <col min="13581" max="13582" width="0" style="407" hidden="1" customWidth="1"/>
    <col min="13583" max="13583" width="12.7109375" style="407" customWidth="1"/>
    <col min="13584" max="13584" width="9" style="407" customWidth="1"/>
    <col min="13585" max="13585" width="10.85546875" style="407" bestFit="1" customWidth="1"/>
    <col min="13586" max="13586" width="10.140625" style="407" bestFit="1" customWidth="1"/>
    <col min="13587" max="13824" width="9.140625" style="407"/>
    <col min="13825" max="13825" width="36" style="407" customWidth="1"/>
    <col min="13826" max="13827" width="18.140625" style="407" customWidth="1"/>
    <col min="13828" max="13828" width="15" style="407" customWidth="1"/>
    <col min="13829" max="13829" width="15.42578125" style="407" customWidth="1"/>
    <col min="13830" max="13831" width="18.7109375" style="407" customWidth="1"/>
    <col min="13832" max="13832" width="14.5703125" style="407" customWidth="1"/>
    <col min="13833" max="13834" width="14.85546875" style="407" customWidth="1"/>
    <col min="13835" max="13835" width="19.140625" style="407" customWidth="1"/>
    <col min="13836" max="13836" width="13.140625" style="407" customWidth="1"/>
    <col min="13837" max="13838" width="0" style="407" hidden="1" customWidth="1"/>
    <col min="13839" max="13839" width="12.7109375" style="407" customWidth="1"/>
    <col min="13840" max="13840" width="9" style="407" customWidth="1"/>
    <col min="13841" max="13841" width="10.85546875" style="407" bestFit="1" customWidth="1"/>
    <col min="13842" max="13842" width="10.140625" style="407" bestFit="1" customWidth="1"/>
    <col min="13843" max="14080" width="9.140625" style="407"/>
    <col min="14081" max="14081" width="36" style="407" customWidth="1"/>
    <col min="14082" max="14083" width="18.140625" style="407" customWidth="1"/>
    <col min="14084" max="14084" width="15" style="407" customWidth="1"/>
    <col min="14085" max="14085" width="15.42578125" style="407" customWidth="1"/>
    <col min="14086" max="14087" width="18.7109375" style="407" customWidth="1"/>
    <col min="14088" max="14088" width="14.5703125" style="407" customWidth="1"/>
    <col min="14089" max="14090" width="14.85546875" style="407" customWidth="1"/>
    <col min="14091" max="14091" width="19.140625" style="407" customWidth="1"/>
    <col min="14092" max="14092" width="13.140625" style="407" customWidth="1"/>
    <col min="14093" max="14094" width="0" style="407" hidden="1" customWidth="1"/>
    <col min="14095" max="14095" width="12.7109375" style="407" customWidth="1"/>
    <col min="14096" max="14096" width="9" style="407" customWidth="1"/>
    <col min="14097" max="14097" width="10.85546875" style="407" bestFit="1" customWidth="1"/>
    <col min="14098" max="14098" width="10.140625" style="407" bestFit="1" customWidth="1"/>
    <col min="14099" max="14336" width="9.140625" style="407"/>
    <col min="14337" max="14337" width="36" style="407" customWidth="1"/>
    <col min="14338" max="14339" width="18.140625" style="407" customWidth="1"/>
    <col min="14340" max="14340" width="15" style="407" customWidth="1"/>
    <col min="14341" max="14341" width="15.42578125" style="407" customWidth="1"/>
    <col min="14342" max="14343" width="18.7109375" style="407" customWidth="1"/>
    <col min="14344" max="14344" width="14.5703125" style="407" customWidth="1"/>
    <col min="14345" max="14346" width="14.85546875" style="407" customWidth="1"/>
    <col min="14347" max="14347" width="19.140625" style="407" customWidth="1"/>
    <col min="14348" max="14348" width="13.140625" style="407" customWidth="1"/>
    <col min="14349" max="14350" width="0" style="407" hidden="1" customWidth="1"/>
    <col min="14351" max="14351" width="12.7109375" style="407" customWidth="1"/>
    <col min="14352" max="14352" width="9" style="407" customWidth="1"/>
    <col min="14353" max="14353" width="10.85546875" style="407" bestFit="1" customWidth="1"/>
    <col min="14354" max="14354" width="10.140625" style="407" bestFit="1" customWidth="1"/>
    <col min="14355" max="14592" width="9.140625" style="407"/>
    <col min="14593" max="14593" width="36" style="407" customWidth="1"/>
    <col min="14594" max="14595" width="18.140625" style="407" customWidth="1"/>
    <col min="14596" max="14596" width="15" style="407" customWidth="1"/>
    <col min="14597" max="14597" width="15.42578125" style="407" customWidth="1"/>
    <col min="14598" max="14599" width="18.7109375" style="407" customWidth="1"/>
    <col min="14600" max="14600" width="14.5703125" style="407" customWidth="1"/>
    <col min="14601" max="14602" width="14.85546875" style="407" customWidth="1"/>
    <col min="14603" max="14603" width="19.140625" style="407" customWidth="1"/>
    <col min="14604" max="14604" width="13.140625" style="407" customWidth="1"/>
    <col min="14605" max="14606" width="0" style="407" hidden="1" customWidth="1"/>
    <col min="14607" max="14607" width="12.7109375" style="407" customWidth="1"/>
    <col min="14608" max="14608" width="9" style="407" customWidth="1"/>
    <col min="14609" max="14609" width="10.85546875" style="407" bestFit="1" customWidth="1"/>
    <col min="14610" max="14610" width="10.140625" style="407" bestFit="1" customWidth="1"/>
    <col min="14611" max="14848" width="9.140625" style="407"/>
    <col min="14849" max="14849" width="36" style="407" customWidth="1"/>
    <col min="14850" max="14851" width="18.140625" style="407" customWidth="1"/>
    <col min="14852" max="14852" width="15" style="407" customWidth="1"/>
    <col min="14853" max="14853" width="15.42578125" style="407" customWidth="1"/>
    <col min="14854" max="14855" width="18.7109375" style="407" customWidth="1"/>
    <col min="14856" max="14856" width="14.5703125" style="407" customWidth="1"/>
    <col min="14857" max="14858" width="14.85546875" style="407" customWidth="1"/>
    <col min="14859" max="14859" width="19.140625" style="407" customWidth="1"/>
    <col min="14860" max="14860" width="13.140625" style="407" customWidth="1"/>
    <col min="14861" max="14862" width="0" style="407" hidden="1" customWidth="1"/>
    <col min="14863" max="14863" width="12.7109375" style="407" customWidth="1"/>
    <col min="14864" max="14864" width="9" style="407" customWidth="1"/>
    <col min="14865" max="14865" width="10.85546875" style="407" bestFit="1" customWidth="1"/>
    <col min="14866" max="14866" width="10.140625" style="407" bestFit="1" customWidth="1"/>
    <col min="14867" max="15104" width="9.140625" style="407"/>
    <col min="15105" max="15105" width="36" style="407" customWidth="1"/>
    <col min="15106" max="15107" width="18.140625" style="407" customWidth="1"/>
    <col min="15108" max="15108" width="15" style="407" customWidth="1"/>
    <col min="15109" max="15109" width="15.42578125" style="407" customWidth="1"/>
    <col min="15110" max="15111" width="18.7109375" style="407" customWidth="1"/>
    <col min="15112" max="15112" width="14.5703125" style="407" customWidth="1"/>
    <col min="15113" max="15114" width="14.85546875" style="407" customWidth="1"/>
    <col min="15115" max="15115" width="19.140625" style="407" customWidth="1"/>
    <col min="15116" max="15116" width="13.140625" style="407" customWidth="1"/>
    <col min="15117" max="15118" width="0" style="407" hidden="1" customWidth="1"/>
    <col min="15119" max="15119" width="12.7109375" style="407" customWidth="1"/>
    <col min="15120" max="15120" width="9" style="407" customWidth="1"/>
    <col min="15121" max="15121" width="10.85546875" style="407" bestFit="1" customWidth="1"/>
    <col min="15122" max="15122" width="10.140625" style="407" bestFit="1" customWidth="1"/>
    <col min="15123" max="15360" width="9.140625" style="407"/>
    <col min="15361" max="15361" width="36" style="407" customWidth="1"/>
    <col min="15362" max="15363" width="18.140625" style="407" customWidth="1"/>
    <col min="15364" max="15364" width="15" style="407" customWidth="1"/>
    <col min="15365" max="15365" width="15.42578125" style="407" customWidth="1"/>
    <col min="15366" max="15367" width="18.7109375" style="407" customWidth="1"/>
    <col min="15368" max="15368" width="14.5703125" style="407" customWidth="1"/>
    <col min="15369" max="15370" width="14.85546875" style="407" customWidth="1"/>
    <col min="15371" max="15371" width="19.140625" style="407" customWidth="1"/>
    <col min="15372" max="15372" width="13.140625" style="407" customWidth="1"/>
    <col min="15373" max="15374" width="0" style="407" hidden="1" customWidth="1"/>
    <col min="15375" max="15375" width="12.7109375" style="407" customWidth="1"/>
    <col min="15376" max="15376" width="9" style="407" customWidth="1"/>
    <col min="15377" max="15377" width="10.85546875" style="407" bestFit="1" customWidth="1"/>
    <col min="15378" max="15378" width="10.140625" style="407" bestFit="1" customWidth="1"/>
    <col min="15379" max="15616" width="9.140625" style="407"/>
    <col min="15617" max="15617" width="36" style="407" customWidth="1"/>
    <col min="15618" max="15619" width="18.140625" style="407" customWidth="1"/>
    <col min="15620" max="15620" width="15" style="407" customWidth="1"/>
    <col min="15621" max="15621" width="15.42578125" style="407" customWidth="1"/>
    <col min="15622" max="15623" width="18.7109375" style="407" customWidth="1"/>
    <col min="15624" max="15624" width="14.5703125" style="407" customWidth="1"/>
    <col min="15625" max="15626" width="14.85546875" style="407" customWidth="1"/>
    <col min="15627" max="15627" width="19.140625" style="407" customWidth="1"/>
    <col min="15628" max="15628" width="13.140625" style="407" customWidth="1"/>
    <col min="15629" max="15630" width="0" style="407" hidden="1" customWidth="1"/>
    <col min="15631" max="15631" width="12.7109375" style="407" customWidth="1"/>
    <col min="15632" max="15632" width="9" style="407" customWidth="1"/>
    <col min="15633" max="15633" width="10.85546875" style="407" bestFit="1" customWidth="1"/>
    <col min="15634" max="15634" width="10.140625" style="407" bestFit="1" customWidth="1"/>
    <col min="15635" max="15872" width="9.140625" style="407"/>
    <col min="15873" max="15873" width="36" style="407" customWidth="1"/>
    <col min="15874" max="15875" width="18.140625" style="407" customWidth="1"/>
    <col min="15876" max="15876" width="15" style="407" customWidth="1"/>
    <col min="15877" max="15877" width="15.42578125" style="407" customWidth="1"/>
    <col min="15878" max="15879" width="18.7109375" style="407" customWidth="1"/>
    <col min="15880" max="15880" width="14.5703125" style="407" customWidth="1"/>
    <col min="15881" max="15882" width="14.85546875" style="407" customWidth="1"/>
    <col min="15883" max="15883" width="19.140625" style="407" customWidth="1"/>
    <col min="15884" max="15884" width="13.140625" style="407" customWidth="1"/>
    <col min="15885" max="15886" width="0" style="407" hidden="1" customWidth="1"/>
    <col min="15887" max="15887" width="12.7109375" style="407" customWidth="1"/>
    <col min="15888" max="15888" width="9" style="407" customWidth="1"/>
    <col min="15889" max="15889" width="10.85546875" style="407" bestFit="1" customWidth="1"/>
    <col min="15890" max="15890" width="10.140625" style="407" bestFit="1" customWidth="1"/>
    <col min="15891" max="16128" width="9.140625" style="407"/>
    <col min="16129" max="16129" width="36" style="407" customWidth="1"/>
    <col min="16130" max="16131" width="18.140625" style="407" customWidth="1"/>
    <col min="16132" max="16132" width="15" style="407" customWidth="1"/>
    <col min="16133" max="16133" width="15.42578125" style="407" customWidth="1"/>
    <col min="16134" max="16135" width="18.7109375" style="407" customWidth="1"/>
    <col min="16136" max="16136" width="14.5703125" style="407" customWidth="1"/>
    <col min="16137" max="16138" width="14.85546875" style="407" customWidth="1"/>
    <col min="16139" max="16139" width="19.140625" style="407" customWidth="1"/>
    <col min="16140" max="16140" width="13.140625" style="407" customWidth="1"/>
    <col min="16141" max="16142" width="0" style="407" hidden="1" customWidth="1"/>
    <col min="16143" max="16143" width="12.7109375" style="407" customWidth="1"/>
    <col min="16144" max="16144" width="9" style="407" customWidth="1"/>
    <col min="16145" max="16145" width="10.85546875" style="407" bestFit="1" customWidth="1"/>
    <col min="16146" max="16146" width="10.140625" style="407" bestFit="1" customWidth="1"/>
    <col min="16147" max="16384" width="9.140625" style="407"/>
  </cols>
  <sheetData>
    <row r="1" spans="1:15">
      <c r="A1" s="647" t="s">
        <v>179</v>
      </c>
      <c r="B1" s="648"/>
      <c r="C1" s="404"/>
    </row>
    <row r="2" spans="1:15">
      <c r="A2" s="408"/>
    </row>
    <row r="3" spans="1:15">
      <c r="A3" s="408"/>
      <c r="I3" s="649"/>
      <c r="J3" s="650"/>
      <c r="K3" s="650"/>
      <c r="L3" s="650"/>
      <c r="M3" s="410"/>
    </row>
    <row r="4" spans="1:15">
      <c r="A4" s="411"/>
      <c r="B4" s="412"/>
      <c r="C4" s="412"/>
      <c r="D4" s="413"/>
      <c r="E4" s="651" t="s">
        <v>180</v>
      </c>
      <c r="F4" s="651"/>
      <c r="G4" s="651"/>
      <c r="H4" s="651"/>
      <c r="I4" s="652" t="s">
        <v>181</v>
      </c>
      <c r="J4" s="653"/>
      <c r="K4" s="653"/>
      <c r="L4" s="654"/>
      <c r="M4" s="414" t="s">
        <v>182</v>
      </c>
      <c r="N4" s="415" t="s">
        <v>183</v>
      </c>
    </row>
    <row r="5" spans="1:15">
      <c r="A5" s="416"/>
      <c r="B5" s="417" t="s">
        <v>184</v>
      </c>
      <c r="C5" s="417"/>
      <c r="D5" s="418" t="s">
        <v>185</v>
      </c>
      <c r="E5" s="418" t="s">
        <v>186</v>
      </c>
      <c r="F5" s="418" t="s">
        <v>187</v>
      </c>
      <c r="G5" s="418" t="s">
        <v>188</v>
      </c>
      <c r="H5" s="418" t="s">
        <v>189</v>
      </c>
      <c r="I5" s="419" t="s">
        <v>25</v>
      </c>
      <c r="J5" s="419" t="s">
        <v>26</v>
      </c>
      <c r="K5" s="419" t="s">
        <v>188</v>
      </c>
      <c r="L5" s="420" t="s">
        <v>189</v>
      </c>
      <c r="M5" s="421" t="s">
        <v>189</v>
      </c>
      <c r="N5" s="422"/>
      <c r="O5" s="423"/>
    </row>
    <row r="6" spans="1:15">
      <c r="A6" s="416" t="s">
        <v>190</v>
      </c>
      <c r="B6" s="417"/>
      <c r="C6" s="417"/>
      <c r="D6" s="418">
        <v>52000000</v>
      </c>
      <c r="E6" s="418">
        <v>60000000</v>
      </c>
      <c r="F6" s="418">
        <v>61700000</v>
      </c>
      <c r="G6" s="418">
        <v>62800000</v>
      </c>
      <c r="H6" s="418">
        <f>SUM(E6:G6)</f>
        <v>184500000</v>
      </c>
      <c r="I6" s="419"/>
      <c r="J6" s="419"/>
      <c r="K6" s="419"/>
      <c r="L6" s="420"/>
      <c r="M6" s="424"/>
      <c r="N6" s="422"/>
      <c r="O6" s="425"/>
    </row>
    <row r="7" spans="1:15">
      <c r="A7" s="426"/>
      <c r="B7" s="427"/>
      <c r="C7" s="427"/>
      <c r="D7" s="418" t="s">
        <v>191</v>
      </c>
      <c r="E7" s="428" t="s">
        <v>192</v>
      </c>
      <c r="F7" s="428" t="s">
        <v>193</v>
      </c>
      <c r="G7" s="428" t="s">
        <v>194</v>
      </c>
      <c r="H7" s="428"/>
      <c r="I7" s="420"/>
      <c r="J7" s="420"/>
      <c r="K7" s="420"/>
      <c r="L7" s="420"/>
      <c r="M7" s="429"/>
      <c r="N7" s="430"/>
    </row>
    <row r="8" spans="1:15" ht="18" customHeight="1">
      <c r="A8" s="431" t="s">
        <v>195</v>
      </c>
      <c r="B8" s="432"/>
      <c r="C8" s="432"/>
      <c r="D8" s="433">
        <v>21219</v>
      </c>
      <c r="E8" s="434">
        <v>23453</v>
      </c>
      <c r="F8" s="435">
        <v>24569</v>
      </c>
      <c r="G8" s="435">
        <v>22336</v>
      </c>
      <c r="H8" s="436">
        <f>SUM(E8:G8)</f>
        <v>70358</v>
      </c>
      <c r="I8" s="437">
        <f>E8*103%</f>
        <v>24156.59</v>
      </c>
      <c r="J8" s="437">
        <f>I8*107%</f>
        <v>25847.551300000003</v>
      </c>
      <c r="K8" s="437">
        <f>J8*101%</f>
        <v>26106.026813000004</v>
      </c>
      <c r="L8" s="437">
        <f>SUM(I8:K8)</f>
        <v>76110.168113000007</v>
      </c>
      <c r="M8" s="422"/>
      <c r="N8" s="438"/>
      <c r="O8" s="634"/>
    </row>
    <row r="9" spans="1:15" hidden="1">
      <c r="A9" s="439" t="s">
        <v>196</v>
      </c>
      <c r="B9" s="432">
        <v>1.0169999999999999</v>
      </c>
      <c r="C9" s="432"/>
      <c r="D9" s="433">
        <v>21510</v>
      </c>
      <c r="E9" s="434">
        <f>E8*B9</f>
        <v>23851.700999999997</v>
      </c>
      <c r="F9" s="435"/>
      <c r="G9" s="435"/>
      <c r="H9" s="436">
        <f>SUM(D9:F9)</f>
        <v>45361.701000000001</v>
      </c>
      <c r="I9" s="437">
        <f>(D9*15%)+D9</f>
        <v>24736.5</v>
      </c>
      <c r="J9" s="437">
        <f>(I9*5%)+I9</f>
        <v>25973.325000000001</v>
      </c>
      <c r="K9" s="437"/>
      <c r="L9" s="437">
        <f>SUM(I9:J9)</f>
        <v>50709.824999999997</v>
      </c>
      <c r="M9" s="422"/>
      <c r="N9" s="438"/>
    </row>
    <row r="10" spans="1:15">
      <c r="A10" s="439" t="s">
        <v>197</v>
      </c>
      <c r="B10" s="440">
        <v>0.28299999999999997</v>
      </c>
      <c r="C10" s="440"/>
      <c r="D10" s="433">
        <f>B10*D8</f>
        <v>6004.9769999999999</v>
      </c>
      <c r="E10" s="434">
        <f>B10*E8</f>
        <v>6637.1989999999996</v>
      </c>
      <c r="F10" s="434">
        <f>B10*F8</f>
        <v>6953.0269999999991</v>
      </c>
      <c r="G10" s="434">
        <f>B10*G8</f>
        <v>6321.0879999999997</v>
      </c>
      <c r="H10" s="436">
        <f>SUM(E10:G10)</f>
        <v>19911.313999999998</v>
      </c>
      <c r="I10" s="437">
        <f>I8*B10</f>
        <v>6836.3149699999994</v>
      </c>
      <c r="J10" s="437">
        <f>B10*J8</f>
        <v>7314.8570178999998</v>
      </c>
      <c r="K10" s="437">
        <f>B10*K8</f>
        <v>7388.0055880790005</v>
      </c>
      <c r="L10" s="437">
        <f>SUM(I10:K10)</f>
        <v>21539.177575979</v>
      </c>
      <c r="M10" s="422"/>
      <c r="N10" s="438"/>
    </row>
    <row r="11" spans="1:15">
      <c r="A11" s="439" t="s">
        <v>198</v>
      </c>
      <c r="B11" s="440">
        <v>0.95599999999999996</v>
      </c>
      <c r="C11" s="440"/>
      <c r="D11" s="433">
        <f>D10*B11</f>
        <v>5740.7580119999993</v>
      </c>
      <c r="E11" s="434">
        <f>E10*B11</f>
        <v>6345.1622439999992</v>
      </c>
      <c r="F11" s="434">
        <f>F10*B11</f>
        <v>6647.0938119999992</v>
      </c>
      <c r="G11" s="434">
        <f>G10*B11</f>
        <v>6042.9601279999997</v>
      </c>
      <c r="H11" s="436">
        <f>SUM(E11:G11)</f>
        <v>19035.216183999997</v>
      </c>
      <c r="I11" s="437">
        <f>B11*I10</f>
        <v>6535.5171113199995</v>
      </c>
      <c r="J11" s="437">
        <f>B11*J10</f>
        <v>6993.0033091123996</v>
      </c>
      <c r="K11" s="437">
        <f>B11*K10</f>
        <v>7062.9333422035243</v>
      </c>
      <c r="L11" s="437">
        <f>SUM(I11:K11)</f>
        <v>20591.453762635923</v>
      </c>
      <c r="M11" s="422">
        <f>(L11-H11)</f>
        <v>1556.2375786359262</v>
      </c>
      <c r="N11" s="441">
        <f>(M11/H11)</f>
        <v>8.1755708135535538E-2</v>
      </c>
    </row>
    <row r="12" spans="1:15">
      <c r="A12" s="442" t="s">
        <v>270</v>
      </c>
      <c r="B12" s="443">
        <v>0.91600000000000004</v>
      </c>
      <c r="C12" s="443"/>
      <c r="D12" s="444">
        <f>D11*$B$12</f>
        <v>5258.5343389919999</v>
      </c>
      <c r="E12" s="444">
        <f t="shared" ref="E12:G12" si="0">E11*$B$12</f>
        <v>5812.1686155039997</v>
      </c>
      <c r="F12" s="444">
        <f t="shared" si="0"/>
        <v>6088.7379317919995</v>
      </c>
      <c r="G12" s="444">
        <f t="shared" si="0"/>
        <v>5535.3514772480003</v>
      </c>
      <c r="H12" s="436">
        <v>17436.258024544</v>
      </c>
      <c r="I12" s="436">
        <f>I11*$O$12</f>
        <v>5816.6102290747995</v>
      </c>
      <c r="J12" s="436">
        <f t="shared" ref="J12:K12" si="1">J11*$O$12</f>
        <v>6223.7729451100358</v>
      </c>
      <c r="K12" s="436">
        <f t="shared" si="1"/>
        <v>6286.0106745611365</v>
      </c>
      <c r="L12" s="436">
        <f>SUM(I12:K12)</f>
        <v>18326.393848745971</v>
      </c>
      <c r="M12" s="422"/>
      <c r="N12" s="445"/>
      <c r="O12" s="443">
        <v>0.89</v>
      </c>
    </row>
    <row r="13" spans="1:15">
      <c r="A13" s="442" t="s">
        <v>271</v>
      </c>
      <c r="B13" s="446">
        <v>8.4000000000000005E-2</v>
      </c>
      <c r="C13" s="446"/>
      <c r="D13" s="444">
        <f>D11*$B$13</f>
        <v>482.22367300799999</v>
      </c>
      <c r="E13" s="444">
        <f t="shared" ref="E13:G13" si="2">E11*$B$13</f>
        <v>532.99362849599993</v>
      </c>
      <c r="F13" s="444">
        <f t="shared" si="2"/>
        <v>558.35588020799992</v>
      </c>
      <c r="G13" s="444">
        <f t="shared" si="2"/>
        <v>507.60865075200002</v>
      </c>
      <c r="H13" s="436">
        <v>1598.958159456</v>
      </c>
      <c r="I13" s="436">
        <f>I11*$O$13</f>
        <v>718.90688224519999</v>
      </c>
      <c r="J13" s="436">
        <f t="shared" ref="J13:K13" si="3">J11*$O$13</f>
        <v>769.23036400236401</v>
      </c>
      <c r="K13" s="436">
        <f t="shared" si="3"/>
        <v>776.92266764238764</v>
      </c>
      <c r="L13" s="436">
        <f>SUM(I13:K13)</f>
        <v>2265.0599138899515</v>
      </c>
      <c r="M13" s="422"/>
      <c r="N13" s="445"/>
      <c r="O13" s="446">
        <v>0.11</v>
      </c>
    </row>
    <row r="14" spans="1:15">
      <c r="A14" s="447"/>
      <c r="B14" s="448"/>
      <c r="C14" s="448"/>
      <c r="D14" s="449"/>
      <c r="E14" s="450"/>
      <c r="F14" s="450"/>
      <c r="G14" s="450"/>
      <c r="H14" s="451"/>
      <c r="I14" s="642"/>
      <c r="J14" s="643"/>
      <c r="K14" s="643"/>
      <c r="L14" s="644"/>
      <c r="M14" s="429"/>
      <c r="N14" s="430"/>
    </row>
    <row r="15" spans="1:15" ht="30">
      <c r="A15" s="447" t="s">
        <v>199</v>
      </c>
      <c r="B15" s="455"/>
      <c r="C15" s="455"/>
      <c r="D15" s="456">
        <f>D6/D11</f>
        <v>9058.0372646440701</v>
      </c>
      <c r="E15" s="457">
        <f>D15*102%</f>
        <v>9239.1980099369521</v>
      </c>
      <c r="F15" s="457">
        <f>E15*102%</f>
        <v>9423.9819701356919</v>
      </c>
      <c r="G15" s="457">
        <f>F15*102%</f>
        <v>9612.4616095384063</v>
      </c>
      <c r="H15" s="458"/>
      <c r="I15" s="456">
        <f>E15*102%</f>
        <v>9423.9819701356919</v>
      </c>
      <c r="J15" s="457">
        <f>I15*102%</f>
        <v>9612.4616095384063</v>
      </c>
      <c r="K15" s="457">
        <f>G15*102%</f>
        <v>9804.7108417291747</v>
      </c>
      <c r="L15" s="454"/>
      <c r="M15" s="429"/>
      <c r="N15" s="430"/>
    </row>
    <row r="16" spans="1:15" ht="15.75" thickBot="1">
      <c r="A16" s="447"/>
      <c r="B16" s="455"/>
      <c r="C16" s="455"/>
      <c r="D16" s="459"/>
      <c r="E16" s="460"/>
      <c r="F16" s="460"/>
      <c r="G16" s="460"/>
      <c r="H16" s="461"/>
      <c r="I16" s="452"/>
      <c r="J16" s="453"/>
      <c r="K16" s="453"/>
      <c r="L16" s="454"/>
      <c r="M16" s="429"/>
      <c r="N16" s="430"/>
    </row>
    <row r="17" spans="1:15" ht="15.75" thickBot="1">
      <c r="A17" s="447" t="s">
        <v>200</v>
      </c>
      <c r="B17" s="455"/>
      <c r="C17" s="455"/>
      <c r="D17" s="459">
        <f>D15*D11</f>
        <v>52000000</v>
      </c>
      <c r="E17" s="460">
        <f>E15*E11</f>
        <v>58624210.377491876</v>
      </c>
      <c r="F17" s="460">
        <f>F15*F11</f>
        <v>62642092.238088518</v>
      </c>
      <c r="G17" s="460">
        <f>G15*G11</f>
        <v>58087722.23837129</v>
      </c>
      <c r="H17" s="631">
        <f>SUM(E17:G17)</f>
        <v>179354024.85395169</v>
      </c>
      <c r="I17" s="460">
        <f>(I15*I11)</f>
        <v>61590595.422592975</v>
      </c>
      <c r="J17" s="460">
        <f>(J15*J11)</f>
        <v>67219975.844217971</v>
      </c>
      <c r="K17" s="460">
        <f>(K15*K11)</f>
        <v>69250019.114713371</v>
      </c>
      <c r="L17" s="636">
        <f>SUM(I17:K17)</f>
        <v>198060590.38152432</v>
      </c>
      <c r="M17" s="422">
        <f>(L17/3)</f>
        <v>66020196.793841444</v>
      </c>
      <c r="N17" s="462">
        <f>(M17/(SUM(D17:F17)/3))</f>
        <v>1.1430993066260213</v>
      </c>
      <c r="O17" s="634">
        <f>L17/H17</f>
        <v>1.1042996695658511</v>
      </c>
    </row>
    <row r="18" spans="1:15" hidden="1">
      <c r="A18" s="463" t="s">
        <v>201</v>
      </c>
      <c r="B18" s="455"/>
      <c r="C18" s="455"/>
      <c r="D18" s="459"/>
      <c r="E18" s="464">
        <f>SUM(E17-D17)</f>
        <v>6624210.3774918765</v>
      </c>
      <c r="F18" s="464">
        <f>SUM(F17-E17)</f>
        <v>4017881.8605966419</v>
      </c>
      <c r="G18" s="464"/>
      <c r="H18" s="465">
        <f>SUM(D18:F18)</f>
        <v>10642092.238088518</v>
      </c>
      <c r="I18" s="466">
        <f>(I17-D17)</f>
        <v>9590595.4225929752</v>
      </c>
      <c r="J18" s="464">
        <f>(J17-D17)</f>
        <v>15219975.844217971</v>
      </c>
      <c r="K18" s="464">
        <f>(K17-E17)</f>
        <v>10625808.737221494</v>
      </c>
      <c r="L18" s="467">
        <f>SUM(I18:K18)</f>
        <v>35436380.00403244</v>
      </c>
      <c r="M18" s="422"/>
      <c r="N18" s="438"/>
    </row>
    <row r="19" spans="1:15" ht="5.25" customHeight="1">
      <c r="A19" s="468"/>
      <c r="B19" s="469"/>
      <c r="C19" s="469"/>
      <c r="D19" s="470"/>
      <c r="E19" s="471"/>
      <c r="F19" s="471"/>
      <c r="G19" s="471"/>
      <c r="H19" s="472"/>
      <c r="I19" s="473"/>
      <c r="J19" s="474"/>
      <c r="K19" s="474"/>
      <c r="L19" s="472"/>
      <c r="M19" s="429"/>
      <c r="N19" s="430"/>
    </row>
    <row r="20" spans="1:15">
      <c r="A20" s="475" t="s">
        <v>202</v>
      </c>
      <c r="B20" s="455"/>
      <c r="C20" s="455"/>
      <c r="D20" s="476"/>
      <c r="E20" s="477"/>
      <c r="F20" s="477"/>
      <c r="G20" s="477"/>
      <c r="H20" s="461"/>
      <c r="I20" s="452"/>
      <c r="J20" s="453"/>
      <c r="K20" s="453"/>
      <c r="L20" s="454"/>
      <c r="M20" s="429"/>
      <c r="N20" s="430"/>
    </row>
    <row r="21" spans="1:15">
      <c r="A21" s="447" t="s">
        <v>203</v>
      </c>
      <c r="B21" s="455"/>
      <c r="C21" s="455"/>
      <c r="D21" s="423">
        <f t="shared" ref="D21:K21" si="4">(D11)</f>
        <v>5740.7580119999993</v>
      </c>
      <c r="E21" s="425">
        <f t="shared" si="4"/>
        <v>6345.1622439999992</v>
      </c>
      <c r="F21" s="425">
        <f t="shared" si="4"/>
        <v>6647.0938119999992</v>
      </c>
      <c r="G21" s="425">
        <f t="shared" si="4"/>
        <v>6042.9601279999997</v>
      </c>
      <c r="H21" s="478">
        <f>(H11)</f>
        <v>19035.216183999997</v>
      </c>
      <c r="I21" s="423">
        <f t="shared" si="4"/>
        <v>6535.5171113199995</v>
      </c>
      <c r="J21" s="425">
        <f t="shared" si="4"/>
        <v>6993.0033091123996</v>
      </c>
      <c r="K21" s="425">
        <f t="shared" si="4"/>
        <v>7062.9333422035243</v>
      </c>
      <c r="L21" s="478">
        <f>SUM(I21:K21)</f>
        <v>20591.453762635923</v>
      </c>
      <c r="M21" s="429"/>
      <c r="N21" s="430"/>
    </row>
    <row r="22" spans="1:15">
      <c r="A22" s="447" t="s">
        <v>204</v>
      </c>
      <c r="B22" s="455"/>
      <c r="C22" s="455"/>
      <c r="D22" s="479">
        <f>D17</f>
        <v>52000000</v>
      </c>
      <c r="E22" s="480">
        <f>E17</f>
        <v>58624210.377491876</v>
      </c>
      <c r="F22" s="480">
        <f>F17</f>
        <v>62642092.238088518</v>
      </c>
      <c r="G22" s="481">
        <f>G17</f>
        <v>58087722.23837129</v>
      </c>
      <c r="H22" s="482">
        <f>SUM(E22:G22)</f>
        <v>179354024.85395169</v>
      </c>
      <c r="I22" s="479">
        <f>I17</f>
        <v>61590595.422592975</v>
      </c>
      <c r="J22" s="480">
        <f>J17</f>
        <v>67219975.844217971</v>
      </c>
      <c r="K22" s="480">
        <f>K17</f>
        <v>69250019.114713371</v>
      </c>
      <c r="L22" s="483">
        <f>SUM(I22:K22)</f>
        <v>198060590.38152432</v>
      </c>
      <c r="M22" s="429">
        <f>(L22-H22)</f>
        <v>18706565.527572632</v>
      </c>
      <c r="N22" s="484">
        <f>(M22/H22)</f>
        <v>0.10429966956585124</v>
      </c>
    </row>
    <row r="23" spans="1:15">
      <c r="A23" s="447" t="s">
        <v>205</v>
      </c>
      <c r="B23" s="455"/>
      <c r="C23" s="455"/>
      <c r="D23" s="485">
        <v>0</v>
      </c>
      <c r="E23" s="486">
        <f>D28</f>
        <v>52000000</v>
      </c>
      <c r="F23" s="486">
        <f>E28</f>
        <v>106360210.37749188</v>
      </c>
      <c r="G23" s="486">
        <f>F28</f>
        <v>160280765.36462605</v>
      </c>
      <c r="H23" s="482">
        <f>E23</f>
        <v>52000000</v>
      </c>
      <c r="I23" s="485">
        <v>52000000</v>
      </c>
      <c r="J23" s="486">
        <f>I28</f>
        <v>109326595.42259297</v>
      </c>
      <c r="K23" s="486">
        <f>J28</f>
        <v>167581790.44215831</v>
      </c>
      <c r="L23" s="530">
        <f>I23</f>
        <v>52000000</v>
      </c>
      <c r="M23" s="429"/>
      <c r="N23" s="430"/>
    </row>
    <row r="24" spans="1:15" ht="30">
      <c r="A24" s="447" t="s">
        <v>206</v>
      </c>
      <c r="B24" s="581">
        <v>3.2000000000000001E-2</v>
      </c>
      <c r="C24" s="455"/>
      <c r="D24" s="487">
        <v>0</v>
      </c>
      <c r="E24" s="488">
        <f>-B24*E23</f>
        <v>-1664000</v>
      </c>
      <c r="F24" s="488">
        <f>-B24*F23</f>
        <v>-3403526.7320797401</v>
      </c>
      <c r="G24" s="489">
        <f>-B24*G23</f>
        <v>-5128984.4916680334</v>
      </c>
      <c r="H24" s="490">
        <f>SUM(E24:G24)</f>
        <v>-10196511.223747775</v>
      </c>
      <c r="I24" s="487">
        <f>-B24*I23</f>
        <v>-1664000</v>
      </c>
      <c r="J24" s="488">
        <f>-B24*J23</f>
        <v>-3498451.0535229752</v>
      </c>
      <c r="K24" s="488">
        <f>-B24*K23</f>
        <v>-5362617.2941490663</v>
      </c>
      <c r="L24" s="491">
        <f>SUM(I24:K24)</f>
        <v>-10525068.347672042</v>
      </c>
      <c r="M24" s="429"/>
      <c r="N24" s="430"/>
    </row>
    <row r="25" spans="1:15">
      <c r="A25" s="463" t="s">
        <v>207</v>
      </c>
      <c r="B25" s="455"/>
      <c r="C25" s="455"/>
      <c r="D25" s="476">
        <f t="shared" ref="D25:K25" si="5">SUM(D22+D24)</f>
        <v>52000000</v>
      </c>
      <c r="E25" s="477">
        <f t="shared" si="5"/>
        <v>56960210.377491876</v>
      </c>
      <c r="F25" s="477">
        <f>SUM(F22+F24)</f>
        <v>59238565.506008781</v>
      </c>
      <c r="G25" s="477">
        <f>SUM(G22+G24)</f>
        <v>52958737.74670326</v>
      </c>
      <c r="H25" s="454">
        <f>SUM(H22+H24)</f>
        <v>169157513.6302039</v>
      </c>
      <c r="I25" s="476">
        <f>SUM(I22+I24)</f>
        <v>59926595.422592975</v>
      </c>
      <c r="J25" s="477">
        <f t="shared" si="5"/>
        <v>63721524.790694997</v>
      </c>
      <c r="K25" s="477">
        <f t="shared" si="5"/>
        <v>63887401.820564307</v>
      </c>
      <c r="L25" s="454">
        <f>SUM(L22+L24)</f>
        <v>187535522.03385228</v>
      </c>
      <c r="M25" s="429"/>
      <c r="N25" s="430"/>
    </row>
    <row r="26" spans="1:15">
      <c r="A26" s="447"/>
      <c r="B26" s="455"/>
      <c r="C26" s="455"/>
      <c r="D26" s="476"/>
      <c r="E26" s="477"/>
      <c r="F26" s="477"/>
      <c r="G26" s="477"/>
      <c r="H26" s="454"/>
      <c r="I26" s="476"/>
      <c r="J26" s="477"/>
      <c r="K26" s="477"/>
      <c r="L26" s="492"/>
      <c r="M26" s="429"/>
      <c r="N26" s="430"/>
    </row>
    <row r="27" spans="1:15">
      <c r="A27" s="447" t="s">
        <v>208</v>
      </c>
      <c r="B27" s="455">
        <v>0.95</v>
      </c>
      <c r="C27" s="455"/>
      <c r="D27" s="493">
        <f>$B$27*D23</f>
        <v>0</v>
      </c>
      <c r="E27" s="494">
        <f>$B$27*E23</f>
        <v>49400000</v>
      </c>
      <c r="F27" s="494">
        <f>$B$27*F23</f>
        <v>101042199.85861728</v>
      </c>
      <c r="G27" s="494">
        <f>$B$27*G23</f>
        <v>152266727.09639475</v>
      </c>
      <c r="H27" s="494">
        <f>+H28-H25</f>
        <v>36067951.212894112</v>
      </c>
      <c r="I27" s="493">
        <f>$B$27*I23</f>
        <v>49400000</v>
      </c>
      <c r="J27" s="494">
        <f>$B$27*J23</f>
        <v>103860265.65146331</v>
      </c>
      <c r="K27" s="494">
        <f>$B$27*K23</f>
        <v>159202700.92005038</v>
      </c>
      <c r="L27" s="494">
        <f>+L28-L25</f>
        <v>35554580.706762403</v>
      </c>
      <c r="M27" s="429"/>
      <c r="N27" s="430"/>
    </row>
    <row r="28" spans="1:15">
      <c r="A28" s="447" t="s">
        <v>209</v>
      </c>
      <c r="B28" s="455"/>
      <c r="C28" s="455"/>
      <c r="D28" s="496">
        <f>SUM(D25:D27)</f>
        <v>52000000</v>
      </c>
      <c r="E28" s="497">
        <f>SUM(E25:E27)</f>
        <v>106360210.37749188</v>
      </c>
      <c r="F28" s="497">
        <f>SUM(F25:F27)</f>
        <v>160280765.36462605</v>
      </c>
      <c r="G28" s="497">
        <f>SUM(G25:G27)</f>
        <v>205225464.84309801</v>
      </c>
      <c r="H28" s="497">
        <f>G28</f>
        <v>205225464.84309801</v>
      </c>
      <c r="I28" s="496">
        <f>SUM(I25:I27)</f>
        <v>109326595.42259297</v>
      </c>
      <c r="J28" s="497">
        <f>SUM(J25:J27)</f>
        <v>167581790.44215831</v>
      </c>
      <c r="K28" s="497">
        <f>SUM(K25:K27)</f>
        <v>223090102.74061468</v>
      </c>
      <c r="L28" s="635">
        <f>K28</f>
        <v>223090102.74061468</v>
      </c>
      <c r="M28" s="429"/>
      <c r="N28" s="430"/>
    </row>
    <row r="29" spans="1:15">
      <c r="A29" s="447"/>
      <c r="B29" s="455"/>
      <c r="C29" s="455"/>
      <c r="D29" s="493"/>
      <c r="E29" s="494"/>
      <c r="F29" s="494"/>
      <c r="G29" s="494"/>
      <c r="H29" s="582"/>
      <c r="I29" s="493"/>
      <c r="J29" s="494"/>
      <c r="K29" s="494"/>
      <c r="L29" s="498"/>
      <c r="M29" s="429"/>
      <c r="N29" s="430"/>
    </row>
    <row r="30" spans="1:15">
      <c r="A30" s="447" t="s">
        <v>210</v>
      </c>
      <c r="B30" s="407"/>
      <c r="C30" s="407"/>
      <c r="D30" s="476">
        <v>89</v>
      </c>
      <c r="E30" s="477">
        <v>99</v>
      </c>
      <c r="F30" s="477">
        <v>103</v>
      </c>
      <c r="G30" s="477">
        <v>94</v>
      </c>
      <c r="H30" s="454">
        <f>SUM(E30:G30)</f>
        <v>296</v>
      </c>
      <c r="I30" s="476">
        <v>136</v>
      </c>
      <c r="J30" s="477">
        <f>I30*114%</f>
        <v>155.04</v>
      </c>
      <c r="K30" s="477">
        <f>J30*107%</f>
        <v>165.89279999999999</v>
      </c>
      <c r="L30" s="454">
        <f>SUM(I30:K30)</f>
        <v>456.93279999999993</v>
      </c>
      <c r="M30" s="429"/>
      <c r="N30" s="430"/>
      <c r="O30" s="637"/>
    </row>
    <row r="31" spans="1:15">
      <c r="A31" s="447" t="s">
        <v>211</v>
      </c>
      <c r="B31" s="407"/>
      <c r="C31" s="407"/>
      <c r="D31" s="476">
        <v>72</v>
      </c>
      <c r="E31" s="477">
        <v>80</v>
      </c>
      <c r="F31" s="477">
        <v>84</v>
      </c>
      <c r="G31" s="477">
        <v>76</v>
      </c>
      <c r="H31" s="454">
        <f>SUM(E31:G31)</f>
        <v>240</v>
      </c>
      <c r="I31" s="476">
        <v>90</v>
      </c>
      <c r="J31" s="477">
        <f>I31*114%</f>
        <v>102.6</v>
      </c>
      <c r="K31" s="477">
        <f>J31*107%</f>
        <v>109.782</v>
      </c>
      <c r="L31" s="454">
        <f>SUM(I31:K31)</f>
        <v>302.38200000000001</v>
      </c>
      <c r="M31" s="429"/>
      <c r="N31" s="430"/>
      <c r="O31" s="634"/>
    </row>
    <row r="32" spans="1:15" ht="15.75" thickBot="1">
      <c r="A32" s="447"/>
      <c r="B32" s="407"/>
      <c r="C32" s="407"/>
      <c r="D32" s="476"/>
      <c r="E32" s="477"/>
      <c r="F32" s="477"/>
      <c r="G32" s="477"/>
      <c r="H32" s="454"/>
      <c r="I32" s="476"/>
      <c r="J32" s="477"/>
      <c r="K32" s="477"/>
      <c r="L32" s="454"/>
      <c r="M32" s="429"/>
      <c r="N32" s="430"/>
      <c r="O32" s="634"/>
    </row>
    <row r="33" spans="1:73" ht="15.75" outlineLevel="1" thickBot="1">
      <c r="A33" s="447" t="s">
        <v>212</v>
      </c>
      <c r="B33" s="455">
        <v>1.2999999999999999E-2</v>
      </c>
      <c r="C33" s="455"/>
      <c r="D33" s="452">
        <f>$B$33*D28</f>
        <v>676000</v>
      </c>
      <c r="E33" s="453">
        <f>$B$33*E28</f>
        <v>1382682.7349073943</v>
      </c>
      <c r="F33" s="453">
        <f t="shared" ref="F33:J33" si="6">$B$33*F28</f>
        <v>2083649.9497401386</v>
      </c>
      <c r="G33" s="453">
        <f t="shared" si="6"/>
        <v>2667931.042960274</v>
      </c>
      <c r="H33" s="639">
        <f>SUM(E33:G33)</f>
        <v>6134263.7276078071</v>
      </c>
      <c r="I33" s="453">
        <f>$B$33*I28</f>
        <v>1421245.7404937085</v>
      </c>
      <c r="J33" s="453">
        <f t="shared" si="6"/>
        <v>2178563.2757480578</v>
      </c>
      <c r="K33" s="453">
        <f>$B$33*K28</f>
        <v>2900171.3356279908</v>
      </c>
      <c r="L33" s="638">
        <f>SUM(I33:K33)</f>
        <v>6499980.3518697573</v>
      </c>
      <c r="M33" s="429"/>
      <c r="N33" s="430"/>
      <c r="O33" s="634">
        <f>L33/H33</f>
        <v>1.0596186666406286</v>
      </c>
    </row>
    <row r="34" spans="1:73" outlineLevel="1">
      <c r="A34" s="447" t="s">
        <v>213</v>
      </c>
      <c r="B34" s="581">
        <f>3.95%/12</f>
        <v>3.2916666666666667E-3</v>
      </c>
      <c r="C34" s="455"/>
      <c r="D34" s="513">
        <f>-$B$34*SUM(D22)</f>
        <v>-171166.66666666666</v>
      </c>
      <c r="E34" s="632">
        <f>-$B$34*SUM(E28)</f>
        <v>-350102.35915924411</v>
      </c>
      <c r="F34" s="632">
        <f t="shared" ref="F34:G34" si="7">-$B$34*SUM(F28)</f>
        <v>-527590.85265856073</v>
      </c>
      <c r="G34" s="632">
        <f t="shared" si="7"/>
        <v>-675533.82177519763</v>
      </c>
      <c r="H34" s="633">
        <f>SUM(E34:G34)</f>
        <v>-1553227.0335930025</v>
      </c>
      <c r="I34" s="632">
        <f>-$B$34*SUM(I28)</f>
        <v>-359866.70993270184</v>
      </c>
      <c r="J34" s="632">
        <f>-$B$34*SUM(J28)</f>
        <v>-551623.39353877108</v>
      </c>
      <c r="K34" s="632">
        <f>-$B$34*SUM(K28)</f>
        <v>-734338.25485452334</v>
      </c>
      <c r="L34" s="633">
        <f>SUM(I34:K34)</f>
        <v>-1645828.3583259962</v>
      </c>
      <c r="M34" s="429"/>
      <c r="N34" s="430"/>
    </row>
    <row r="35" spans="1:73" outlineLevel="1">
      <c r="A35" s="447"/>
      <c r="B35" s="455"/>
      <c r="C35" s="455"/>
      <c r="D35" s="499"/>
      <c r="E35" s="500"/>
      <c r="F35" s="500"/>
      <c r="G35" s="500"/>
      <c r="H35" s="501"/>
      <c r="I35" s="499"/>
      <c r="J35" s="500"/>
      <c r="K35" s="500"/>
      <c r="L35" s="501"/>
      <c r="M35" s="429"/>
      <c r="N35" s="430"/>
    </row>
    <row r="36" spans="1:73" outlineLevel="1">
      <c r="A36" s="447" t="s">
        <v>214</v>
      </c>
      <c r="B36" s="502">
        <v>97</v>
      </c>
      <c r="C36" s="502"/>
      <c r="D36" s="452">
        <f>B36*D30</f>
        <v>8633</v>
      </c>
      <c r="E36" s="453">
        <f>B36*E30</f>
        <v>9603</v>
      </c>
      <c r="F36" s="453">
        <f>B36*F30</f>
        <v>9991</v>
      </c>
      <c r="G36" s="453">
        <f>G30*B36</f>
        <v>9118</v>
      </c>
      <c r="H36" s="503">
        <f>SUM(E36:G36)</f>
        <v>28712</v>
      </c>
      <c r="I36" s="452">
        <f>I30*B$36</f>
        <v>13192</v>
      </c>
      <c r="J36" s="453">
        <f>J30*B$36</f>
        <v>15038.88</v>
      </c>
      <c r="K36" s="453">
        <f>K30*B$36</f>
        <v>16091.6016</v>
      </c>
      <c r="L36" s="503">
        <f>SUM(I36:K36)</f>
        <v>44322.481599999999</v>
      </c>
      <c r="M36" s="429"/>
      <c r="N36" s="430"/>
    </row>
    <row r="37" spans="1:73" outlineLevel="1">
      <c r="A37" s="447" t="s">
        <v>215</v>
      </c>
      <c r="B37" s="502">
        <v>122</v>
      </c>
      <c r="C37" s="502"/>
      <c r="D37" s="452">
        <f>B37*D31</f>
        <v>8784</v>
      </c>
      <c r="E37" s="453">
        <f>B37*E31</f>
        <v>9760</v>
      </c>
      <c r="F37" s="453">
        <f>B37*F31</f>
        <v>10248</v>
      </c>
      <c r="G37" s="453">
        <f>G31*B37</f>
        <v>9272</v>
      </c>
      <c r="H37" s="503">
        <f>SUM(E37:G37)</f>
        <v>29280</v>
      </c>
      <c r="I37" s="452">
        <f>I31*B$37</f>
        <v>10980</v>
      </c>
      <c r="J37" s="453">
        <f>J31*B$37</f>
        <v>12517.199999999999</v>
      </c>
      <c r="K37" s="453">
        <f>K31*B$37</f>
        <v>13393.404</v>
      </c>
      <c r="L37" s="503">
        <f>SUM(I37:K37)</f>
        <v>36890.603999999999</v>
      </c>
      <c r="M37" s="429"/>
      <c r="N37" s="430"/>
    </row>
    <row r="38" spans="1:73" outlineLevel="1">
      <c r="A38" s="447" t="s">
        <v>216</v>
      </c>
      <c r="B38" s="452">
        <v>30000</v>
      </c>
      <c r="C38" s="452"/>
      <c r="D38" s="499">
        <v>0</v>
      </c>
      <c r="E38" s="500">
        <v>0</v>
      </c>
      <c r="F38" s="500">
        <v>0</v>
      </c>
      <c r="G38" s="500"/>
      <c r="H38" s="501">
        <v>0</v>
      </c>
      <c r="I38" s="499">
        <v>30000</v>
      </c>
      <c r="J38" s="500">
        <v>30000</v>
      </c>
      <c r="K38" s="500">
        <v>30000</v>
      </c>
      <c r="L38" s="501">
        <f>SUM(I38:K38)</f>
        <v>90000</v>
      </c>
      <c r="M38" s="429"/>
      <c r="N38" s="430"/>
    </row>
    <row r="39" spans="1:73" outlineLevel="1">
      <c r="A39" s="463" t="s">
        <v>217</v>
      </c>
      <c r="B39" s="504">
        <v>0.63600000000000001</v>
      </c>
      <c r="C39" s="504"/>
      <c r="D39" s="487">
        <f>(D22*B39)*4%</f>
        <v>1322880</v>
      </c>
      <c r="E39" s="488">
        <f>(E22*B39)*4%</f>
        <v>1491399.9120033935</v>
      </c>
      <c r="F39" s="488">
        <f>(F22*B39)*4%</f>
        <v>1593614.8265369721</v>
      </c>
      <c r="G39" s="488">
        <f>(G22*B39)*4%</f>
        <v>1477751.6537441656</v>
      </c>
      <c r="H39" s="505">
        <f>(H22*B39)*4%</f>
        <v>4562766.3922845311</v>
      </c>
      <c r="I39" s="487">
        <f>(I22*B39)*4%</f>
        <v>1566864.7475507653</v>
      </c>
      <c r="J39" s="488">
        <f>(J22*B39)*4%</f>
        <v>1710076.1854769052</v>
      </c>
      <c r="K39" s="488">
        <f>(K22*B39)*4%</f>
        <v>1761720.4862783081</v>
      </c>
      <c r="L39" s="505">
        <f>(L22*B39)*4%</f>
        <v>5038661.4193059793</v>
      </c>
      <c r="M39" s="429"/>
      <c r="N39" s="430"/>
    </row>
    <row r="40" spans="1:73" ht="15.75" outlineLevel="1" thickBot="1">
      <c r="A40" s="463" t="s">
        <v>218</v>
      </c>
      <c r="B40" s="504">
        <v>0.36399999999999999</v>
      </c>
      <c r="C40" s="504"/>
      <c r="D40" s="487">
        <f>(D22*B40)*2%</f>
        <v>378560</v>
      </c>
      <c r="E40" s="488">
        <f>(E22*B40)*2%</f>
        <v>426784.25154814089</v>
      </c>
      <c r="F40" s="488">
        <f>(F22*B40)*2%</f>
        <v>456034.43149328441</v>
      </c>
      <c r="G40" s="488">
        <f>(G22*B40)*2%</f>
        <v>422878.61789534299</v>
      </c>
      <c r="H40" s="501">
        <f>(H22*B40)*2%</f>
        <v>1305697.3009367683</v>
      </c>
      <c r="I40" s="487">
        <f>(I22*B40)*2%</f>
        <v>448379.53467647685</v>
      </c>
      <c r="J40" s="488">
        <f>(J22*B40)*2%</f>
        <v>489361.42414590681</v>
      </c>
      <c r="K40" s="488">
        <f>(K22*B40)*2%</f>
        <v>504140.13915511331</v>
      </c>
      <c r="L40" s="501">
        <f>(L22*B40)*2%</f>
        <v>1441881.0979774969</v>
      </c>
      <c r="M40" s="429"/>
      <c r="N40" s="430"/>
    </row>
    <row r="41" spans="1:73" ht="15.75" outlineLevel="1" thickBot="1">
      <c r="A41" s="447" t="s">
        <v>219</v>
      </c>
      <c r="B41" s="455"/>
      <c r="C41" s="455"/>
      <c r="D41" s="476">
        <f>SUM(D33:D40)</f>
        <v>2223690.3333333335</v>
      </c>
      <c r="E41" s="477">
        <f t="shared" ref="E41:L41" si="8">SUM(E33:E40)</f>
        <v>2970127.5392996841</v>
      </c>
      <c r="F41" s="477">
        <f t="shared" si="8"/>
        <v>3625947.3551118346</v>
      </c>
      <c r="G41" s="477">
        <f>SUM(G33:G40)</f>
        <v>3911417.4928245847</v>
      </c>
      <c r="H41" s="580">
        <f>SUM(H33:H40)</f>
        <v>10507492.387236103</v>
      </c>
      <c r="I41" s="477">
        <f t="shared" si="8"/>
        <v>3130795.3127882485</v>
      </c>
      <c r="J41" s="477">
        <f t="shared" si="8"/>
        <v>3883933.5718320985</v>
      </c>
      <c r="K41" s="477">
        <f t="shared" si="8"/>
        <v>4491178.7118068887</v>
      </c>
      <c r="L41" s="580">
        <f t="shared" si="8"/>
        <v>11505907.596427236</v>
      </c>
      <c r="M41" s="429"/>
      <c r="N41" s="430"/>
      <c r="O41" s="634">
        <f>L41/H41</f>
        <v>1.0950193606996041</v>
      </c>
    </row>
    <row r="42" spans="1:73" ht="9" customHeight="1" outlineLevel="1">
      <c r="A42" s="447"/>
      <c r="B42" s="455"/>
      <c r="C42" s="455"/>
      <c r="D42" s="476"/>
      <c r="E42" s="477"/>
      <c r="F42" s="477"/>
      <c r="G42" s="477"/>
      <c r="H42" s="454"/>
      <c r="I42" s="452"/>
      <c r="J42" s="453"/>
      <c r="K42" s="453"/>
      <c r="L42" s="454"/>
      <c r="M42" s="429"/>
      <c r="N42" s="430"/>
    </row>
    <row r="43" spans="1:73" outlineLevel="1">
      <c r="A43" s="426" t="s">
        <v>220</v>
      </c>
      <c r="B43" s="455"/>
      <c r="C43" s="455"/>
      <c r="D43" s="476"/>
      <c r="E43" s="477"/>
      <c r="F43" s="477"/>
      <c r="G43" s="477"/>
      <c r="H43" s="454"/>
      <c r="I43" s="452"/>
      <c r="J43" s="453"/>
      <c r="K43" s="453"/>
      <c r="L43" s="454"/>
      <c r="M43" s="429"/>
      <c r="N43" s="430"/>
    </row>
    <row r="44" spans="1:73" ht="47.25" customHeight="1" outlineLevel="1">
      <c r="A44" s="447" t="s">
        <v>221</v>
      </c>
      <c r="B44" s="506" t="s">
        <v>222</v>
      </c>
      <c r="C44" s="506"/>
      <c r="D44" s="452">
        <v>0</v>
      </c>
      <c r="E44" s="453">
        <v>0</v>
      </c>
      <c r="F44" s="453">
        <v>0</v>
      </c>
      <c r="G44" s="453">
        <v>0</v>
      </c>
      <c r="H44" s="503">
        <v>0</v>
      </c>
      <c r="I44" s="452">
        <v>0</v>
      </c>
      <c r="J44" s="453">
        <v>0</v>
      </c>
      <c r="K44" s="453">
        <v>0</v>
      </c>
      <c r="L44" s="454">
        <f>SUM(I44:J44)</f>
        <v>0</v>
      </c>
      <c r="M44" s="429"/>
      <c r="N44" s="430"/>
    </row>
    <row r="45" spans="1:73" outlineLevel="1">
      <c r="A45" s="447" t="s">
        <v>223</v>
      </c>
      <c r="B45" s="455">
        <v>0.01</v>
      </c>
      <c r="C45" s="455"/>
      <c r="D45" s="499">
        <f t="shared" ref="D45:K45" si="9">-$B$45*D22</f>
        <v>-520000</v>
      </c>
      <c r="E45" s="500">
        <f t="shared" si="9"/>
        <v>-586242.10377491883</v>
      </c>
      <c r="F45" s="500">
        <f t="shared" si="9"/>
        <v>-626420.92238088523</v>
      </c>
      <c r="G45" s="500">
        <f t="shared" si="9"/>
        <v>-580877.22238371288</v>
      </c>
      <c r="H45" s="501">
        <f t="shared" si="9"/>
        <v>-1793540.2485395169</v>
      </c>
      <c r="I45" s="499">
        <f t="shared" si="9"/>
        <v>-615905.9542259298</v>
      </c>
      <c r="J45" s="500">
        <f t="shared" si="9"/>
        <v>-672199.75844217977</v>
      </c>
      <c r="K45" s="500">
        <f t="shared" si="9"/>
        <v>-692500.19114713371</v>
      </c>
      <c r="L45" s="501">
        <f>SUM(I45:K45)</f>
        <v>-1980605.9038152434</v>
      </c>
      <c r="M45" s="507"/>
      <c r="N45" s="473"/>
      <c r="O45" s="508"/>
      <c r="P45" s="508"/>
      <c r="Q45" s="508"/>
      <c r="R45" s="508"/>
      <c r="S45" s="508"/>
      <c r="T45" s="508"/>
      <c r="U45" s="406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508"/>
      <c r="AG45" s="508"/>
      <c r="AH45" s="406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  <c r="AT45" s="508"/>
      <c r="AU45" s="406"/>
      <c r="AV45" s="508"/>
      <c r="AW45" s="508"/>
      <c r="AX45" s="508"/>
      <c r="AY45" s="508"/>
      <c r="AZ45" s="508"/>
      <c r="BA45" s="508"/>
      <c r="BB45" s="508"/>
      <c r="BC45" s="508"/>
      <c r="BD45" s="508"/>
      <c r="BE45" s="508"/>
      <c r="BF45" s="508"/>
      <c r="BG45" s="508"/>
      <c r="BH45" s="406"/>
      <c r="BI45" s="508"/>
      <c r="BJ45" s="508"/>
      <c r="BK45" s="508"/>
      <c r="BL45" s="508"/>
      <c r="BM45" s="508"/>
      <c r="BN45" s="508"/>
      <c r="BO45" s="508"/>
      <c r="BP45" s="508"/>
      <c r="BQ45" s="508"/>
      <c r="BR45" s="508"/>
      <c r="BS45" s="508"/>
      <c r="BT45" s="508"/>
      <c r="BU45" s="406"/>
    </row>
    <row r="46" spans="1:73" outlineLevel="1">
      <c r="A46" s="447" t="s">
        <v>224</v>
      </c>
      <c r="B46" s="509">
        <v>18.5</v>
      </c>
      <c r="C46" s="509"/>
      <c r="D46" s="499">
        <f>-($B$46*SUM(D30:D31))</f>
        <v>-2978.5</v>
      </c>
      <c r="E46" s="500">
        <f>-18.5*SUM(E30:E31)</f>
        <v>-3311.5</v>
      </c>
      <c r="F46" s="500">
        <f>-18.5*SUM(F30:F31)</f>
        <v>-3459.5</v>
      </c>
      <c r="G46" s="500">
        <f>-18.5*SUM(G30:G31)</f>
        <v>-3145</v>
      </c>
      <c r="H46" s="501">
        <f>SUM(E46:G46)</f>
        <v>-9916</v>
      </c>
      <c r="I46" s="499">
        <f>-18.5*SUM(I30:I31)</f>
        <v>-4181</v>
      </c>
      <c r="J46" s="500">
        <f>-18.5*SUM(J30:J31)</f>
        <v>-4766.34</v>
      </c>
      <c r="K46" s="500">
        <f>-18.5*SUM(K30:K31)</f>
        <v>-5099.9838</v>
      </c>
      <c r="L46" s="501">
        <f>SUM(I46:K46)</f>
        <v>-14047.3238</v>
      </c>
      <c r="M46" s="507"/>
      <c r="N46" s="473"/>
      <c r="O46" s="508"/>
      <c r="P46" s="508"/>
      <c r="Q46" s="508"/>
      <c r="R46" s="508"/>
      <c r="S46" s="508"/>
      <c r="T46" s="508"/>
      <c r="U46" s="406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406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406"/>
      <c r="AV46" s="508"/>
      <c r="AW46" s="508"/>
      <c r="AX46" s="508"/>
      <c r="AY46" s="508"/>
      <c r="AZ46" s="508"/>
      <c r="BA46" s="508"/>
      <c r="BB46" s="508"/>
      <c r="BC46" s="508"/>
      <c r="BD46" s="508"/>
      <c r="BE46" s="508"/>
      <c r="BF46" s="508"/>
      <c r="BG46" s="508"/>
      <c r="BH46" s="406"/>
      <c r="BI46" s="508"/>
      <c r="BJ46" s="508"/>
      <c r="BK46" s="508"/>
      <c r="BL46" s="508"/>
      <c r="BM46" s="508"/>
      <c r="BN46" s="508"/>
      <c r="BO46" s="508"/>
      <c r="BP46" s="508"/>
      <c r="BQ46" s="508"/>
      <c r="BR46" s="508"/>
      <c r="BS46" s="508"/>
      <c r="BT46" s="508"/>
      <c r="BU46" s="406"/>
    </row>
    <row r="47" spans="1:73" outlineLevel="1">
      <c r="A47" s="463" t="s">
        <v>225</v>
      </c>
      <c r="B47" s="510">
        <v>150000</v>
      </c>
      <c r="C47" s="510"/>
      <c r="D47" s="499">
        <v>0</v>
      </c>
      <c r="E47" s="453">
        <v>0</v>
      </c>
      <c r="F47" s="453">
        <v>0</v>
      </c>
      <c r="G47" s="453">
        <v>0</v>
      </c>
      <c r="H47" s="503">
        <v>0</v>
      </c>
      <c r="I47" s="511">
        <v>-56180</v>
      </c>
      <c r="J47" s="453">
        <v>0</v>
      </c>
      <c r="K47" s="453">
        <v>0</v>
      </c>
      <c r="L47" s="501">
        <f>SUM(I47:K47)</f>
        <v>-56180</v>
      </c>
      <c r="M47" s="429"/>
      <c r="N47" s="430"/>
    </row>
    <row r="48" spans="1:73" outlineLevel="1">
      <c r="A48" s="463" t="s">
        <v>226</v>
      </c>
      <c r="B48" s="512">
        <v>1491</v>
      </c>
      <c r="C48" s="512"/>
      <c r="D48" s="452">
        <v>0</v>
      </c>
      <c r="E48" s="453">
        <v>0</v>
      </c>
      <c r="F48" s="453">
        <v>0</v>
      </c>
      <c r="G48" s="453">
        <v>0</v>
      </c>
      <c r="H48" s="503">
        <v>0</v>
      </c>
      <c r="I48" s="513">
        <v>-1491</v>
      </c>
      <c r="J48" s="453">
        <v>0</v>
      </c>
      <c r="K48" s="453">
        <v>0</v>
      </c>
      <c r="L48" s="501">
        <f>SUM(I48:K48)</f>
        <v>-1491</v>
      </c>
      <c r="M48" s="429"/>
      <c r="N48" s="430"/>
    </row>
    <row r="49" spans="1:16" outlineLevel="1">
      <c r="A49" s="447" t="s">
        <v>227</v>
      </c>
      <c r="B49" s="510">
        <v>150000</v>
      </c>
      <c r="C49" s="510"/>
      <c r="D49" s="499">
        <v>0</v>
      </c>
      <c r="E49" s="453">
        <v>0</v>
      </c>
      <c r="F49" s="453">
        <v>0</v>
      </c>
      <c r="G49" s="453">
        <v>0</v>
      </c>
      <c r="H49" s="503">
        <v>0</v>
      </c>
      <c r="I49" s="513">
        <v>0</v>
      </c>
      <c r="J49" s="513">
        <v>0</v>
      </c>
      <c r="K49" s="514">
        <v>0</v>
      </c>
      <c r="L49" s="515">
        <f>1000*150</f>
        <v>150000</v>
      </c>
      <c r="M49" s="429"/>
      <c r="N49" s="430"/>
    </row>
    <row r="50" spans="1:16" outlineLevel="1">
      <c r="A50" s="447" t="s">
        <v>127</v>
      </c>
      <c r="B50" s="455"/>
      <c r="C50" s="455"/>
      <c r="D50" s="516">
        <f t="shared" ref="D50:L50" si="10">SUM(D44:D49)</f>
        <v>-522978.5</v>
      </c>
      <c r="E50" s="517">
        <f t="shared" si="10"/>
        <v>-589553.60377491883</v>
      </c>
      <c r="F50" s="517">
        <f t="shared" si="10"/>
        <v>-629880.42238088523</v>
      </c>
      <c r="G50" s="517">
        <f t="shared" si="10"/>
        <v>-584022.22238371288</v>
      </c>
      <c r="H50" s="518">
        <f t="shared" si="10"/>
        <v>-1803456.2485395169</v>
      </c>
      <c r="I50" s="516">
        <f t="shared" si="10"/>
        <v>-677757.9542259298</v>
      </c>
      <c r="J50" s="517">
        <f t="shared" si="10"/>
        <v>-676966.09844217973</v>
      </c>
      <c r="K50" s="517">
        <f t="shared" si="10"/>
        <v>-697600.17494713375</v>
      </c>
      <c r="L50" s="518">
        <f t="shared" si="10"/>
        <v>-1902324.2276152433</v>
      </c>
      <c r="M50" s="429"/>
      <c r="N50" s="430"/>
    </row>
    <row r="51" spans="1:16" outlineLevel="1">
      <c r="A51" s="447"/>
      <c r="B51" s="455"/>
      <c r="C51" s="455"/>
      <c r="D51" s="476"/>
      <c r="E51" s="477"/>
      <c r="F51" s="477"/>
      <c r="G51" s="477"/>
      <c r="H51" s="454"/>
      <c r="I51" s="452"/>
      <c r="J51" s="453"/>
      <c r="K51" s="453"/>
      <c r="L51" s="454"/>
      <c r="M51" s="429"/>
      <c r="N51" s="430"/>
      <c r="O51" s="519"/>
      <c r="P51" s="519"/>
    </row>
    <row r="52" spans="1:16" ht="15.75" outlineLevel="1" thickBot="1">
      <c r="A52" s="426" t="s">
        <v>228</v>
      </c>
      <c r="B52" s="455"/>
      <c r="C52" s="455"/>
      <c r="D52" s="476"/>
      <c r="E52" s="477"/>
      <c r="F52" s="477"/>
      <c r="G52" s="477"/>
      <c r="H52" s="454"/>
      <c r="I52" s="452"/>
      <c r="J52" s="453"/>
      <c r="K52" s="453"/>
      <c r="L52" s="454"/>
      <c r="M52" s="429"/>
      <c r="N52" s="430"/>
      <c r="O52" s="520"/>
      <c r="P52" s="519"/>
    </row>
    <row r="53" spans="1:16" ht="15.75" outlineLevel="1" thickBot="1">
      <c r="A53" s="447" t="s">
        <v>229</v>
      </c>
      <c r="B53" s="455"/>
      <c r="C53" s="455"/>
      <c r="D53" s="521">
        <f t="shared" ref="D53:K53" si="11">SUM(D41+D50)</f>
        <v>1700711.8333333335</v>
      </c>
      <c r="E53" s="522">
        <f t="shared" si="11"/>
        <v>2380573.9355247654</v>
      </c>
      <c r="F53" s="522">
        <f t="shared" si="11"/>
        <v>2996066.9327309495</v>
      </c>
      <c r="G53" s="522">
        <f t="shared" si="11"/>
        <v>3327395.2704408718</v>
      </c>
      <c r="H53" s="640">
        <f t="shared" si="11"/>
        <v>8704036.1386965867</v>
      </c>
      <c r="I53" s="522">
        <f t="shared" si="11"/>
        <v>2453037.3585623186</v>
      </c>
      <c r="J53" s="457">
        <f t="shared" si="11"/>
        <v>3206967.4733899189</v>
      </c>
      <c r="K53" s="457">
        <f t="shared" si="11"/>
        <v>3793578.5368597549</v>
      </c>
      <c r="L53" s="580">
        <f>(L41+L50)</f>
        <v>9603583.3688119929</v>
      </c>
      <c r="M53" s="429">
        <f>(L53-H53)</f>
        <v>899547.23011540622</v>
      </c>
      <c r="N53" s="523">
        <f>(M53/H53)</f>
        <v>0.10334828759685179</v>
      </c>
      <c r="O53" s="641">
        <f>L53/H53</f>
        <v>1.1033482875968519</v>
      </c>
      <c r="P53" s="524"/>
    </row>
    <row r="54" spans="1:16" ht="15.75" outlineLevel="1" thickBot="1">
      <c r="A54" s="447" t="s">
        <v>230</v>
      </c>
      <c r="B54" s="455"/>
      <c r="C54" s="455"/>
      <c r="D54" s="525">
        <f>D53</f>
        <v>1700711.8333333335</v>
      </c>
      <c r="E54" s="526">
        <f>SUM(D54+E53)</f>
        <v>4081285.7688580989</v>
      </c>
      <c r="F54" s="526">
        <f>SUM(E54+F53)</f>
        <v>7077352.7015890479</v>
      </c>
      <c r="G54" s="526">
        <f>SUM(F54+G53)</f>
        <v>10404747.972029921</v>
      </c>
      <c r="H54" s="640">
        <f>G54</f>
        <v>10404747.972029921</v>
      </c>
      <c r="I54" s="526">
        <f>I53</f>
        <v>2453037.3585623186</v>
      </c>
      <c r="J54" s="527">
        <f>J53+I54</f>
        <v>5660004.8319522375</v>
      </c>
      <c r="K54" s="527">
        <f>K53+J54</f>
        <v>9453583.3688119929</v>
      </c>
      <c r="L54" s="458">
        <f>K54</f>
        <v>9453583.3688119929</v>
      </c>
      <c r="M54" s="429"/>
      <c r="N54" s="528"/>
      <c r="O54" s="641">
        <f>L54/H54</f>
        <v>0.90858359993198756</v>
      </c>
      <c r="P54" s="519"/>
    </row>
    <row r="55" spans="1:16" outlineLevel="1">
      <c r="A55" s="447" t="s">
        <v>231</v>
      </c>
      <c r="B55" s="529">
        <v>1</v>
      </c>
      <c r="C55" s="529"/>
      <c r="D55" s="485"/>
      <c r="E55" s="486"/>
      <c r="F55" s="486"/>
      <c r="G55" s="486"/>
      <c r="H55" s="530"/>
      <c r="I55" s="531">
        <f>I53/D53</f>
        <v>1.4423591995326184</v>
      </c>
      <c r="J55" s="531">
        <f>J53/E53</f>
        <v>1.3471404628661476</v>
      </c>
      <c r="K55" s="532">
        <f>K53/F53</f>
        <v>1.2661861774235679</v>
      </c>
      <c r="L55" s="454"/>
      <c r="M55" s="429"/>
      <c r="N55" s="430"/>
      <c r="O55" s="520"/>
      <c r="P55" s="519"/>
    </row>
    <row r="56" spans="1:16" outlineLevel="1">
      <c r="A56" s="447" t="s">
        <v>232</v>
      </c>
      <c r="B56" s="529"/>
      <c r="C56" s="529"/>
      <c r="D56" s="485"/>
      <c r="E56" s="486"/>
      <c r="F56" s="486"/>
      <c r="G56" s="486"/>
      <c r="H56" s="530"/>
      <c r="I56" s="485"/>
      <c r="J56" s="486"/>
      <c r="K56" s="486"/>
      <c r="L56" s="454"/>
      <c r="M56" s="429"/>
      <c r="N56" s="430"/>
      <c r="O56" s="520"/>
      <c r="P56" s="519"/>
    </row>
    <row r="57" spans="1:16" ht="15.75" outlineLevel="1" thickBot="1">
      <c r="A57" s="447"/>
      <c r="B57" s="455"/>
      <c r="C57" s="455"/>
      <c r="D57" s="485"/>
      <c r="E57" s="486"/>
      <c r="F57" s="486"/>
      <c r="G57" s="486"/>
      <c r="H57" s="530"/>
      <c r="I57" s="531"/>
      <c r="J57" s="533"/>
      <c r="K57" s="533"/>
      <c r="L57" s="534"/>
      <c r="M57" s="429"/>
      <c r="N57" s="535"/>
      <c r="O57" s="520"/>
      <c r="P57" s="519"/>
    </row>
    <row r="58" spans="1:16" ht="15.75" outlineLevel="1" thickBot="1">
      <c r="A58" s="475" t="s">
        <v>233</v>
      </c>
      <c r="B58" s="455"/>
      <c r="C58" s="455"/>
      <c r="D58" s="485"/>
      <c r="E58" s="486"/>
      <c r="F58" s="486"/>
      <c r="G58" s="486"/>
      <c r="H58" s="530"/>
      <c r="I58" s="536"/>
      <c r="J58" s="537"/>
      <c r="K58" s="537"/>
      <c r="L58" s="538">
        <f>-(L41/L50)</f>
        <v>6.0483420383343693</v>
      </c>
      <c r="M58" s="407"/>
      <c r="N58" s="407"/>
      <c r="O58" s="520"/>
      <c r="P58" s="519"/>
    </row>
    <row r="59" spans="1:16" outlineLevel="1">
      <c r="A59" s="539"/>
      <c r="B59" s="540"/>
      <c r="C59" s="540"/>
      <c r="D59" s="541"/>
      <c r="E59" s="542"/>
      <c r="F59" s="542"/>
      <c r="G59" s="542"/>
      <c r="H59" s="495"/>
      <c r="I59" s="541"/>
      <c r="J59" s="542"/>
      <c r="K59" s="542"/>
      <c r="L59" s="495"/>
      <c r="M59" s="407"/>
      <c r="N59" s="407"/>
      <c r="O59" s="519"/>
      <c r="P59" s="519"/>
    </row>
    <row r="60" spans="1:16" outlineLevel="1">
      <c r="A60" s="543"/>
      <c r="M60" s="544"/>
      <c r="N60" s="405"/>
    </row>
    <row r="61" spans="1:16" outlineLevel="1">
      <c r="A61" s="545" t="s">
        <v>234</v>
      </c>
    </row>
    <row r="62" spans="1:16" outlineLevel="1">
      <c r="A62" s="545"/>
    </row>
    <row r="63" spans="1:16" ht="15" customHeight="1" outlineLevel="1">
      <c r="A63" s="546" t="s">
        <v>235</v>
      </c>
    </row>
    <row r="64" spans="1:16" ht="15" customHeight="1" outlineLevel="1">
      <c r="A64" s="655" t="s">
        <v>236</v>
      </c>
      <c r="B64" s="648"/>
      <c r="C64" s="648"/>
      <c r="D64" s="648"/>
      <c r="E64" s="648"/>
      <c r="F64" s="648"/>
      <c r="G64" s="648"/>
      <c r="H64" s="648"/>
      <c r="I64" s="648"/>
      <c r="J64" s="648"/>
      <c r="K64" s="648"/>
      <c r="L64" s="648"/>
      <c r="M64" s="648"/>
      <c r="N64" s="648"/>
    </row>
    <row r="65" spans="1:14" outlineLevel="1">
      <c r="A65" s="655" t="s">
        <v>237</v>
      </c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</row>
    <row r="66" spans="1:14" ht="20.25" customHeight="1">
      <c r="A66" s="547"/>
      <c r="L66" s="508"/>
      <c r="N66" s="407"/>
    </row>
    <row r="67" spans="1:14" s="508" customFormat="1" ht="63.75" hidden="1" customHeight="1">
      <c r="A67" s="548"/>
      <c r="B67" s="549" t="s">
        <v>238</v>
      </c>
      <c r="C67" s="549"/>
      <c r="D67" s="550" t="s">
        <v>239</v>
      </c>
      <c r="E67" s="550" t="s">
        <v>240</v>
      </c>
      <c r="F67" s="550"/>
      <c r="G67" s="550"/>
      <c r="H67" s="550"/>
      <c r="I67" s="550"/>
      <c r="J67" s="550" t="s">
        <v>241</v>
      </c>
      <c r="K67" s="551"/>
      <c r="L67" s="645" t="s">
        <v>242</v>
      </c>
      <c r="M67" s="646"/>
    </row>
    <row r="68" spans="1:14" ht="65.25" hidden="1" customHeight="1">
      <c r="A68" s="552" t="s">
        <v>243</v>
      </c>
      <c r="B68" s="548">
        <f>25%*B78</f>
        <v>1937.5</v>
      </c>
      <c r="C68" s="548"/>
      <c r="D68" s="553" t="s">
        <v>244</v>
      </c>
      <c r="E68" s="553" t="s">
        <v>245</v>
      </c>
      <c r="F68" s="553"/>
      <c r="G68" s="553"/>
      <c r="H68" s="553"/>
      <c r="I68" s="553"/>
      <c r="J68" s="554">
        <f>(2250*10)</f>
        <v>22500</v>
      </c>
      <c r="K68" s="554"/>
      <c r="L68" s="554">
        <f>(B68-J68)</f>
        <v>-20562.5</v>
      </c>
      <c r="M68" s="550"/>
      <c r="N68" s="407"/>
    </row>
    <row r="69" spans="1:14" ht="45" hidden="1">
      <c r="A69" s="552" t="s">
        <v>246</v>
      </c>
      <c r="B69" s="548">
        <f>35%*B78</f>
        <v>2712.5</v>
      </c>
      <c r="C69" s="548"/>
      <c r="D69" s="553" t="s">
        <v>247</v>
      </c>
      <c r="E69" s="553" t="s">
        <v>248</v>
      </c>
      <c r="F69" s="553"/>
      <c r="G69" s="553"/>
      <c r="H69" s="553"/>
      <c r="I69" s="553"/>
      <c r="J69" s="554">
        <f>(2130)*25</f>
        <v>53250</v>
      </c>
      <c r="K69" s="554"/>
      <c r="L69" s="554">
        <f>(B69-J69)</f>
        <v>-50537.5</v>
      </c>
      <c r="M69" s="550"/>
      <c r="N69" s="407"/>
    </row>
    <row r="70" spans="1:14" ht="30" hidden="1">
      <c r="A70" s="552" t="s">
        <v>249</v>
      </c>
      <c r="B70" s="548">
        <f>40%*B78</f>
        <v>3100</v>
      </c>
      <c r="C70" s="548"/>
      <c r="D70" s="553" t="s">
        <v>250</v>
      </c>
      <c r="E70" s="553" t="s">
        <v>251</v>
      </c>
      <c r="F70" s="553"/>
      <c r="G70" s="553"/>
      <c r="H70" s="553"/>
      <c r="I70" s="553"/>
      <c r="J70" s="554">
        <f>(2230)*30</f>
        <v>66900</v>
      </c>
      <c r="K70" s="554"/>
      <c r="L70" s="554">
        <f>(B70-J70)</f>
        <v>-63800</v>
      </c>
      <c r="M70" s="550"/>
      <c r="N70" s="407"/>
    </row>
    <row r="71" spans="1:14" hidden="1">
      <c r="A71" s="555"/>
      <c r="B71" s="548"/>
      <c r="C71" s="548"/>
      <c r="D71" s="554"/>
      <c r="E71" s="554"/>
      <c r="F71" s="554"/>
      <c r="G71" s="554"/>
      <c r="H71" s="554"/>
      <c r="I71" s="554"/>
      <c r="J71" s="554">
        <f>SUM(J68:J70)</f>
        <v>142650</v>
      </c>
      <c r="K71" s="554"/>
      <c r="L71" s="554">
        <f>SUM(L68:L70)</f>
        <v>-134900</v>
      </c>
      <c r="M71" s="554">
        <f>SUM(M68:M70)</f>
        <v>0</v>
      </c>
      <c r="N71" s="407"/>
    </row>
    <row r="72" spans="1:14" hidden="1">
      <c r="B72" s="547"/>
      <c r="C72" s="547"/>
    </row>
    <row r="73" spans="1:14" ht="15.75" hidden="1" thickBot="1">
      <c r="A73" s="556" t="s">
        <v>252</v>
      </c>
      <c r="B73" s="557">
        <v>210000</v>
      </c>
      <c r="C73" s="558"/>
    </row>
    <row r="74" spans="1:14" ht="21" hidden="1" customHeight="1">
      <c r="A74" s="559" t="s">
        <v>253</v>
      </c>
      <c r="B74" s="560">
        <v>15000</v>
      </c>
      <c r="C74" s="561"/>
    </row>
    <row r="75" spans="1:14" ht="21" hidden="1" customHeight="1">
      <c r="A75" s="552" t="s">
        <v>254</v>
      </c>
      <c r="B75" s="555">
        <v>2250</v>
      </c>
      <c r="C75" s="562"/>
    </row>
    <row r="76" spans="1:14" hidden="1">
      <c r="A76" s="552" t="s">
        <v>255</v>
      </c>
      <c r="B76" s="563">
        <v>166500</v>
      </c>
      <c r="C76" s="561"/>
    </row>
    <row r="77" spans="1:14" hidden="1">
      <c r="A77" s="552" t="s">
        <v>256</v>
      </c>
      <c r="B77" s="563">
        <v>18500</v>
      </c>
      <c r="C77" s="561"/>
    </row>
    <row r="78" spans="1:14" hidden="1">
      <c r="A78" s="552" t="s">
        <v>257</v>
      </c>
      <c r="B78" s="564">
        <v>7750</v>
      </c>
      <c r="C78" s="565"/>
    </row>
    <row r="79" spans="1:14" hidden="1">
      <c r="B79" s="566"/>
      <c r="C79" s="566"/>
    </row>
    <row r="80" spans="1:14" ht="27.75" hidden="1" customHeight="1">
      <c r="A80" s="567" t="s">
        <v>258</v>
      </c>
      <c r="B80" s="568">
        <v>95000</v>
      </c>
      <c r="C80" s="569"/>
    </row>
    <row r="81" spans="1:14" ht="31.5" hidden="1" customHeight="1">
      <c r="A81" s="570" t="s">
        <v>259</v>
      </c>
      <c r="B81" s="571">
        <v>1800000</v>
      </c>
      <c r="C81" s="569"/>
      <c r="N81" s="405"/>
    </row>
    <row r="82" spans="1:14" ht="33.75" hidden="1" customHeight="1">
      <c r="A82" s="570" t="s">
        <v>260</v>
      </c>
      <c r="B82" s="572">
        <f>(B80/B81)</f>
        <v>5.2777777777777778E-2</v>
      </c>
      <c r="C82" s="573"/>
    </row>
    <row r="83" spans="1:14" ht="33.75" hidden="1" customHeight="1" thickBot="1">
      <c r="A83" s="574" t="s">
        <v>261</v>
      </c>
      <c r="B83" s="575">
        <f>((B80/3)/50)</f>
        <v>633.33333333333337</v>
      </c>
      <c r="C83" s="576"/>
    </row>
    <row r="84" spans="1:14" ht="30.75" hidden="1" thickBot="1">
      <c r="A84" s="577" t="s">
        <v>262</v>
      </c>
      <c r="B84" s="578">
        <f>((B81/3)/50)</f>
        <v>12000</v>
      </c>
      <c r="C84" s="579"/>
      <c r="D84" s="580" t="s">
        <v>263</v>
      </c>
    </row>
    <row r="85" spans="1:14">
      <c r="A85" s="583" t="s">
        <v>264</v>
      </c>
      <c r="B85" s="584"/>
      <c r="C85" s="584"/>
      <c r="D85" s="585">
        <f>D23</f>
        <v>0</v>
      </c>
      <c r="E85" s="585">
        <f>D89</f>
        <v>52000000</v>
      </c>
      <c r="F85" s="585">
        <f t="shared" ref="F85:G85" si="12">E89</f>
        <v>106360210.37749188</v>
      </c>
      <c r="G85" s="585">
        <f t="shared" si="12"/>
        <v>160280765.36462605</v>
      </c>
      <c r="H85" s="585">
        <f>E85</f>
        <v>52000000</v>
      </c>
      <c r="I85" s="585">
        <f>I23</f>
        <v>52000000</v>
      </c>
      <c r="J85" s="585">
        <f t="shared" ref="J85:K85" si="13">I89</f>
        <v>109326595.42259297</v>
      </c>
      <c r="K85" s="585">
        <f t="shared" si="13"/>
        <v>167581790.44215834</v>
      </c>
      <c r="L85" s="585">
        <f>I85</f>
        <v>52000000</v>
      </c>
    </row>
    <row r="86" spans="1:14">
      <c r="A86" s="583" t="s">
        <v>173</v>
      </c>
      <c r="B86" s="584"/>
      <c r="C86" s="584"/>
      <c r="D86" s="585">
        <f>D22</f>
        <v>52000000</v>
      </c>
      <c r="E86" s="585">
        <f>E22</f>
        <v>58624210.377491876</v>
      </c>
      <c r="F86" s="585">
        <f>F22</f>
        <v>62642092.238088518</v>
      </c>
      <c r="G86" s="585">
        <f>G22</f>
        <v>58087722.23837129</v>
      </c>
      <c r="H86" s="586">
        <f>SUM(E86:G86)</f>
        <v>179354024.85395169</v>
      </c>
      <c r="I86" s="585">
        <f>I22</f>
        <v>61590595.422592975</v>
      </c>
      <c r="J86" s="585">
        <f>J22</f>
        <v>67219975.844217971</v>
      </c>
      <c r="K86" s="585">
        <f>K22</f>
        <v>69250019.114713371</v>
      </c>
      <c r="L86" s="585">
        <f>SUM(I86:K86)</f>
        <v>198060590.38152432</v>
      </c>
    </row>
    <row r="87" spans="1:14">
      <c r="A87" s="583" t="s">
        <v>265</v>
      </c>
      <c r="B87" s="584"/>
      <c r="C87" s="584"/>
      <c r="D87" s="587">
        <f>D24</f>
        <v>0</v>
      </c>
      <c r="E87" s="587">
        <f>E24</f>
        <v>-1664000</v>
      </c>
      <c r="F87" s="587">
        <f>F24</f>
        <v>-3403526.7320797401</v>
      </c>
      <c r="G87" s="587">
        <f>G24</f>
        <v>-5128984.4916680334</v>
      </c>
      <c r="H87" s="588">
        <f>SUM(E87:G87)</f>
        <v>-10196511.223747775</v>
      </c>
      <c r="I87" s="585">
        <f>I24</f>
        <v>-1664000</v>
      </c>
      <c r="J87" s="587">
        <f>J24</f>
        <v>-3498451.0535229752</v>
      </c>
      <c r="K87" s="587">
        <f>K24</f>
        <v>-5362617.2941490663</v>
      </c>
      <c r="L87" s="585">
        <f t="shared" ref="L87:L88" si="14">SUM(I87:K87)</f>
        <v>-10525068.347672042</v>
      </c>
    </row>
    <row r="88" spans="1:14">
      <c r="A88" s="583" t="s">
        <v>266</v>
      </c>
      <c r="B88" s="584">
        <f>100%-B27</f>
        <v>5.0000000000000044E-2</v>
      </c>
      <c r="C88" s="584"/>
      <c r="D88" s="587">
        <f>D27</f>
        <v>0</v>
      </c>
      <c r="E88" s="587">
        <f>-E23*$B$88</f>
        <v>-2600000.0000000023</v>
      </c>
      <c r="F88" s="587">
        <f>-F23*$B$88</f>
        <v>-5318010.5188745987</v>
      </c>
      <c r="G88" s="587">
        <f>-G23*$B$88</f>
        <v>-8014038.26823131</v>
      </c>
      <c r="H88" s="587">
        <f>SUM(E88:G88)</f>
        <v>-15932048.78710591</v>
      </c>
      <c r="I88" s="587">
        <f>-I23*$B$88</f>
        <v>-2600000.0000000023</v>
      </c>
      <c r="J88" s="587">
        <f>-J23*$B$88</f>
        <v>-5466329.7711296529</v>
      </c>
      <c r="K88" s="587">
        <f>-K23*$B$88</f>
        <v>-8379089.5221079234</v>
      </c>
      <c r="L88" s="585">
        <f t="shared" si="14"/>
        <v>-16445419.293237578</v>
      </c>
    </row>
    <row r="89" spans="1:14" ht="15.75" thickBot="1">
      <c r="A89" s="583" t="s">
        <v>267</v>
      </c>
      <c r="B89" s="584"/>
      <c r="C89" s="584"/>
      <c r="D89" s="589">
        <f>SUM(D85:D88)</f>
        <v>52000000</v>
      </c>
      <c r="E89" s="589">
        <f t="shared" ref="E89:J89" si="15">SUM(E85:E88)</f>
        <v>106360210.37749188</v>
      </c>
      <c r="F89" s="589">
        <f t="shared" si="15"/>
        <v>160280765.36462605</v>
      </c>
      <c r="G89" s="589">
        <f t="shared" si="15"/>
        <v>205225464.84309798</v>
      </c>
      <c r="H89" s="589">
        <f>SUM(H85:H88)</f>
        <v>205225464.84309798</v>
      </c>
      <c r="I89" s="589">
        <f t="shared" ref="I89" si="16">SUM(I85:I88)</f>
        <v>109326595.42259297</v>
      </c>
      <c r="J89" s="589">
        <f t="shared" si="15"/>
        <v>167581790.44215834</v>
      </c>
      <c r="K89" s="589">
        <f>SUM(K85:K88)</f>
        <v>223090102.74061471</v>
      </c>
      <c r="L89" s="589">
        <f>SUM(L85:L88)</f>
        <v>223090102.74061471</v>
      </c>
    </row>
    <row r="91" spans="1:14">
      <c r="E91" s="405">
        <f>E85*B27</f>
        <v>49400000</v>
      </c>
    </row>
    <row r="92" spans="1:14">
      <c r="E92" s="405">
        <f>+E86+E87</f>
        <v>56960210.377491876</v>
      </c>
    </row>
    <row r="93" spans="1:14">
      <c r="E93" s="405">
        <f>+E91+E92</f>
        <v>106360210.37749188</v>
      </c>
    </row>
  </sheetData>
  <mergeCells count="7">
    <mergeCell ref="L67:M67"/>
    <mergeCell ref="A1:B1"/>
    <mergeCell ref="I3:L3"/>
    <mergeCell ref="E4:H4"/>
    <mergeCell ref="I4:L4"/>
    <mergeCell ref="A64:N64"/>
    <mergeCell ref="A65:N65"/>
  </mergeCells>
  <pageMargins left="0.25" right="0.25" top="0.75" bottom="0.75" header="0.3" footer="0.3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DK230"/>
  <sheetViews>
    <sheetView zoomScale="80" zoomScaleNormal="80" workbookViewId="0">
      <pane xSplit="3" ySplit="6" topLeftCell="BU139" activePane="bottomRight" state="frozen"/>
      <selection activeCell="AT171" sqref="AT171"/>
      <selection pane="topRight" activeCell="AT171" sqref="AT171"/>
      <selection pane="bottomLeft" activeCell="AT171" sqref="AT171"/>
      <selection pane="bottomRight" activeCell="BW157" sqref="BW157"/>
    </sheetView>
  </sheetViews>
  <sheetFormatPr defaultRowHeight="14.45" customHeight="1" outlineLevelRow="2" outlineLevelCol="1"/>
  <cols>
    <col min="1" max="1" width="4.28515625" style="6" customWidth="1"/>
    <col min="2" max="2" width="26.28515625" style="6" customWidth="1"/>
    <col min="3" max="3" width="14.85546875" style="6" hidden="1" customWidth="1"/>
    <col min="4" max="5" width="11.7109375" style="7" hidden="1" customWidth="1"/>
    <col min="6" max="6" width="11.140625" style="6" hidden="1" customWidth="1" outlineLevel="1"/>
    <col min="7" max="7" width="12" style="6" hidden="1" customWidth="1" outlineLevel="1"/>
    <col min="8" max="8" width="12.5703125" style="6" hidden="1" customWidth="1" outlineLevel="1"/>
    <col min="9" max="9" width="12.28515625" style="357" hidden="1" customWidth="1" outlineLevel="1"/>
    <col min="10" max="10" width="11.7109375" style="6" hidden="1" customWidth="1" outlineLevel="1"/>
    <col min="11" max="11" width="13.28515625" style="6" hidden="1" customWidth="1" outlineLevel="1"/>
    <col min="12" max="12" width="12.140625" style="6" hidden="1" customWidth="1" outlineLevel="1"/>
    <col min="13" max="13" width="12.42578125" style="6" hidden="1" customWidth="1" outlineLevel="1"/>
    <col min="14" max="14" width="10.85546875" style="6" hidden="1" customWidth="1" outlineLevel="1"/>
    <col min="15" max="15" width="12.42578125" style="6" hidden="1" customWidth="1" outlineLevel="1"/>
    <col min="16" max="16" width="12.42578125" style="6" hidden="1" customWidth="1" collapsed="1"/>
    <col min="17" max="17" width="12.42578125" style="357" hidden="1" customWidth="1"/>
    <col min="18" max="19" width="10.140625" style="6" hidden="1" customWidth="1"/>
    <col min="20" max="22" width="10.7109375" style="6" hidden="1" customWidth="1"/>
    <col min="23" max="23" width="8.7109375" style="6" hidden="1" customWidth="1"/>
    <col min="24" max="25" width="11.7109375" style="7" hidden="1" customWidth="1"/>
    <col min="26" max="26" width="11.140625" style="6" hidden="1" customWidth="1" outlineLevel="1"/>
    <col min="27" max="27" width="9.7109375" style="6" hidden="1" customWidth="1" outlineLevel="1"/>
    <col min="28" max="28" width="11.28515625" style="6" hidden="1" customWidth="1" outlineLevel="1"/>
    <col min="29" max="29" width="10.85546875" style="357" hidden="1" customWidth="1" outlineLevel="1"/>
    <col min="30" max="30" width="11.7109375" style="6" hidden="1" customWidth="1" outlineLevel="1"/>
    <col min="31" max="32" width="10" style="6" hidden="1" customWidth="1" outlineLevel="1"/>
    <col min="33" max="33" width="11" style="6" hidden="1" customWidth="1" outlineLevel="1"/>
    <col min="34" max="34" width="9.5703125" style="6" hidden="1" customWidth="1" outlineLevel="1"/>
    <col min="35" max="35" width="10.28515625" style="6" hidden="1" customWidth="1" outlineLevel="1"/>
    <col min="36" max="36" width="12.42578125" style="6" hidden="1" customWidth="1" collapsed="1"/>
    <col min="37" max="37" width="10.140625" style="6" hidden="1" customWidth="1"/>
    <col min="38" max="38" width="11.5703125" style="6" hidden="1" customWidth="1"/>
    <col min="39" max="39" width="12.42578125" style="6" hidden="1" customWidth="1"/>
    <col min="40" max="40" width="8.7109375" style="6" hidden="1" customWidth="1"/>
    <col min="41" max="42" width="11.7109375" style="7" hidden="1" customWidth="1"/>
    <col min="43" max="43" width="11.140625" style="6" hidden="1" customWidth="1" outlineLevel="1"/>
    <col min="44" max="44" width="12" style="6" hidden="1" customWidth="1" outlineLevel="1"/>
    <col min="45" max="45" width="12.5703125" style="6" hidden="1" customWidth="1" outlineLevel="1"/>
    <col min="46" max="46" width="12.28515625" style="357" hidden="1" customWidth="1" outlineLevel="1"/>
    <col min="47" max="47" width="11.7109375" style="6" hidden="1" customWidth="1" outlineLevel="1"/>
    <col min="48" max="48" width="10.5703125" style="6" hidden="1" customWidth="1" outlineLevel="1"/>
    <col min="49" max="49" width="9.140625" style="6" hidden="1" customWidth="1" outlineLevel="1"/>
    <col min="50" max="50" width="11.140625" style="6" hidden="1" customWidth="1" outlineLevel="1"/>
    <col min="51" max="52" width="9.140625" style="6" hidden="1" customWidth="1" outlineLevel="1"/>
    <col min="53" max="53" width="12.42578125" style="6" hidden="1" customWidth="1" collapsed="1"/>
    <col min="54" max="54" width="10.85546875" style="7" hidden="1" customWidth="1"/>
    <col min="55" max="55" width="12.140625" style="7" hidden="1" customWidth="1"/>
    <col min="56" max="56" width="13.85546875" style="7" hidden="1" customWidth="1"/>
    <col min="57" max="57" width="11.28515625" style="6" customWidth="1"/>
    <col min="58" max="58" width="14.28515625" style="6" customWidth="1"/>
    <col min="59" max="59" width="11.42578125" style="6" customWidth="1" outlineLevel="1"/>
    <col min="60" max="60" width="11.85546875" style="6" customWidth="1" outlineLevel="1"/>
    <col min="61" max="61" width="14.7109375" style="6" customWidth="1" outlineLevel="1"/>
    <col min="62" max="62" width="12.140625" style="6" customWidth="1" outlineLevel="1"/>
    <col min="63" max="63" width="11" style="6" customWidth="1" outlineLevel="1"/>
    <col min="64" max="64" width="11.140625" style="6" customWidth="1" outlineLevel="1"/>
    <col min="65" max="65" width="10.85546875" style="6" customWidth="1" outlineLevel="1"/>
    <col min="66" max="67" width="11.28515625" style="6" customWidth="1" outlineLevel="1"/>
    <col min="68" max="68" width="12.28515625" style="6" customWidth="1" outlineLevel="1"/>
    <col min="69" max="69" width="10.28515625" style="6" bestFit="1" customWidth="1"/>
    <col min="70" max="70" width="10.140625" style="6" bestFit="1" customWidth="1"/>
    <col min="71" max="71" width="12.28515625" style="6" customWidth="1"/>
    <col min="72" max="72" width="16.85546875" customWidth="1"/>
    <col min="73" max="73" width="11.7109375" style="7" customWidth="1"/>
    <col min="74" max="74" width="11.7109375" style="7" customWidth="1" outlineLevel="1"/>
    <col min="75" max="75" width="11.140625" style="6" customWidth="1" outlineLevel="1"/>
    <col min="76" max="76" width="9.7109375" style="6" customWidth="1" outlineLevel="1"/>
    <col min="77" max="77" width="11.28515625" style="6" customWidth="1" outlineLevel="1"/>
    <col min="78" max="78" width="10.85546875" style="357" customWidth="1" outlineLevel="1"/>
    <col min="79" max="79" width="11.7109375" style="6" customWidth="1" outlineLevel="1"/>
    <col min="80" max="81" width="10" style="6" customWidth="1" outlineLevel="1"/>
    <col min="82" max="82" width="11" style="6" customWidth="1" outlineLevel="1"/>
    <col min="83" max="83" width="9.5703125" style="6" customWidth="1" outlineLevel="1"/>
    <col min="84" max="84" width="10.28515625" style="6" customWidth="1"/>
    <col min="85" max="85" width="12.5703125" style="6" customWidth="1"/>
    <col min="86" max="86" width="12.42578125" style="6" customWidth="1"/>
    <col min="88" max="89" width="11.7109375" style="7" customWidth="1"/>
    <col min="90" max="90" width="11.140625" style="6" customWidth="1" outlineLevel="1"/>
    <col min="91" max="91" width="12" style="6" customWidth="1" outlineLevel="1"/>
    <col min="92" max="92" width="12.5703125" style="6" customWidth="1" outlineLevel="1"/>
    <col min="93" max="93" width="12.28515625" style="357" customWidth="1" outlineLevel="1"/>
    <col min="94" max="94" width="11.7109375" style="6" customWidth="1" outlineLevel="1"/>
    <col min="95" max="95" width="10.5703125" style="6" customWidth="1" outlineLevel="1"/>
    <col min="96" max="96" width="9.140625" style="6" customWidth="1" outlineLevel="1"/>
    <col min="97" max="97" width="11.140625" style="6" customWidth="1" outlineLevel="1"/>
    <col min="98" max="98" width="9.140625" style="6" customWidth="1" outlineLevel="1"/>
    <col min="99" max="99" width="9.140625" style="6" customWidth="1"/>
    <col min="100" max="100" width="10.28515625" style="6" customWidth="1"/>
    <col min="101" max="101" width="15" style="6" customWidth="1"/>
    <col min="102" max="102" width="9.140625" style="6"/>
    <col min="103" max="115" width="9.140625" style="6" customWidth="1" outlineLevel="1"/>
    <col min="116" max="16384" width="9.140625" style="6"/>
  </cols>
  <sheetData>
    <row r="1" spans="1:115" ht="14.45" customHeight="1" thickBot="1">
      <c r="A1" s="1" t="s">
        <v>0</v>
      </c>
      <c r="B1" s="1"/>
      <c r="C1" s="1"/>
      <c r="D1" s="2"/>
      <c r="E1" s="2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4"/>
      <c r="R1" s="3"/>
      <c r="S1" s="3"/>
      <c r="T1" s="3"/>
      <c r="U1" s="3"/>
      <c r="V1" s="3"/>
      <c r="W1" s="3"/>
      <c r="X1" s="2"/>
      <c r="Y1" s="2"/>
      <c r="Z1" s="3"/>
      <c r="AA1" s="3"/>
      <c r="AB1" s="3"/>
      <c r="AC1" s="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5" t="s">
        <v>1</v>
      </c>
      <c r="AP1" s="2"/>
      <c r="AQ1" s="3"/>
      <c r="AR1" s="3"/>
      <c r="AS1" s="3"/>
      <c r="AT1" s="4"/>
      <c r="AU1" s="3"/>
      <c r="BA1" s="3"/>
      <c r="BF1" s="3">
        <v>1000</v>
      </c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U1" s="2"/>
      <c r="BV1" s="2"/>
      <c r="BW1" s="3"/>
      <c r="BX1" s="3"/>
      <c r="BY1" s="3"/>
      <c r="BZ1" s="4"/>
      <c r="CA1" s="3"/>
      <c r="CB1" s="3"/>
      <c r="CC1" s="3"/>
      <c r="CD1" s="3"/>
      <c r="CE1" s="3"/>
      <c r="CF1" s="3"/>
      <c r="CG1" s="3"/>
      <c r="CH1" s="3"/>
      <c r="CJ1" s="5" t="s">
        <v>1</v>
      </c>
      <c r="CK1" s="2"/>
      <c r="CL1" s="3"/>
      <c r="CM1" s="3"/>
      <c r="CN1" s="3"/>
      <c r="CO1" s="4"/>
      <c r="CP1" s="3"/>
      <c r="CW1" s="3"/>
    </row>
    <row r="2" spans="1:115" ht="14.45" customHeight="1" thickBot="1">
      <c r="A2" s="3"/>
      <c r="B2" s="8"/>
      <c r="C2" s="8"/>
      <c r="D2" s="665" t="s">
        <v>2</v>
      </c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7"/>
      <c r="BF2" s="668" t="s">
        <v>3</v>
      </c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70"/>
      <c r="BU2" s="668" t="s">
        <v>3</v>
      </c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70"/>
      <c r="CJ2" s="668" t="s">
        <v>3</v>
      </c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70"/>
      <c r="CY2" s="668" t="s">
        <v>4</v>
      </c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70"/>
    </row>
    <row r="3" spans="1:115" ht="14.45" customHeight="1" thickBot="1">
      <c r="A3" s="9"/>
      <c r="B3" s="10"/>
      <c r="C3" s="11"/>
      <c r="D3" s="671" t="s">
        <v>5</v>
      </c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3"/>
      <c r="W3" s="3"/>
      <c r="X3" s="674" t="s">
        <v>6</v>
      </c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6"/>
      <c r="AN3" s="3"/>
      <c r="AO3" s="656" t="s">
        <v>7</v>
      </c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8"/>
      <c r="BF3" s="659" t="s">
        <v>5</v>
      </c>
      <c r="BG3" s="660"/>
      <c r="BH3" s="660"/>
      <c r="BI3" s="660"/>
      <c r="BJ3" s="660"/>
      <c r="BK3" s="660"/>
      <c r="BL3" s="660"/>
      <c r="BM3" s="660"/>
      <c r="BN3" s="660"/>
      <c r="BO3" s="660"/>
      <c r="BP3" s="660"/>
      <c r="BQ3" s="660"/>
      <c r="BR3" s="660"/>
      <c r="BS3" s="661"/>
      <c r="BU3" s="656" t="s">
        <v>6</v>
      </c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8"/>
      <c r="CJ3" s="656" t="s">
        <v>8</v>
      </c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8"/>
      <c r="CY3" s="659" t="s">
        <v>9</v>
      </c>
      <c r="CZ3" s="660"/>
      <c r="DA3" s="660"/>
      <c r="DB3" s="660"/>
      <c r="DC3" s="660"/>
      <c r="DD3" s="660"/>
      <c r="DE3" s="660"/>
      <c r="DF3" s="660"/>
      <c r="DG3" s="660"/>
      <c r="DH3" s="660"/>
      <c r="DI3" s="660"/>
      <c r="DJ3" s="660"/>
      <c r="DK3" s="661"/>
    </row>
    <row r="4" spans="1:115" ht="14.45" customHeight="1">
      <c r="A4" s="12"/>
      <c r="B4" s="13"/>
      <c r="C4" s="14"/>
      <c r="D4" s="15" t="s">
        <v>10</v>
      </c>
      <c r="E4" s="16" t="s">
        <v>11</v>
      </c>
      <c r="F4" s="16" t="s">
        <v>12</v>
      </c>
      <c r="G4" s="16" t="s">
        <v>13</v>
      </c>
      <c r="H4" s="16" t="s">
        <v>14</v>
      </c>
      <c r="I4" s="16" t="s">
        <v>15</v>
      </c>
      <c r="J4" s="16" t="s">
        <v>16</v>
      </c>
      <c r="K4" s="16" t="s">
        <v>17</v>
      </c>
      <c r="L4" s="16" t="s">
        <v>18</v>
      </c>
      <c r="M4" s="16" t="s">
        <v>19</v>
      </c>
      <c r="N4" s="16" t="s">
        <v>20</v>
      </c>
      <c r="O4" s="17" t="s">
        <v>21</v>
      </c>
      <c r="P4" s="18" t="s">
        <v>22</v>
      </c>
      <c r="Q4" s="18" t="s">
        <v>23</v>
      </c>
      <c r="R4" s="19"/>
      <c r="S4" s="20"/>
      <c r="T4" s="21"/>
      <c r="U4" s="22"/>
      <c r="V4" s="23"/>
      <c r="W4" s="24"/>
      <c r="X4" s="15" t="s">
        <v>10</v>
      </c>
      <c r="Y4" s="16" t="s">
        <v>11</v>
      </c>
      <c r="Z4" s="16" t="s">
        <v>12</v>
      </c>
      <c r="AA4" s="16" t="s">
        <v>13</v>
      </c>
      <c r="AB4" s="16" t="s">
        <v>14</v>
      </c>
      <c r="AC4" s="16" t="s">
        <v>15</v>
      </c>
      <c r="AD4" s="16" t="s">
        <v>16</v>
      </c>
      <c r="AE4" s="16" t="s">
        <v>17</v>
      </c>
      <c r="AF4" s="16" t="s">
        <v>18</v>
      </c>
      <c r="AG4" s="16" t="s">
        <v>19</v>
      </c>
      <c r="AH4" s="16" t="s">
        <v>20</v>
      </c>
      <c r="AI4" s="17" t="s">
        <v>21</v>
      </c>
      <c r="AJ4" s="25" t="s">
        <v>22</v>
      </c>
      <c r="AK4" s="26" t="s">
        <v>24</v>
      </c>
      <c r="AL4" s="27"/>
      <c r="AM4" s="28"/>
      <c r="AN4" s="24"/>
      <c r="AO4" s="15" t="s">
        <v>10</v>
      </c>
      <c r="AP4" s="16" t="s">
        <v>11</v>
      </c>
      <c r="AQ4" s="25" t="s">
        <v>12</v>
      </c>
      <c r="AR4" s="16" t="s">
        <v>13</v>
      </c>
      <c r="AS4" s="16" t="s">
        <v>14</v>
      </c>
      <c r="AT4" s="16" t="s">
        <v>15</v>
      </c>
      <c r="AU4" s="16" t="s">
        <v>16</v>
      </c>
      <c r="AV4" s="16" t="s">
        <v>17</v>
      </c>
      <c r="AW4" s="16" t="s">
        <v>18</v>
      </c>
      <c r="AX4" s="16" t="s">
        <v>19</v>
      </c>
      <c r="AY4" s="16" t="s">
        <v>20</v>
      </c>
      <c r="AZ4" s="16" t="s">
        <v>21</v>
      </c>
      <c r="BA4" s="29" t="s">
        <v>22</v>
      </c>
      <c r="BB4" s="16" t="s">
        <v>24</v>
      </c>
      <c r="BC4" s="30"/>
      <c r="BD4" s="31"/>
      <c r="BF4" s="32" t="s">
        <v>10</v>
      </c>
      <c r="BG4" s="27" t="s">
        <v>11</v>
      </c>
      <c r="BH4" s="26" t="s">
        <v>12</v>
      </c>
      <c r="BI4" s="26" t="s">
        <v>25</v>
      </c>
      <c r="BJ4" s="26" t="s">
        <v>26</v>
      </c>
      <c r="BK4" s="33" t="s">
        <v>15</v>
      </c>
      <c r="BL4" s="34" t="s">
        <v>16</v>
      </c>
      <c r="BM4" s="33" t="s">
        <v>17</v>
      </c>
      <c r="BN4" s="34" t="s">
        <v>18</v>
      </c>
      <c r="BO4" s="33" t="s">
        <v>19</v>
      </c>
      <c r="BP4" s="33" t="s">
        <v>20</v>
      </c>
      <c r="BQ4" s="33" t="s">
        <v>27</v>
      </c>
      <c r="BR4" s="33" t="s">
        <v>28</v>
      </c>
      <c r="BS4" s="35" t="s">
        <v>23</v>
      </c>
      <c r="BU4" s="15" t="s">
        <v>10</v>
      </c>
      <c r="BV4" s="16" t="s">
        <v>11</v>
      </c>
      <c r="BW4" s="16" t="s">
        <v>12</v>
      </c>
      <c r="BX4" s="16" t="s">
        <v>13</v>
      </c>
      <c r="BY4" s="16" t="s">
        <v>14</v>
      </c>
      <c r="BZ4" s="16" t="s">
        <v>15</v>
      </c>
      <c r="CA4" s="27" t="s">
        <v>16</v>
      </c>
      <c r="CB4" s="27" t="s">
        <v>17</v>
      </c>
      <c r="CC4" s="16" t="s">
        <v>18</v>
      </c>
      <c r="CD4" s="16" t="s">
        <v>19</v>
      </c>
      <c r="CE4" s="16" t="s">
        <v>20</v>
      </c>
      <c r="CF4" s="33" t="s">
        <v>27</v>
      </c>
      <c r="CG4" s="33" t="s">
        <v>28</v>
      </c>
      <c r="CH4" s="28" t="s">
        <v>22</v>
      </c>
      <c r="CJ4" s="36" t="s">
        <v>10</v>
      </c>
      <c r="CK4" s="27" t="s">
        <v>11</v>
      </c>
      <c r="CL4" s="27" t="s">
        <v>12</v>
      </c>
      <c r="CM4" s="27" t="s">
        <v>13</v>
      </c>
      <c r="CN4" s="27" t="s">
        <v>14</v>
      </c>
      <c r="CO4" s="27" t="s">
        <v>15</v>
      </c>
      <c r="CP4" s="27" t="s">
        <v>16</v>
      </c>
      <c r="CQ4" s="27" t="s">
        <v>17</v>
      </c>
      <c r="CR4" s="27" t="s">
        <v>18</v>
      </c>
      <c r="CS4" s="27" t="s">
        <v>19</v>
      </c>
      <c r="CT4" s="27" t="s">
        <v>20</v>
      </c>
      <c r="CU4" s="33" t="s">
        <v>27</v>
      </c>
      <c r="CV4" s="27" t="s">
        <v>21</v>
      </c>
      <c r="CW4" s="28" t="s">
        <v>22</v>
      </c>
      <c r="CY4" s="32" t="s">
        <v>10</v>
      </c>
      <c r="CZ4" s="27" t="s">
        <v>11</v>
      </c>
      <c r="DA4" s="26" t="s">
        <v>12</v>
      </c>
      <c r="DB4" s="26" t="s">
        <v>25</v>
      </c>
      <c r="DC4" s="26" t="s">
        <v>26</v>
      </c>
      <c r="DD4" s="33" t="s">
        <v>15</v>
      </c>
      <c r="DE4" s="34" t="s">
        <v>16</v>
      </c>
      <c r="DF4" s="33" t="s">
        <v>17</v>
      </c>
      <c r="DG4" s="34" t="s">
        <v>18</v>
      </c>
      <c r="DH4" s="33" t="s">
        <v>19</v>
      </c>
      <c r="DI4" s="33" t="s">
        <v>20</v>
      </c>
      <c r="DJ4" s="33" t="s">
        <v>21</v>
      </c>
      <c r="DK4" s="35" t="s">
        <v>23</v>
      </c>
    </row>
    <row r="5" spans="1:115" ht="17.25" customHeight="1">
      <c r="A5" s="12"/>
      <c r="B5" s="13"/>
      <c r="C5" s="14"/>
      <c r="D5" s="37"/>
      <c r="E5" s="38"/>
      <c r="F5" s="39"/>
      <c r="G5" s="40"/>
      <c r="H5" s="40"/>
      <c r="I5" s="40"/>
      <c r="J5" s="41"/>
      <c r="K5" s="41"/>
      <c r="L5" s="41"/>
      <c r="M5" s="41"/>
      <c r="N5" s="41"/>
      <c r="O5" s="42"/>
      <c r="P5" s="43"/>
      <c r="Q5" s="43"/>
      <c r="R5" s="41" t="s">
        <v>29</v>
      </c>
      <c r="S5" s="41" t="s">
        <v>30</v>
      </c>
      <c r="T5" s="39" t="s">
        <v>23</v>
      </c>
      <c r="U5" s="44" t="s">
        <v>31</v>
      </c>
      <c r="V5" s="45" t="s">
        <v>31</v>
      </c>
      <c r="W5" s="39"/>
      <c r="X5" s="37"/>
      <c r="Y5" s="46"/>
      <c r="Z5" s="39"/>
      <c r="AA5" s="40"/>
      <c r="AB5" s="40"/>
      <c r="AC5" s="40"/>
      <c r="AD5" s="41"/>
      <c r="AE5" s="41"/>
      <c r="AF5" s="41"/>
      <c r="AG5" s="41"/>
      <c r="AH5" s="41"/>
      <c r="AI5" s="42"/>
      <c r="AJ5" s="47"/>
      <c r="AK5" s="42"/>
      <c r="AL5" s="44" t="s">
        <v>31</v>
      </c>
      <c r="AM5" s="48" t="s">
        <v>32</v>
      </c>
      <c r="AN5" s="39"/>
      <c r="AO5" s="37"/>
      <c r="AP5" s="49"/>
      <c r="AQ5" s="39"/>
      <c r="AR5" s="40"/>
      <c r="AS5" s="40"/>
      <c r="AT5" s="40"/>
      <c r="AU5" s="41"/>
      <c r="AV5" s="41"/>
      <c r="AW5" s="41"/>
      <c r="AX5" s="41"/>
      <c r="AY5" s="41"/>
      <c r="AZ5" s="41"/>
      <c r="BA5" s="39"/>
      <c r="BB5" s="42"/>
      <c r="BC5" s="44" t="s">
        <v>31</v>
      </c>
      <c r="BD5" s="48" t="s">
        <v>32</v>
      </c>
      <c r="BF5" s="50"/>
      <c r="BG5" s="51"/>
      <c r="BH5" s="52"/>
      <c r="BI5" s="52"/>
      <c r="BJ5" s="41"/>
      <c r="BK5" s="41"/>
      <c r="BL5" s="41"/>
      <c r="BM5" s="41"/>
      <c r="BN5" s="41"/>
      <c r="BO5" s="41"/>
      <c r="BP5" s="41"/>
      <c r="BQ5" s="42"/>
      <c r="BR5" s="42"/>
      <c r="BS5" s="53"/>
      <c r="BU5" s="37"/>
      <c r="BV5" s="38"/>
      <c r="BW5" s="39"/>
      <c r="BX5" s="40"/>
      <c r="BY5" s="40"/>
      <c r="BZ5" s="40"/>
      <c r="CA5" s="41"/>
      <c r="CB5" s="41"/>
      <c r="CC5" s="41"/>
      <c r="CD5" s="41"/>
      <c r="CE5" s="41"/>
      <c r="CF5" s="42"/>
      <c r="CG5" s="41"/>
      <c r="CH5" s="54"/>
      <c r="CJ5" s="37"/>
      <c r="CK5" s="38"/>
      <c r="CL5" s="39"/>
      <c r="CM5" s="40"/>
      <c r="CN5" s="40"/>
      <c r="CO5" s="40"/>
      <c r="CP5" s="41"/>
      <c r="CQ5" s="41"/>
      <c r="CR5" s="41"/>
      <c r="CS5" s="41"/>
      <c r="CT5" s="41"/>
      <c r="CU5" s="41"/>
      <c r="CV5" s="41" t="s">
        <v>33</v>
      </c>
      <c r="CW5" s="54"/>
      <c r="CY5" s="50"/>
      <c r="CZ5" s="51"/>
      <c r="DA5" s="52"/>
      <c r="DB5" s="52"/>
      <c r="DC5" s="41"/>
      <c r="DD5" s="41"/>
      <c r="DE5" s="41"/>
      <c r="DF5" s="41"/>
      <c r="DG5" s="41"/>
      <c r="DH5" s="41"/>
      <c r="DI5" s="41"/>
      <c r="DJ5" s="42"/>
      <c r="DK5" s="53"/>
    </row>
    <row r="6" spans="1:115" ht="14.45" customHeight="1" thickBot="1">
      <c r="A6" s="12" t="s">
        <v>34</v>
      </c>
      <c r="B6" s="55"/>
      <c r="C6" s="12"/>
      <c r="D6" s="37" t="s">
        <v>35</v>
      </c>
      <c r="E6" s="51" t="s">
        <v>35</v>
      </c>
      <c r="F6" s="39" t="s">
        <v>35</v>
      </c>
      <c r="G6" s="42" t="s">
        <v>35</v>
      </c>
      <c r="H6" s="41" t="s">
        <v>35</v>
      </c>
      <c r="I6" s="41" t="s">
        <v>35</v>
      </c>
      <c r="J6" s="41" t="s">
        <v>35</v>
      </c>
      <c r="K6" s="41" t="s">
        <v>35</v>
      </c>
      <c r="L6" s="41" t="s">
        <v>35</v>
      </c>
      <c r="M6" s="41" t="s">
        <v>35</v>
      </c>
      <c r="N6" s="41" t="s">
        <v>35</v>
      </c>
      <c r="O6" s="42" t="s">
        <v>35</v>
      </c>
      <c r="P6" s="56" t="s">
        <v>35</v>
      </c>
      <c r="Q6" s="56" t="s">
        <v>35</v>
      </c>
      <c r="R6" s="41" t="s">
        <v>36</v>
      </c>
      <c r="S6" s="41" t="s">
        <v>36</v>
      </c>
      <c r="T6" s="39" t="s">
        <v>36</v>
      </c>
      <c r="U6" s="41" t="s">
        <v>35</v>
      </c>
      <c r="V6" s="57" t="s">
        <v>37</v>
      </c>
      <c r="W6" s="39"/>
      <c r="X6" s="58" t="s">
        <v>35</v>
      </c>
      <c r="Y6" s="59" t="s">
        <v>35</v>
      </c>
      <c r="Z6" s="60" t="s">
        <v>35</v>
      </c>
      <c r="AA6" s="61" t="s">
        <v>35</v>
      </c>
      <c r="AB6" s="62" t="s">
        <v>35</v>
      </c>
      <c r="AC6" s="63" t="s">
        <v>35</v>
      </c>
      <c r="AD6" s="62" t="s">
        <v>35</v>
      </c>
      <c r="AE6" s="63" t="s">
        <v>35</v>
      </c>
      <c r="AF6" s="63" t="s">
        <v>35</v>
      </c>
      <c r="AG6" s="63" t="s">
        <v>35</v>
      </c>
      <c r="AH6" s="62" t="s">
        <v>35</v>
      </c>
      <c r="AI6" s="64" t="s">
        <v>35</v>
      </c>
      <c r="AJ6" s="65" t="s">
        <v>35</v>
      </c>
      <c r="AK6" s="66" t="s">
        <v>35</v>
      </c>
      <c r="AL6" s="62" t="s">
        <v>35</v>
      </c>
      <c r="AM6" s="67" t="s">
        <v>37</v>
      </c>
      <c r="AN6" s="39"/>
      <c r="AO6" s="58" t="s">
        <v>35</v>
      </c>
      <c r="AP6" s="59" t="s">
        <v>35</v>
      </c>
      <c r="AQ6" s="60" t="s">
        <v>35</v>
      </c>
      <c r="AR6" s="61" t="s">
        <v>35</v>
      </c>
      <c r="AS6" s="62" t="s">
        <v>35</v>
      </c>
      <c r="AT6" s="63" t="s">
        <v>35</v>
      </c>
      <c r="AU6" s="62" t="s">
        <v>35</v>
      </c>
      <c r="AV6" s="63" t="s">
        <v>35</v>
      </c>
      <c r="AW6" s="63" t="s">
        <v>35</v>
      </c>
      <c r="AX6" s="63" t="s">
        <v>35</v>
      </c>
      <c r="AY6" s="62" t="s">
        <v>35</v>
      </c>
      <c r="AZ6" s="62" t="s">
        <v>35</v>
      </c>
      <c r="BA6" s="68" t="s">
        <v>35</v>
      </c>
      <c r="BB6" s="66" t="s">
        <v>35</v>
      </c>
      <c r="BC6" s="59"/>
      <c r="BD6" s="69"/>
      <c r="BF6" s="70" t="s">
        <v>35</v>
      </c>
      <c r="BG6" s="59" t="s">
        <v>35</v>
      </c>
      <c r="BH6" s="71" t="s">
        <v>35</v>
      </c>
      <c r="BI6" s="61" t="s">
        <v>35</v>
      </c>
      <c r="BJ6" s="62" t="s">
        <v>35</v>
      </c>
      <c r="BK6" s="63" t="s">
        <v>35</v>
      </c>
      <c r="BL6" s="62" t="s">
        <v>35</v>
      </c>
      <c r="BM6" s="63" t="s">
        <v>35</v>
      </c>
      <c r="BN6" s="63" t="s">
        <v>35</v>
      </c>
      <c r="BO6" s="63" t="s">
        <v>35</v>
      </c>
      <c r="BP6" s="62" t="s">
        <v>35</v>
      </c>
      <c r="BQ6" s="64" t="s">
        <v>35</v>
      </c>
      <c r="BR6" s="64" t="s">
        <v>35</v>
      </c>
      <c r="BS6" s="72" t="s">
        <v>35</v>
      </c>
      <c r="BU6" s="58" t="s">
        <v>35</v>
      </c>
      <c r="BV6" s="59" t="s">
        <v>35</v>
      </c>
      <c r="BW6" s="60" t="s">
        <v>35</v>
      </c>
      <c r="BX6" s="61" t="s">
        <v>35</v>
      </c>
      <c r="BY6" s="62" t="s">
        <v>35</v>
      </c>
      <c r="BZ6" s="63" t="s">
        <v>35</v>
      </c>
      <c r="CA6" s="62" t="s">
        <v>35</v>
      </c>
      <c r="CB6" s="63" t="s">
        <v>35</v>
      </c>
      <c r="CC6" s="63" t="s">
        <v>35</v>
      </c>
      <c r="CD6" s="63" t="s">
        <v>35</v>
      </c>
      <c r="CE6" s="62" t="s">
        <v>35</v>
      </c>
      <c r="CF6" s="64" t="s">
        <v>35</v>
      </c>
      <c r="CG6" s="62" t="s">
        <v>35</v>
      </c>
      <c r="CH6" s="69" t="s">
        <v>35</v>
      </c>
      <c r="CJ6" s="58" t="s">
        <v>35</v>
      </c>
      <c r="CK6" s="59" t="s">
        <v>35</v>
      </c>
      <c r="CL6" s="60" t="s">
        <v>35</v>
      </c>
      <c r="CM6" s="61" t="s">
        <v>35</v>
      </c>
      <c r="CN6" s="62" t="s">
        <v>35</v>
      </c>
      <c r="CO6" s="63" t="s">
        <v>35</v>
      </c>
      <c r="CP6" s="62" t="s">
        <v>35</v>
      </c>
      <c r="CQ6" s="63" t="s">
        <v>35</v>
      </c>
      <c r="CR6" s="63" t="s">
        <v>35</v>
      </c>
      <c r="CS6" s="63" t="s">
        <v>35</v>
      </c>
      <c r="CT6" s="62" t="s">
        <v>35</v>
      </c>
      <c r="CU6" s="62" t="s">
        <v>35</v>
      </c>
      <c r="CV6" s="62" t="s">
        <v>35</v>
      </c>
      <c r="CW6" s="69" t="s">
        <v>35</v>
      </c>
      <c r="CY6" s="70" t="s">
        <v>35</v>
      </c>
      <c r="CZ6" s="59" t="s">
        <v>35</v>
      </c>
      <c r="DA6" s="71" t="s">
        <v>35</v>
      </c>
      <c r="DB6" s="61" t="s">
        <v>35</v>
      </c>
      <c r="DC6" s="62" t="s">
        <v>35</v>
      </c>
      <c r="DD6" s="63" t="s">
        <v>35</v>
      </c>
      <c r="DE6" s="62" t="s">
        <v>35</v>
      </c>
      <c r="DF6" s="63" t="s">
        <v>35</v>
      </c>
      <c r="DG6" s="63" t="s">
        <v>35</v>
      </c>
      <c r="DH6" s="63" t="s">
        <v>35</v>
      </c>
      <c r="DI6" s="62" t="s">
        <v>35</v>
      </c>
      <c r="DJ6" s="64" t="s">
        <v>35</v>
      </c>
      <c r="DK6" s="72" t="s">
        <v>35</v>
      </c>
    </row>
    <row r="7" spans="1:115" ht="14.45" customHeight="1" outlineLevel="1">
      <c r="A7" s="9" t="s">
        <v>38</v>
      </c>
      <c r="B7" s="10"/>
      <c r="C7" s="11"/>
      <c r="D7" s="73"/>
      <c r="E7" s="74"/>
      <c r="F7" s="11"/>
      <c r="G7" s="75"/>
      <c r="H7" s="76"/>
      <c r="I7" s="77"/>
      <c r="J7" s="76"/>
      <c r="K7" s="76"/>
      <c r="L7" s="76"/>
      <c r="M7" s="76"/>
      <c r="N7" s="76"/>
      <c r="O7" s="75"/>
      <c r="P7" s="78"/>
      <c r="Q7" s="79"/>
      <c r="R7" s="80"/>
      <c r="S7" s="80"/>
      <c r="T7" s="81"/>
      <c r="U7" s="80"/>
      <c r="V7" s="82"/>
      <c r="W7" s="3"/>
      <c r="X7" s="83"/>
      <c r="Y7" s="74"/>
      <c r="Z7" s="11"/>
      <c r="AA7" s="84"/>
      <c r="AB7" s="76"/>
      <c r="AC7" s="85"/>
      <c r="AD7" s="76"/>
      <c r="AE7" s="86"/>
      <c r="AF7" s="76"/>
      <c r="AG7" s="76"/>
      <c r="AH7" s="76"/>
      <c r="AI7" s="75"/>
      <c r="AJ7" s="87"/>
      <c r="AK7" s="88"/>
      <c r="AL7" s="89"/>
      <c r="AM7" s="90"/>
      <c r="AN7" s="3"/>
      <c r="AO7" s="83"/>
      <c r="AP7" s="74"/>
      <c r="AQ7" s="11"/>
      <c r="AR7" s="84"/>
      <c r="AS7" s="76"/>
      <c r="AT7" s="85"/>
      <c r="AU7" s="76"/>
      <c r="AV7" s="86"/>
      <c r="AW7" s="76"/>
      <c r="AX7" s="76"/>
      <c r="AY7" s="76"/>
      <c r="AZ7" s="76"/>
      <c r="BA7" s="75"/>
      <c r="BB7" s="89"/>
      <c r="BC7" s="89"/>
      <c r="BD7" s="90"/>
      <c r="BF7" s="91"/>
      <c r="BG7" s="74"/>
      <c r="BH7" s="75"/>
      <c r="BI7" s="84"/>
      <c r="BJ7" s="76"/>
      <c r="BK7" s="85"/>
      <c r="BL7" s="77"/>
      <c r="BM7" s="85"/>
      <c r="BN7" s="77"/>
      <c r="BO7" s="77"/>
      <c r="BP7" s="77"/>
      <c r="BQ7" s="92"/>
      <c r="BR7" s="93"/>
      <c r="BS7" s="94"/>
      <c r="BU7" s="83"/>
      <c r="BV7" s="74"/>
      <c r="BW7" s="11"/>
      <c r="BX7" s="84"/>
      <c r="BY7" s="76"/>
      <c r="BZ7" s="85"/>
      <c r="CA7" s="76"/>
      <c r="CB7" s="86"/>
      <c r="CC7" s="76"/>
      <c r="CD7" s="76"/>
      <c r="CE7" s="76"/>
      <c r="CF7" s="75"/>
      <c r="CG7" s="76"/>
      <c r="CH7" s="13"/>
      <c r="CJ7" s="83"/>
      <c r="CK7" s="74"/>
      <c r="CL7" s="11"/>
      <c r="CM7" s="84"/>
      <c r="CN7" s="76"/>
      <c r="CO7" s="85"/>
      <c r="CP7" s="76"/>
      <c r="CQ7" s="86"/>
      <c r="CR7" s="76"/>
      <c r="CS7" s="76"/>
      <c r="CT7" s="76"/>
      <c r="CU7" s="76"/>
      <c r="CV7" s="76"/>
      <c r="CW7" s="95"/>
      <c r="CY7" s="91"/>
      <c r="CZ7" s="74"/>
      <c r="DA7" s="75"/>
      <c r="DB7" s="84"/>
      <c r="DC7" s="76"/>
      <c r="DD7" s="85"/>
      <c r="DE7" s="77"/>
      <c r="DF7" s="85"/>
      <c r="DG7" s="77"/>
      <c r="DH7" s="77"/>
      <c r="DI7" s="77"/>
      <c r="DJ7" s="92"/>
      <c r="DK7" s="94"/>
    </row>
    <row r="8" spans="1:115" ht="14.45" customHeight="1" outlineLevel="2">
      <c r="A8" s="12" t="s">
        <v>39</v>
      </c>
      <c r="B8" s="13"/>
      <c r="C8" s="14"/>
      <c r="D8" s="83"/>
      <c r="E8" s="96"/>
      <c r="F8" s="14"/>
      <c r="G8" s="84"/>
      <c r="H8" s="86"/>
      <c r="I8" s="85"/>
      <c r="J8" s="86"/>
      <c r="K8" s="86"/>
      <c r="L8" s="86"/>
      <c r="M8" s="86"/>
      <c r="N8" s="86"/>
      <c r="O8" s="84"/>
      <c r="P8" s="97"/>
      <c r="Q8" s="98"/>
      <c r="R8" s="88"/>
      <c r="S8" s="89"/>
      <c r="T8" s="88"/>
      <c r="U8" s="89"/>
      <c r="V8" s="90"/>
      <c r="W8" s="3"/>
      <c r="X8" s="91"/>
      <c r="Y8" s="96"/>
      <c r="Z8" s="14"/>
      <c r="AA8" s="84"/>
      <c r="AB8" s="86"/>
      <c r="AC8" s="85"/>
      <c r="AD8" s="86"/>
      <c r="AE8" s="86"/>
      <c r="AF8" s="86"/>
      <c r="AG8" s="86"/>
      <c r="AH8" s="86"/>
      <c r="AI8" s="84"/>
      <c r="AJ8" s="87"/>
      <c r="AK8" s="88"/>
      <c r="AL8" s="89"/>
      <c r="AM8" s="90"/>
      <c r="AN8" s="3"/>
      <c r="AO8" s="83"/>
      <c r="AP8" s="96"/>
      <c r="AQ8" s="14"/>
      <c r="AR8" s="84"/>
      <c r="AS8" s="86"/>
      <c r="AT8" s="85"/>
      <c r="AU8" s="86"/>
      <c r="AV8" s="86"/>
      <c r="AW8" s="86"/>
      <c r="AX8" s="86"/>
      <c r="AY8" s="86"/>
      <c r="AZ8" s="86"/>
      <c r="BA8" s="84"/>
      <c r="BB8" s="89"/>
      <c r="BC8" s="89"/>
      <c r="BD8" s="90"/>
      <c r="BF8" s="91"/>
      <c r="BG8" s="96"/>
      <c r="BH8" s="14"/>
      <c r="BI8" s="84"/>
      <c r="BJ8" s="86"/>
      <c r="BK8" s="85"/>
      <c r="BL8" s="85"/>
      <c r="BM8" s="85"/>
      <c r="BN8" s="85"/>
      <c r="BO8" s="85"/>
      <c r="BP8" s="85"/>
      <c r="BQ8" s="93"/>
      <c r="BR8" s="93"/>
      <c r="BS8" s="94"/>
      <c r="BU8" s="83"/>
      <c r="BV8" s="96"/>
      <c r="BW8" s="14"/>
      <c r="BX8" s="84"/>
      <c r="BY8" s="86"/>
      <c r="BZ8" s="85"/>
      <c r="CA8" s="86"/>
      <c r="CB8" s="86"/>
      <c r="CC8" s="86"/>
      <c r="CD8" s="86"/>
      <c r="CE8" s="86"/>
      <c r="CF8" s="84"/>
      <c r="CG8" s="86"/>
      <c r="CH8" s="13"/>
      <c r="CJ8" s="83"/>
      <c r="CK8" s="96"/>
      <c r="CL8" s="14"/>
      <c r="CM8" s="84"/>
      <c r="CN8" s="86"/>
      <c r="CO8" s="85"/>
      <c r="CP8" s="86"/>
      <c r="CQ8" s="86"/>
      <c r="CR8" s="86"/>
      <c r="CS8" s="86"/>
      <c r="CT8" s="86"/>
      <c r="CU8" s="86"/>
      <c r="CV8" s="86"/>
      <c r="CW8" s="99"/>
      <c r="CY8" s="91"/>
      <c r="CZ8" s="96"/>
      <c r="DA8" s="14"/>
      <c r="DB8" s="84"/>
      <c r="DC8" s="86"/>
      <c r="DD8" s="85"/>
      <c r="DE8" s="85"/>
      <c r="DF8" s="85"/>
      <c r="DG8" s="85"/>
      <c r="DH8" s="85"/>
      <c r="DI8" s="85"/>
      <c r="DJ8" s="93"/>
      <c r="DK8" s="94"/>
    </row>
    <row r="9" spans="1:115" ht="14.45" customHeight="1" outlineLevel="2">
      <c r="A9" s="12" t="s">
        <v>40</v>
      </c>
      <c r="B9" s="13"/>
      <c r="C9" s="14"/>
      <c r="D9" s="83"/>
      <c r="E9" s="96"/>
      <c r="F9" s="14"/>
      <c r="G9" s="84"/>
      <c r="H9" s="86"/>
      <c r="I9" s="85"/>
      <c r="J9" s="86"/>
      <c r="K9" s="86"/>
      <c r="L9" s="86"/>
      <c r="M9" s="86"/>
      <c r="N9" s="86"/>
      <c r="O9" s="84"/>
      <c r="P9" s="97"/>
      <c r="Q9" s="98"/>
      <c r="R9" s="88"/>
      <c r="S9" s="89"/>
      <c r="T9" s="88"/>
      <c r="U9" s="89"/>
      <c r="V9" s="90"/>
      <c r="W9" s="3"/>
      <c r="X9" s="91"/>
      <c r="Y9" s="96"/>
      <c r="Z9" s="14"/>
      <c r="AA9" s="84"/>
      <c r="AB9" s="86"/>
      <c r="AC9" s="85"/>
      <c r="AD9" s="86"/>
      <c r="AE9" s="86"/>
      <c r="AF9" s="86"/>
      <c r="AG9" s="86"/>
      <c r="AH9" s="86"/>
      <c r="AI9" s="84"/>
      <c r="AJ9" s="87"/>
      <c r="AK9" s="88"/>
      <c r="AL9" s="89"/>
      <c r="AM9" s="90"/>
      <c r="AN9" s="3"/>
      <c r="AO9" s="83"/>
      <c r="AP9" s="96"/>
      <c r="AQ9" s="14"/>
      <c r="AR9" s="84"/>
      <c r="AS9" s="86"/>
      <c r="AT9" s="85"/>
      <c r="AU9" s="86"/>
      <c r="AV9" s="86"/>
      <c r="AW9" s="86"/>
      <c r="AX9" s="86"/>
      <c r="AY9" s="86"/>
      <c r="AZ9" s="86"/>
      <c r="BA9" s="84"/>
      <c r="BB9" s="89"/>
      <c r="BC9" s="89"/>
      <c r="BD9" s="90"/>
      <c r="BF9" s="91"/>
      <c r="BG9" s="96"/>
      <c r="BH9" s="14"/>
      <c r="BI9" s="84"/>
      <c r="BJ9" s="86"/>
      <c r="BK9" s="85"/>
      <c r="BL9" s="85"/>
      <c r="BM9" s="85"/>
      <c r="BN9" s="85"/>
      <c r="BO9" s="85"/>
      <c r="BP9" s="85"/>
      <c r="BQ9" s="93"/>
      <c r="BR9" s="93"/>
      <c r="BS9" s="94"/>
      <c r="BU9" s="83"/>
      <c r="BV9" s="96"/>
      <c r="BW9" s="14"/>
      <c r="BX9" s="84"/>
      <c r="BY9" s="86"/>
      <c r="BZ9" s="85"/>
      <c r="CA9" s="86"/>
      <c r="CB9" s="86"/>
      <c r="CC9" s="86"/>
      <c r="CD9" s="86"/>
      <c r="CE9" s="86"/>
      <c r="CF9" s="84"/>
      <c r="CG9" s="86"/>
      <c r="CH9" s="13"/>
      <c r="CJ9" s="83"/>
      <c r="CK9" s="96"/>
      <c r="CL9" s="14"/>
      <c r="CM9" s="84"/>
      <c r="CN9" s="86"/>
      <c r="CO9" s="85"/>
      <c r="CP9" s="86"/>
      <c r="CQ9" s="86"/>
      <c r="CR9" s="86"/>
      <c r="CS9" s="86"/>
      <c r="CT9" s="86"/>
      <c r="CU9" s="86"/>
      <c r="CV9" s="86"/>
      <c r="CW9" s="99"/>
      <c r="CY9" s="91"/>
      <c r="CZ9" s="96"/>
      <c r="DA9" s="14"/>
      <c r="DB9" s="84"/>
      <c r="DC9" s="86"/>
      <c r="DD9" s="85"/>
      <c r="DE9" s="85"/>
      <c r="DF9" s="85"/>
      <c r="DG9" s="85"/>
      <c r="DH9" s="85"/>
      <c r="DI9" s="85"/>
      <c r="DJ9" s="93"/>
      <c r="DK9" s="94"/>
    </row>
    <row r="10" spans="1:115" ht="14.45" customHeight="1" outlineLevel="2">
      <c r="A10" s="12" t="s">
        <v>41</v>
      </c>
      <c r="B10" s="13"/>
      <c r="C10" s="14"/>
      <c r="D10" s="83"/>
      <c r="E10" s="96"/>
      <c r="F10" s="14"/>
      <c r="G10" s="84"/>
      <c r="H10" s="86"/>
      <c r="I10" s="85"/>
      <c r="J10" s="86"/>
      <c r="K10" s="86"/>
      <c r="L10" s="86"/>
      <c r="M10" s="86"/>
      <c r="N10" s="86"/>
      <c r="O10" s="84"/>
      <c r="P10" s="97"/>
      <c r="Q10" s="98"/>
      <c r="R10" s="88"/>
      <c r="S10" s="89"/>
      <c r="T10" s="88"/>
      <c r="U10" s="89"/>
      <c r="V10" s="90"/>
      <c r="W10" s="3"/>
      <c r="X10" s="91"/>
      <c r="Y10" s="96"/>
      <c r="Z10" s="14"/>
      <c r="AA10" s="84"/>
      <c r="AB10" s="86"/>
      <c r="AC10" s="85"/>
      <c r="AD10" s="86"/>
      <c r="AE10" s="86"/>
      <c r="AF10" s="86"/>
      <c r="AG10" s="86"/>
      <c r="AH10" s="86"/>
      <c r="AI10" s="84"/>
      <c r="AJ10" s="87"/>
      <c r="AK10" s="88"/>
      <c r="AL10" s="89"/>
      <c r="AM10" s="90"/>
      <c r="AN10" s="3"/>
      <c r="AO10" s="83"/>
      <c r="AP10" s="96"/>
      <c r="AQ10" s="14"/>
      <c r="AR10" s="84"/>
      <c r="AS10" s="86"/>
      <c r="AT10" s="85"/>
      <c r="AU10" s="86"/>
      <c r="AV10" s="86"/>
      <c r="AW10" s="86"/>
      <c r="AX10" s="86"/>
      <c r="AY10" s="86"/>
      <c r="AZ10" s="86"/>
      <c r="BA10" s="84"/>
      <c r="BB10" s="89"/>
      <c r="BC10" s="89"/>
      <c r="BD10" s="90"/>
      <c r="BF10" s="91"/>
      <c r="BG10" s="96"/>
      <c r="BH10" s="14"/>
      <c r="BI10" s="84"/>
      <c r="BJ10" s="86"/>
      <c r="BK10" s="85"/>
      <c r="BL10" s="85"/>
      <c r="BM10" s="85"/>
      <c r="BN10" s="85"/>
      <c r="BO10" s="85"/>
      <c r="BP10" s="85"/>
      <c r="BQ10" s="93"/>
      <c r="BR10" s="93"/>
      <c r="BS10" s="94"/>
      <c r="BU10" s="83"/>
      <c r="BV10" s="96"/>
      <c r="BW10" s="14"/>
      <c r="BX10" s="84"/>
      <c r="BY10" s="86"/>
      <c r="BZ10" s="85"/>
      <c r="CA10" s="86"/>
      <c r="CB10" s="86"/>
      <c r="CC10" s="86"/>
      <c r="CD10" s="86"/>
      <c r="CE10" s="86"/>
      <c r="CF10" s="84"/>
      <c r="CG10" s="86"/>
      <c r="CH10" s="13"/>
      <c r="CJ10" s="83"/>
      <c r="CK10" s="96"/>
      <c r="CL10" s="14"/>
      <c r="CM10" s="84"/>
      <c r="CN10" s="86"/>
      <c r="CO10" s="85"/>
      <c r="CP10" s="86"/>
      <c r="CQ10" s="86"/>
      <c r="CR10" s="86"/>
      <c r="CS10" s="86"/>
      <c r="CT10" s="86"/>
      <c r="CU10" s="86"/>
      <c r="CV10" s="86"/>
      <c r="CW10" s="99"/>
      <c r="CY10" s="91"/>
      <c r="CZ10" s="96"/>
      <c r="DA10" s="14"/>
      <c r="DB10" s="84"/>
      <c r="DC10" s="86"/>
      <c r="DD10" s="85"/>
      <c r="DE10" s="85"/>
      <c r="DF10" s="85"/>
      <c r="DG10" s="85"/>
      <c r="DH10" s="85"/>
      <c r="DI10" s="85"/>
      <c r="DJ10" s="93"/>
      <c r="DK10" s="94"/>
    </row>
    <row r="11" spans="1:115" ht="14.45" customHeight="1" outlineLevel="2">
      <c r="A11" s="12" t="s">
        <v>42</v>
      </c>
      <c r="B11" s="13"/>
      <c r="C11" s="14"/>
      <c r="D11" s="83"/>
      <c r="E11" s="96"/>
      <c r="F11" s="14"/>
      <c r="G11" s="84"/>
      <c r="H11" s="86"/>
      <c r="I11" s="85"/>
      <c r="J11" s="86"/>
      <c r="K11" s="86"/>
      <c r="L11" s="86"/>
      <c r="M11" s="86"/>
      <c r="N11" s="86"/>
      <c r="O11" s="84"/>
      <c r="P11" s="97"/>
      <c r="Q11" s="98"/>
      <c r="R11" s="88"/>
      <c r="S11" s="89"/>
      <c r="T11" s="88"/>
      <c r="U11" s="89"/>
      <c r="V11" s="90"/>
      <c r="W11" s="3"/>
      <c r="X11" s="91"/>
      <c r="Y11" s="96"/>
      <c r="Z11" s="14"/>
      <c r="AA11" s="84"/>
      <c r="AB11" s="86"/>
      <c r="AC11" s="85"/>
      <c r="AD11" s="86"/>
      <c r="AE11" s="86"/>
      <c r="AF11" s="86"/>
      <c r="AG11" s="86"/>
      <c r="AH11" s="86"/>
      <c r="AI11" s="84"/>
      <c r="AJ11" s="87"/>
      <c r="AK11" s="88"/>
      <c r="AL11" s="89"/>
      <c r="AM11" s="90"/>
      <c r="AN11" s="3"/>
      <c r="AO11" s="83"/>
      <c r="AP11" s="96"/>
      <c r="AQ11" s="14"/>
      <c r="AR11" s="84"/>
      <c r="AS11" s="86"/>
      <c r="AT11" s="85"/>
      <c r="AU11" s="86"/>
      <c r="AV11" s="86"/>
      <c r="AW11" s="86"/>
      <c r="AX11" s="86"/>
      <c r="AY11" s="86"/>
      <c r="AZ11" s="86"/>
      <c r="BA11" s="84"/>
      <c r="BB11" s="89"/>
      <c r="BC11" s="89"/>
      <c r="BD11" s="90"/>
      <c r="BF11" s="91"/>
      <c r="BG11" s="96"/>
      <c r="BH11" s="14"/>
      <c r="BI11" s="84"/>
      <c r="BJ11" s="86"/>
      <c r="BK11" s="85"/>
      <c r="BL11" s="85"/>
      <c r="BM11" s="85"/>
      <c r="BN11" s="85"/>
      <c r="BO11" s="85"/>
      <c r="BP11" s="85"/>
      <c r="BQ11" s="93"/>
      <c r="BR11" s="93"/>
      <c r="BS11" s="94"/>
      <c r="BU11" s="83"/>
      <c r="BV11" s="96"/>
      <c r="BW11" s="14"/>
      <c r="BX11" s="84"/>
      <c r="BY11" s="86"/>
      <c r="BZ11" s="85"/>
      <c r="CA11" s="86"/>
      <c r="CB11" s="86"/>
      <c r="CC11" s="86"/>
      <c r="CD11" s="86"/>
      <c r="CE11" s="86"/>
      <c r="CF11" s="84"/>
      <c r="CG11" s="86"/>
      <c r="CH11" s="13"/>
      <c r="CJ11" s="83"/>
      <c r="CK11" s="96"/>
      <c r="CL11" s="14"/>
      <c r="CM11" s="84"/>
      <c r="CN11" s="86"/>
      <c r="CO11" s="85"/>
      <c r="CP11" s="86"/>
      <c r="CQ11" s="86"/>
      <c r="CR11" s="86"/>
      <c r="CS11" s="86"/>
      <c r="CT11" s="86"/>
      <c r="CU11" s="86"/>
      <c r="CV11" s="86"/>
      <c r="CW11" s="99"/>
      <c r="CY11" s="91"/>
      <c r="CZ11" s="96"/>
      <c r="DA11" s="14"/>
      <c r="DB11" s="84"/>
      <c r="DC11" s="86"/>
      <c r="DD11" s="85"/>
      <c r="DE11" s="85"/>
      <c r="DF11" s="85"/>
      <c r="DG11" s="85"/>
      <c r="DH11" s="85"/>
      <c r="DI11" s="85"/>
      <c r="DJ11" s="93"/>
      <c r="DK11" s="94"/>
    </row>
    <row r="12" spans="1:115" ht="14.45" customHeight="1" outlineLevel="1">
      <c r="A12" s="12" t="s">
        <v>43</v>
      </c>
      <c r="B12" s="13"/>
      <c r="C12" s="14"/>
      <c r="D12" s="91">
        <f>[24]Mar!Y10</f>
        <v>34222200</v>
      </c>
      <c r="E12" s="96">
        <f>[24]Apr!T10</f>
        <v>43803100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100">
        <f>SUM(D12:O12)</f>
        <v>78025300</v>
      </c>
      <c r="Q12" s="101">
        <f>SUM(BS12)</f>
        <v>64517599.989999995</v>
      </c>
      <c r="R12" s="89">
        <f>IF(ISERROR((($E12-$D12)/ABS($D12)+1)*100),0,(($E12-$D12)/ABS($D12)+1)*100)</f>
        <v>127.9961545429575</v>
      </c>
      <c r="S12" s="89">
        <f>IF(ISERROR((($E12-$BG12)/ABS($BG12)+1)*100),0,(($E12-$BG12)/ABS($BG12)+1)*100)</f>
        <v>116.89274115427415</v>
      </c>
      <c r="T12" s="88">
        <f>IF(ISERROR((($P12-$BG12)/ABS($BG12)+1)*100),0,(($P12-$BG12)/ABS($BG12)+1)*100)</f>
        <v>208.21793883046152</v>
      </c>
      <c r="U12" s="96">
        <f>(+'[24]PF resc'!D12)*1000</f>
        <v>50000000</v>
      </c>
      <c r="V12" s="90">
        <f>IF(ISERROR((($E12-$U12)/ABS($U12)+1)*100),0,(($E12-$U12)/ABS($U12)+1)*100)</f>
        <v>87.606200000000001</v>
      </c>
      <c r="W12" s="3"/>
      <c r="X12" s="91">
        <f t="shared" ref="X12:AI12" si="0">D12</f>
        <v>34222200</v>
      </c>
      <c r="Y12" s="96">
        <f t="shared" si="0"/>
        <v>43803100</v>
      </c>
      <c r="Z12" s="96">
        <f t="shared" si="0"/>
        <v>0</v>
      </c>
      <c r="AA12" s="96">
        <f t="shared" si="0"/>
        <v>0</v>
      </c>
      <c r="AB12" s="96">
        <f t="shared" si="0"/>
        <v>0</v>
      </c>
      <c r="AC12" s="96">
        <f t="shared" si="0"/>
        <v>0</v>
      </c>
      <c r="AD12" s="96">
        <f t="shared" si="0"/>
        <v>0</v>
      </c>
      <c r="AE12" s="96">
        <f t="shared" si="0"/>
        <v>0</v>
      </c>
      <c r="AF12" s="96">
        <f t="shared" si="0"/>
        <v>0</v>
      </c>
      <c r="AG12" s="96">
        <f t="shared" si="0"/>
        <v>0</v>
      </c>
      <c r="AH12" s="96">
        <f t="shared" si="0"/>
        <v>0</v>
      </c>
      <c r="AI12" s="102">
        <f t="shared" si="0"/>
        <v>0</v>
      </c>
      <c r="AJ12" s="103">
        <f>SUM(X12:AI12)</f>
        <v>78025300</v>
      </c>
      <c r="AK12" s="88">
        <f>IF(ISERROR((($Y12-$X12)/ABS($X12)+1)*100),0,(($Y12-$X12)/ABS($X12)+1)*100)</f>
        <v>127.9961545429575</v>
      </c>
      <c r="AL12" s="96">
        <f>(+'[24]PF resc'!R12)*1000</f>
        <v>50000000</v>
      </c>
      <c r="AM12" s="90">
        <f>IF(ISERROR((($Y12-$AL12)/ABS($AL12)+1)*100),0,(($Y12-$AL12)/ABS($AL12)+1)*100)</f>
        <v>87.606200000000001</v>
      </c>
      <c r="AN12" s="3"/>
      <c r="AO12" s="91">
        <f>[24]Mar!BQ10+[24]Mar!BQ11</f>
        <v>0</v>
      </c>
      <c r="AP12" s="96">
        <f>[24]Apr!BL10+[24]Apr!BL11</f>
        <v>0</v>
      </c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02">
        <f>SUM(AO12:AZ12)</f>
        <v>0</v>
      </c>
      <c r="BB12" s="89">
        <f>IF(ISERROR((($AP12-$AO12)/ABS($AO12)+1)*100),0,(($AP12-$AO12)/ABS($AO12)+1)*100)</f>
        <v>0</v>
      </c>
      <c r="BC12" s="89"/>
      <c r="BD12" s="90"/>
      <c r="BF12" s="91">
        <v>27044699.989999998</v>
      </c>
      <c r="BG12" s="96">
        <v>37472900</v>
      </c>
      <c r="BH12" s="104">
        <v>31726200</v>
      </c>
      <c r="BI12" s="102">
        <v>38579000</v>
      </c>
      <c r="BJ12" s="96">
        <v>39319500</v>
      </c>
      <c r="BK12" s="96">
        <v>27838467</v>
      </c>
      <c r="BL12" s="96">
        <v>29589900</v>
      </c>
      <c r="BM12" s="96">
        <v>30044800</v>
      </c>
      <c r="BN12" s="96">
        <v>34680900</v>
      </c>
      <c r="BO12" s="96">
        <v>30519300</v>
      </c>
      <c r="BP12" s="96">
        <v>24692900</v>
      </c>
      <c r="BQ12" s="102">
        <v>29607900</v>
      </c>
      <c r="BR12" s="102">
        <v>6926000</v>
      </c>
      <c r="BS12" s="94">
        <f>SUM(BF12:BG12)</f>
        <v>64517599.989999995</v>
      </c>
      <c r="BU12" s="83">
        <v>27044699.990000002</v>
      </c>
      <c r="BV12" s="96">
        <v>37472900</v>
      </c>
      <c r="BW12" s="96">
        <v>31726200</v>
      </c>
      <c r="BX12" s="96">
        <v>38579000</v>
      </c>
      <c r="BY12" s="96">
        <v>39319500</v>
      </c>
      <c r="BZ12" s="96">
        <v>27838467</v>
      </c>
      <c r="CA12" s="96">
        <v>29589900</v>
      </c>
      <c r="CB12" s="96">
        <v>30044800</v>
      </c>
      <c r="CC12" s="96">
        <v>34680900</v>
      </c>
      <c r="CD12" s="96">
        <v>30519300</v>
      </c>
      <c r="CE12" s="96">
        <v>24692900</v>
      </c>
      <c r="CF12" s="102">
        <v>29607900</v>
      </c>
      <c r="CG12" s="96">
        <v>6926000</v>
      </c>
      <c r="CH12" s="105">
        <v>388042466.99000001</v>
      </c>
      <c r="CJ12" s="83">
        <v>0</v>
      </c>
      <c r="CK12" s="96">
        <v>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6"/>
      <c r="CR12" s="96"/>
      <c r="CS12" s="96"/>
      <c r="CT12" s="96"/>
      <c r="CU12" s="96"/>
      <c r="CV12" s="96"/>
      <c r="CW12" s="106">
        <v>0</v>
      </c>
      <c r="CY12" s="91">
        <v>48189453.439999998</v>
      </c>
      <c r="CZ12" s="96">
        <v>62566279.039999999</v>
      </c>
      <c r="DA12" s="104">
        <v>60552724.920000002</v>
      </c>
      <c r="DB12" s="102">
        <v>66495339.950000003</v>
      </c>
      <c r="DC12" s="96">
        <v>55106227.959999993</v>
      </c>
      <c r="DD12" s="96">
        <v>33788904</v>
      </c>
      <c r="DE12" s="96">
        <f>44237445.69-DE13</f>
        <v>41461100.009999998</v>
      </c>
      <c r="DF12" s="96">
        <f>36249310.61-DF13</f>
        <v>34095700</v>
      </c>
      <c r="DG12" s="96">
        <f>54780945.68-DG13</f>
        <v>42204100.009999998</v>
      </c>
      <c r="DH12" s="96">
        <f>39984095.57-DH13</f>
        <v>37157200.230000004</v>
      </c>
      <c r="DI12" s="96">
        <f>22563671.98-DI13</f>
        <v>20291999.75</v>
      </c>
      <c r="DJ12" s="102">
        <f>27911010.11-DJ13</f>
        <v>25090800.02</v>
      </c>
      <c r="DK12" s="94">
        <f>SUM(CY12:DJ12)</f>
        <v>526999829.32999992</v>
      </c>
    </row>
    <row r="13" spans="1:115" ht="14.45" customHeight="1" outlineLevel="1">
      <c r="A13" s="12" t="s">
        <v>44</v>
      </c>
      <c r="B13" s="13"/>
      <c r="C13" s="14"/>
      <c r="D13" s="91">
        <f>+[24]Mar!Y11</f>
        <v>932688.87</v>
      </c>
      <c r="E13" s="96">
        <f>+[24]Apr!T11</f>
        <v>0</v>
      </c>
      <c r="F13" s="104"/>
      <c r="G13" s="102"/>
      <c r="H13" s="96"/>
      <c r="I13" s="96"/>
      <c r="J13" s="96"/>
      <c r="K13" s="96"/>
      <c r="L13" s="96"/>
      <c r="M13" s="96"/>
      <c r="N13" s="96"/>
      <c r="O13" s="96"/>
      <c r="P13" s="100">
        <f>SUM(D13:O13)</f>
        <v>932688.87</v>
      </c>
      <c r="Q13" s="101"/>
      <c r="R13" s="89">
        <f>IF(ISERROR((($E13-$D13)/ABS($D13)+1)*100),0,(($E13-$D13)/ABS($D13)+1)*100)</f>
        <v>0</v>
      </c>
      <c r="S13" s="89">
        <f>IF(ISERROR((($E13-$BG13)/ABS($BG13)+1)*100),0,(($E13-$BG13)/ABS($BG13)+1)*100)</f>
        <v>0</v>
      </c>
      <c r="T13" s="88">
        <f>IF(ISERROR((($P13-$BG13)/ABS($BG13)+1)*100),0,(($P13-$BG13)/ABS($BG13)+1)*100)</f>
        <v>35.355758132993245</v>
      </c>
      <c r="U13" s="89"/>
      <c r="V13" s="90"/>
      <c r="W13" s="3"/>
      <c r="X13" s="91"/>
      <c r="Y13" s="96"/>
      <c r="Z13" s="104"/>
      <c r="AA13" s="102"/>
      <c r="AB13" s="96"/>
      <c r="AC13" s="96"/>
      <c r="AD13" s="96"/>
      <c r="AE13" s="96"/>
      <c r="AF13" s="96"/>
      <c r="AG13" s="96"/>
      <c r="AH13" s="96"/>
      <c r="AI13" s="102"/>
      <c r="AJ13" s="103">
        <f>SUM(X13:AI13)</f>
        <v>0</v>
      </c>
      <c r="AK13" s="88"/>
      <c r="AL13" s="89"/>
      <c r="AM13" s="90"/>
      <c r="AN13" s="3"/>
      <c r="AO13" s="91">
        <f>+D13</f>
        <v>932688.87</v>
      </c>
      <c r="AP13" s="96">
        <f>+E13</f>
        <v>0</v>
      </c>
      <c r="AQ13" s="104"/>
      <c r="AR13" s="102"/>
      <c r="AS13" s="96"/>
      <c r="AT13" s="96"/>
      <c r="AU13" s="96"/>
      <c r="AV13" s="96"/>
      <c r="AW13" s="96"/>
      <c r="AX13" s="96"/>
      <c r="AY13" s="96"/>
      <c r="AZ13" s="96"/>
      <c r="BA13" s="102">
        <f>SUM(AO13:AZ13)</f>
        <v>932688.87</v>
      </c>
      <c r="BB13" s="89">
        <f>IF(ISERROR((($AP13-$AO13)/ABS($AO13)+1)*100),0,(($AP13-$AO13)/ABS($AO13)+1)*100)</f>
        <v>0</v>
      </c>
      <c r="BC13" s="89"/>
      <c r="BD13" s="90"/>
      <c r="BF13" s="91">
        <v>2616406.61</v>
      </c>
      <c r="BG13" s="96">
        <v>2638011.23</v>
      </c>
      <c r="BH13" s="104">
        <v>2670276.34</v>
      </c>
      <c r="BI13" s="102">
        <v>2859278.4</v>
      </c>
      <c r="BJ13" s="96">
        <v>2494612.5099999998</v>
      </c>
      <c r="BK13" s="96">
        <v>9841609.6999999993</v>
      </c>
      <c r="BL13" s="96">
        <v>9655743.7599999998</v>
      </c>
      <c r="BM13" s="96">
        <v>6169670.5199999996</v>
      </c>
      <c r="BN13" s="96">
        <v>7753609.6100000003</v>
      </c>
      <c r="BO13" s="96">
        <v>13659370.35</v>
      </c>
      <c r="BP13" s="96">
        <v>9562015.6300000008</v>
      </c>
      <c r="BQ13" s="102">
        <v>11833654.310000001</v>
      </c>
      <c r="BR13" s="102">
        <v>2998318.17</v>
      </c>
      <c r="BS13" s="94">
        <f>SUM(BF13:BG13)</f>
        <v>5254417.84</v>
      </c>
      <c r="BU13" s="83"/>
      <c r="BV13" s="96"/>
      <c r="BW13" s="104"/>
      <c r="BX13" s="102"/>
      <c r="BY13" s="96"/>
      <c r="BZ13" s="96"/>
      <c r="CA13" s="96"/>
      <c r="CB13" s="96"/>
      <c r="CC13" s="96"/>
      <c r="CD13" s="96"/>
      <c r="CE13" s="96"/>
      <c r="CF13" s="102"/>
      <c r="CG13" s="96"/>
      <c r="CH13" s="105">
        <v>0</v>
      </c>
      <c r="CJ13" s="83">
        <v>2616406.61</v>
      </c>
      <c r="CK13" s="96">
        <v>2638011.23</v>
      </c>
      <c r="CL13" s="104">
        <v>2670276.34</v>
      </c>
      <c r="CM13" s="102">
        <v>2859278.4</v>
      </c>
      <c r="CN13" s="96">
        <v>2494612.5099999998</v>
      </c>
      <c r="CO13" s="96">
        <v>9841609.6999999993</v>
      </c>
      <c r="CP13" s="96">
        <v>9655743.7599999998</v>
      </c>
      <c r="CQ13" s="96">
        <v>6169670.5199999996</v>
      </c>
      <c r="CR13" s="96">
        <v>7753609.6100000003</v>
      </c>
      <c r="CS13" s="96">
        <v>13659370.35</v>
      </c>
      <c r="CT13" s="96">
        <v>9562015.6300000008</v>
      </c>
      <c r="CU13" s="96">
        <v>11833654.310000001</v>
      </c>
      <c r="CV13" s="96">
        <v>2998318.17</v>
      </c>
      <c r="CW13" s="106">
        <v>84752577.140000001</v>
      </c>
      <c r="CY13" s="91"/>
      <c r="CZ13" s="96"/>
      <c r="DA13" s="104"/>
      <c r="DB13" s="102"/>
      <c r="DC13" s="96"/>
      <c r="DD13" s="96"/>
      <c r="DE13" s="96">
        <v>2776345.68</v>
      </c>
      <c r="DF13" s="96">
        <v>2153610.61</v>
      </c>
      <c r="DG13" s="96">
        <v>12576845.67</v>
      </c>
      <c r="DH13" s="96">
        <v>2826895.34</v>
      </c>
      <c r="DI13" s="96">
        <v>2271672.23</v>
      </c>
      <c r="DJ13" s="102">
        <v>2820210.09</v>
      </c>
      <c r="DK13" s="94">
        <f>SUM(CY13:DJ13)</f>
        <v>25425579.620000001</v>
      </c>
    </row>
    <row r="14" spans="1:115" ht="15" customHeight="1" outlineLevel="1">
      <c r="A14" s="12" t="s">
        <v>45</v>
      </c>
      <c r="B14" s="13"/>
      <c r="C14" s="14"/>
      <c r="D14" s="83"/>
      <c r="E14" s="96"/>
      <c r="F14" s="104"/>
      <c r="G14" s="102"/>
      <c r="H14" s="96"/>
      <c r="I14" s="85"/>
      <c r="J14" s="86"/>
      <c r="K14" s="86"/>
      <c r="L14" s="86"/>
      <c r="M14" s="86"/>
      <c r="N14" s="86"/>
      <c r="O14" s="84"/>
      <c r="P14" s="97"/>
      <c r="Q14" s="98"/>
      <c r="R14" s="89"/>
      <c r="S14" s="89"/>
      <c r="T14" s="88"/>
      <c r="U14" s="89"/>
      <c r="V14" s="90"/>
      <c r="W14" s="3"/>
      <c r="X14" s="91"/>
      <c r="Y14" s="96"/>
      <c r="Z14" s="104"/>
      <c r="AA14" s="102"/>
      <c r="AB14" s="96"/>
      <c r="AC14" s="85"/>
      <c r="AD14" s="86"/>
      <c r="AE14" s="86"/>
      <c r="AF14" s="86"/>
      <c r="AG14" s="86"/>
      <c r="AH14" s="86"/>
      <c r="AI14" s="84"/>
      <c r="AJ14" s="87"/>
      <c r="AK14" s="88"/>
      <c r="AL14" s="89"/>
      <c r="AM14" s="90"/>
      <c r="AN14" s="3"/>
      <c r="AO14" s="83"/>
      <c r="AP14" s="96"/>
      <c r="AQ14" s="104"/>
      <c r="AR14" s="102"/>
      <c r="AS14" s="96"/>
      <c r="AT14" s="85"/>
      <c r="AU14" s="86"/>
      <c r="AV14" s="86"/>
      <c r="AW14" s="86"/>
      <c r="AX14" s="86"/>
      <c r="AY14" s="86"/>
      <c r="AZ14" s="86"/>
      <c r="BA14" s="84"/>
      <c r="BB14" s="89"/>
      <c r="BC14" s="89"/>
      <c r="BD14" s="90"/>
      <c r="BF14" s="91"/>
      <c r="BG14" s="96"/>
      <c r="BH14" s="104"/>
      <c r="BI14" s="102"/>
      <c r="BJ14" s="96"/>
      <c r="BK14" s="85"/>
      <c r="BL14" s="85"/>
      <c r="BM14" s="85"/>
      <c r="BN14" s="85"/>
      <c r="BO14" s="85"/>
      <c r="BP14" s="85"/>
      <c r="BQ14" s="93"/>
      <c r="BR14" s="93"/>
      <c r="BS14" s="94"/>
      <c r="BU14" s="83"/>
      <c r="BV14" s="96"/>
      <c r="BW14" s="104"/>
      <c r="BX14" s="102"/>
      <c r="BY14" s="96"/>
      <c r="BZ14" s="85"/>
      <c r="CA14" s="86"/>
      <c r="CB14" s="86"/>
      <c r="CC14" s="86"/>
      <c r="CD14" s="86"/>
      <c r="CE14" s="86"/>
      <c r="CF14" s="84"/>
      <c r="CG14" s="86"/>
      <c r="CH14" s="13"/>
      <c r="CJ14" s="83"/>
      <c r="CK14" s="96"/>
      <c r="CL14" s="104"/>
      <c r="CM14" s="102"/>
      <c r="CN14" s="96"/>
      <c r="CO14" s="85"/>
      <c r="CP14" s="86"/>
      <c r="CQ14" s="86"/>
      <c r="CR14" s="86"/>
      <c r="CS14" s="86"/>
      <c r="CT14" s="86"/>
      <c r="CU14" s="86"/>
      <c r="CV14" s="86"/>
      <c r="CW14" s="99"/>
      <c r="CY14" s="91"/>
      <c r="CZ14" s="96"/>
      <c r="DA14" s="104"/>
      <c r="DB14" s="102"/>
      <c r="DC14" s="96"/>
      <c r="DD14" s="85"/>
      <c r="DE14" s="85"/>
      <c r="DF14" s="85"/>
      <c r="DG14" s="85"/>
      <c r="DH14" s="85"/>
      <c r="DI14" s="85"/>
      <c r="DJ14" s="93"/>
      <c r="DK14" s="94"/>
    </row>
    <row r="15" spans="1:115" ht="14.45" customHeight="1" outlineLevel="2">
      <c r="A15" s="12" t="s">
        <v>46</v>
      </c>
      <c r="B15" s="13"/>
      <c r="C15" s="14"/>
      <c r="D15" s="83"/>
      <c r="E15" s="96"/>
      <c r="F15" s="104"/>
      <c r="G15" s="102"/>
      <c r="H15" s="96"/>
      <c r="I15" s="85"/>
      <c r="J15" s="86"/>
      <c r="K15" s="86"/>
      <c r="L15" s="86"/>
      <c r="M15" s="86"/>
      <c r="N15" s="86"/>
      <c r="O15" s="84"/>
      <c r="P15" s="97"/>
      <c r="Q15" s="98"/>
      <c r="R15" s="89"/>
      <c r="S15" s="89"/>
      <c r="T15" s="88"/>
      <c r="U15" s="89"/>
      <c r="V15" s="90"/>
      <c r="W15" s="3"/>
      <c r="X15" s="91"/>
      <c r="Y15" s="96"/>
      <c r="Z15" s="104"/>
      <c r="AA15" s="102"/>
      <c r="AB15" s="96"/>
      <c r="AC15" s="85"/>
      <c r="AD15" s="86"/>
      <c r="AE15" s="86"/>
      <c r="AF15" s="86"/>
      <c r="AG15" s="86"/>
      <c r="AH15" s="86"/>
      <c r="AI15" s="84"/>
      <c r="AJ15" s="87"/>
      <c r="AK15" s="88"/>
      <c r="AL15" s="89"/>
      <c r="AM15" s="90"/>
      <c r="AN15" s="3"/>
      <c r="AO15" s="83"/>
      <c r="AP15" s="96"/>
      <c r="AQ15" s="104"/>
      <c r="AR15" s="102"/>
      <c r="AS15" s="96"/>
      <c r="AT15" s="85"/>
      <c r="AU15" s="86"/>
      <c r="AV15" s="86"/>
      <c r="AW15" s="86"/>
      <c r="AX15" s="86"/>
      <c r="AY15" s="86"/>
      <c r="AZ15" s="86"/>
      <c r="BA15" s="84"/>
      <c r="BB15" s="89"/>
      <c r="BC15" s="89"/>
      <c r="BD15" s="90"/>
      <c r="BF15" s="91"/>
      <c r="BG15" s="96"/>
      <c r="BH15" s="104"/>
      <c r="BI15" s="102"/>
      <c r="BJ15" s="96"/>
      <c r="BK15" s="85"/>
      <c r="BL15" s="85"/>
      <c r="BM15" s="85"/>
      <c r="BN15" s="85"/>
      <c r="BO15" s="85"/>
      <c r="BP15" s="85"/>
      <c r="BQ15" s="93"/>
      <c r="BR15" s="93"/>
      <c r="BS15" s="94"/>
      <c r="BU15" s="83"/>
      <c r="BV15" s="96"/>
      <c r="BW15" s="104"/>
      <c r="BX15" s="102"/>
      <c r="BY15" s="96"/>
      <c r="BZ15" s="85"/>
      <c r="CA15" s="86"/>
      <c r="CB15" s="86"/>
      <c r="CC15" s="86"/>
      <c r="CD15" s="86"/>
      <c r="CE15" s="86"/>
      <c r="CF15" s="84"/>
      <c r="CG15" s="86"/>
      <c r="CH15" s="13"/>
      <c r="CJ15" s="83"/>
      <c r="CK15" s="96"/>
      <c r="CL15" s="104"/>
      <c r="CM15" s="102"/>
      <c r="CN15" s="96"/>
      <c r="CO15" s="85"/>
      <c r="CP15" s="86"/>
      <c r="CQ15" s="86"/>
      <c r="CR15" s="86"/>
      <c r="CS15" s="86"/>
      <c r="CT15" s="86"/>
      <c r="CU15" s="86"/>
      <c r="CV15" s="86"/>
      <c r="CW15" s="99"/>
      <c r="CY15" s="91"/>
      <c r="CZ15" s="96"/>
      <c r="DA15" s="104"/>
      <c r="DB15" s="102"/>
      <c r="DC15" s="96"/>
      <c r="DD15" s="85"/>
      <c r="DE15" s="85"/>
      <c r="DF15" s="85"/>
      <c r="DG15" s="85"/>
      <c r="DH15" s="85"/>
      <c r="DI15" s="85"/>
      <c r="DJ15" s="93"/>
      <c r="DK15" s="94"/>
    </row>
    <row r="16" spans="1:115" ht="14.45" customHeight="1" outlineLevel="2">
      <c r="A16" s="12" t="s">
        <v>47</v>
      </c>
      <c r="B16" s="13"/>
      <c r="C16" s="14"/>
      <c r="D16" s="83"/>
      <c r="E16" s="96"/>
      <c r="F16" s="104"/>
      <c r="G16" s="102"/>
      <c r="H16" s="96"/>
      <c r="I16" s="85"/>
      <c r="J16" s="86"/>
      <c r="K16" s="86"/>
      <c r="L16" s="86"/>
      <c r="M16" s="86"/>
      <c r="N16" s="86"/>
      <c r="O16" s="84"/>
      <c r="P16" s="97"/>
      <c r="Q16" s="98"/>
      <c r="R16" s="89"/>
      <c r="S16" s="89"/>
      <c r="T16" s="88"/>
      <c r="U16" s="89"/>
      <c r="V16" s="90"/>
      <c r="W16" s="3"/>
      <c r="X16" s="91"/>
      <c r="Y16" s="96"/>
      <c r="Z16" s="104"/>
      <c r="AA16" s="102"/>
      <c r="AB16" s="96"/>
      <c r="AC16" s="85"/>
      <c r="AD16" s="86"/>
      <c r="AE16" s="86"/>
      <c r="AF16" s="86"/>
      <c r="AG16" s="86"/>
      <c r="AH16" s="86"/>
      <c r="AI16" s="84"/>
      <c r="AJ16" s="87"/>
      <c r="AK16" s="88"/>
      <c r="AL16" s="89"/>
      <c r="AM16" s="90"/>
      <c r="AN16" s="3"/>
      <c r="AO16" s="83"/>
      <c r="AP16" s="96"/>
      <c r="AQ16" s="104"/>
      <c r="AR16" s="102"/>
      <c r="AS16" s="96"/>
      <c r="AT16" s="85"/>
      <c r="AU16" s="86"/>
      <c r="AV16" s="86"/>
      <c r="AW16" s="86"/>
      <c r="AX16" s="86"/>
      <c r="AY16" s="86"/>
      <c r="AZ16" s="86"/>
      <c r="BA16" s="84"/>
      <c r="BB16" s="89"/>
      <c r="BC16" s="89"/>
      <c r="BD16" s="90"/>
      <c r="BF16" s="91"/>
      <c r="BG16" s="96"/>
      <c r="BH16" s="104"/>
      <c r="BI16" s="102"/>
      <c r="BJ16" s="96"/>
      <c r="BK16" s="85"/>
      <c r="BL16" s="85"/>
      <c r="BM16" s="85"/>
      <c r="BN16" s="85"/>
      <c r="BO16" s="85"/>
      <c r="BP16" s="85"/>
      <c r="BQ16" s="93"/>
      <c r="BR16" s="93"/>
      <c r="BS16" s="94"/>
      <c r="BU16" s="83"/>
      <c r="BV16" s="96"/>
      <c r="BW16" s="104"/>
      <c r="BX16" s="102"/>
      <c r="BY16" s="96"/>
      <c r="BZ16" s="85"/>
      <c r="CA16" s="86"/>
      <c r="CB16" s="86"/>
      <c r="CC16" s="86"/>
      <c r="CD16" s="86"/>
      <c r="CE16" s="86"/>
      <c r="CF16" s="84"/>
      <c r="CG16" s="86"/>
      <c r="CH16" s="13"/>
      <c r="CJ16" s="83"/>
      <c r="CK16" s="96"/>
      <c r="CL16" s="104"/>
      <c r="CM16" s="102"/>
      <c r="CN16" s="96"/>
      <c r="CO16" s="85"/>
      <c r="CP16" s="86"/>
      <c r="CQ16" s="86"/>
      <c r="CR16" s="86"/>
      <c r="CS16" s="86"/>
      <c r="CT16" s="86"/>
      <c r="CU16" s="86"/>
      <c r="CV16" s="86"/>
      <c r="CW16" s="99"/>
      <c r="CY16" s="91"/>
      <c r="CZ16" s="96"/>
      <c r="DA16" s="104"/>
      <c r="DB16" s="102"/>
      <c r="DC16" s="96"/>
      <c r="DD16" s="85"/>
      <c r="DE16" s="85"/>
      <c r="DF16" s="85"/>
      <c r="DG16" s="85"/>
      <c r="DH16" s="85"/>
      <c r="DI16" s="85"/>
      <c r="DJ16" s="93"/>
      <c r="DK16" s="94"/>
    </row>
    <row r="17" spans="1:115" ht="14.45" customHeight="1">
      <c r="A17" s="107" t="s">
        <v>48</v>
      </c>
      <c r="B17" s="108"/>
      <c r="C17" s="109"/>
      <c r="D17" s="110">
        <f>SUM(D7:D16)</f>
        <v>35154888.869999997</v>
      </c>
      <c r="E17" s="111">
        <f>SUM(E7:E16)</f>
        <v>43803100</v>
      </c>
      <c r="F17" s="112">
        <f t="shared" ref="F17:N17" si="1">SUM(F7:F16)</f>
        <v>0</v>
      </c>
      <c r="G17" s="113">
        <f>SUM(G7:G16)</f>
        <v>0</v>
      </c>
      <c r="H17" s="111">
        <f>SUM(H7:H16)</f>
        <v>0</v>
      </c>
      <c r="I17" s="111">
        <f t="shared" si="1"/>
        <v>0</v>
      </c>
      <c r="J17" s="111">
        <f t="shared" si="1"/>
        <v>0</v>
      </c>
      <c r="K17" s="111">
        <f>SUM(K7:K16)</f>
        <v>0</v>
      </c>
      <c r="L17" s="111">
        <f t="shared" si="1"/>
        <v>0</v>
      </c>
      <c r="M17" s="111">
        <f t="shared" si="1"/>
        <v>0</v>
      </c>
      <c r="N17" s="111">
        <f t="shared" si="1"/>
        <v>0</v>
      </c>
      <c r="O17" s="113">
        <f>SUM(O7:O16)</f>
        <v>0</v>
      </c>
      <c r="P17" s="114">
        <f>SUM(D17:O17)</f>
        <v>78957988.870000005</v>
      </c>
      <c r="Q17" s="114">
        <f>SUM(BS17)</f>
        <v>69772017.829999998</v>
      </c>
      <c r="R17" s="115">
        <f>IF(ISERROR((($E17-$D17)/ABS($D17)+1)*100),0,(($E17-$D17)/ABS($D17)+1)*100)</f>
        <v>124.60030854308886</v>
      </c>
      <c r="S17" s="115">
        <f>IF(ISERROR((($E17-$BG17)/ABS($BG17)+1)*100),0,(($E17-$BG17)/ABS($BG17)+1)*100)</f>
        <v>109.20494862065991</v>
      </c>
      <c r="T17" s="116">
        <f>IF(ISERROR((($P17-$BG17)/ABS($BG17)+1)*100),0,(($P17-$BG17)/ABS($BG17)+1)*100)</f>
        <v>196.8491526339229</v>
      </c>
      <c r="U17" s="111">
        <f>SUM(U7:U16)</f>
        <v>50000000</v>
      </c>
      <c r="V17" s="117">
        <f>IF(ISERROR((($E17-$U17)/ABS($U17)+1)*100),0,(($E17-$U17)/ABS($U17)+1)*100)</f>
        <v>87.606200000000001</v>
      </c>
      <c r="W17" s="3"/>
      <c r="X17" s="118">
        <f t="shared" ref="X17:AI17" si="2">SUM(X7:X16)</f>
        <v>34222200</v>
      </c>
      <c r="Y17" s="111">
        <f t="shared" si="2"/>
        <v>43803100</v>
      </c>
      <c r="Z17" s="112">
        <f t="shared" si="2"/>
        <v>0</v>
      </c>
      <c r="AA17" s="113">
        <f t="shared" si="2"/>
        <v>0</v>
      </c>
      <c r="AB17" s="111">
        <f t="shared" si="2"/>
        <v>0</v>
      </c>
      <c r="AC17" s="111">
        <f t="shared" si="2"/>
        <v>0</v>
      </c>
      <c r="AD17" s="111">
        <f t="shared" si="2"/>
        <v>0</v>
      </c>
      <c r="AE17" s="111">
        <f t="shared" si="2"/>
        <v>0</v>
      </c>
      <c r="AF17" s="111">
        <f t="shared" si="2"/>
        <v>0</v>
      </c>
      <c r="AG17" s="111">
        <f t="shared" si="2"/>
        <v>0</v>
      </c>
      <c r="AH17" s="111">
        <f t="shared" si="2"/>
        <v>0</v>
      </c>
      <c r="AI17" s="113">
        <f t="shared" si="2"/>
        <v>0</v>
      </c>
      <c r="AJ17" s="119">
        <f>SUM(X17:AI17)</f>
        <v>78025300</v>
      </c>
      <c r="AK17" s="116">
        <f>IF(ISERROR((($Y17-$X17)/ABS($X17)+1)*100),0,(($Y17-$X17)/ABS($X17)+1)*100)</f>
        <v>127.9961545429575</v>
      </c>
      <c r="AL17" s="111">
        <f>SUM(AL7:AL16)</f>
        <v>50000000</v>
      </c>
      <c r="AM17" s="117">
        <f>IF(ISERROR((($Y17-$AL17)/ABS($AL17)+1)*100),0,(($Y17-$AL17)/ABS($AL17)+1)*100)</f>
        <v>87.606200000000001</v>
      </c>
      <c r="AN17" s="3"/>
      <c r="AO17" s="110">
        <f t="shared" ref="AO17:AZ17" si="3">SUM(AO7:AO16)</f>
        <v>932688.87</v>
      </c>
      <c r="AP17" s="111">
        <f t="shared" si="3"/>
        <v>0</v>
      </c>
      <c r="AQ17" s="112">
        <f t="shared" si="3"/>
        <v>0</v>
      </c>
      <c r="AR17" s="113">
        <f t="shared" si="3"/>
        <v>0</v>
      </c>
      <c r="AS17" s="111">
        <f t="shared" si="3"/>
        <v>0</v>
      </c>
      <c r="AT17" s="111">
        <f t="shared" si="3"/>
        <v>0</v>
      </c>
      <c r="AU17" s="111">
        <f t="shared" si="3"/>
        <v>0</v>
      </c>
      <c r="AV17" s="111">
        <f t="shared" si="3"/>
        <v>0</v>
      </c>
      <c r="AW17" s="111">
        <f t="shared" si="3"/>
        <v>0</v>
      </c>
      <c r="AX17" s="111">
        <f t="shared" si="3"/>
        <v>0</v>
      </c>
      <c r="AY17" s="111">
        <f t="shared" si="3"/>
        <v>0</v>
      </c>
      <c r="AZ17" s="111">
        <f t="shared" si="3"/>
        <v>0</v>
      </c>
      <c r="BA17" s="120">
        <f>SUM(AO17:AZ17)</f>
        <v>932688.87</v>
      </c>
      <c r="BB17" s="115">
        <f>IF(ISERROR((($AP17-$AO17)/ABS($AO17)+1)*100),0,(($AP17-$AO17)/ABS($AO17)+1)*100)</f>
        <v>0</v>
      </c>
      <c r="BC17" s="115"/>
      <c r="BD17" s="117"/>
      <c r="BF17" s="118">
        <v>29661106.599999998</v>
      </c>
      <c r="BG17" s="111">
        <v>40110911.229999997</v>
      </c>
      <c r="BH17" s="112">
        <v>34396476.340000004</v>
      </c>
      <c r="BI17" s="113">
        <v>41438278.399999999</v>
      </c>
      <c r="BJ17" s="111">
        <v>41814112.509999998</v>
      </c>
      <c r="BK17" s="111">
        <v>37680076.700000003</v>
      </c>
      <c r="BL17" s="111">
        <v>39245643.759999998</v>
      </c>
      <c r="BM17" s="111">
        <v>36214470.519999996</v>
      </c>
      <c r="BN17" s="111">
        <v>42434509.609999999</v>
      </c>
      <c r="BO17" s="111">
        <v>44178670.350000001</v>
      </c>
      <c r="BP17" s="111">
        <v>34254915.630000003</v>
      </c>
      <c r="BQ17" s="113">
        <v>41441554.310000002</v>
      </c>
      <c r="BR17" s="113">
        <v>9924318.1699999999</v>
      </c>
      <c r="BS17" s="121">
        <f>SUM(BF17:BG17)</f>
        <v>69772017.829999998</v>
      </c>
      <c r="BU17" s="110">
        <v>27044699.990000002</v>
      </c>
      <c r="BV17" s="111">
        <v>37472900</v>
      </c>
      <c r="BW17" s="112">
        <v>31726200</v>
      </c>
      <c r="BX17" s="113">
        <v>38579000</v>
      </c>
      <c r="BY17" s="111">
        <v>39319500</v>
      </c>
      <c r="BZ17" s="111">
        <v>27838467</v>
      </c>
      <c r="CA17" s="111">
        <v>29589900</v>
      </c>
      <c r="CB17" s="111">
        <v>30044800</v>
      </c>
      <c r="CC17" s="111">
        <v>34680900</v>
      </c>
      <c r="CD17" s="111">
        <v>30519300</v>
      </c>
      <c r="CE17" s="111">
        <v>24692900</v>
      </c>
      <c r="CF17" s="113">
        <v>29607900</v>
      </c>
      <c r="CG17" s="111">
        <v>6926000</v>
      </c>
      <c r="CH17" s="122">
        <v>388042466.99000001</v>
      </c>
      <c r="CJ17" s="110">
        <v>2616406.61</v>
      </c>
      <c r="CK17" s="111">
        <v>2638011.23</v>
      </c>
      <c r="CL17" s="112">
        <v>2670276.34</v>
      </c>
      <c r="CM17" s="113">
        <v>2859278.4</v>
      </c>
      <c r="CN17" s="111">
        <v>2494612.5099999998</v>
      </c>
      <c r="CO17" s="111">
        <v>9841609.6999999993</v>
      </c>
      <c r="CP17" s="111">
        <v>9655743.7599999998</v>
      </c>
      <c r="CQ17" s="111">
        <v>6169670.5199999996</v>
      </c>
      <c r="CR17" s="111">
        <v>7753609.6100000003</v>
      </c>
      <c r="CS17" s="111">
        <v>13659370.35</v>
      </c>
      <c r="CT17" s="111">
        <v>9562015.6300000008</v>
      </c>
      <c r="CU17" s="111">
        <v>11833654.310000001</v>
      </c>
      <c r="CV17" s="111">
        <v>2998318.17</v>
      </c>
      <c r="CW17" s="122">
        <v>84752577.140000001</v>
      </c>
      <c r="CY17" s="118">
        <v>48189453.439999998</v>
      </c>
      <c r="CZ17" s="111">
        <v>62566279.039999999</v>
      </c>
      <c r="DA17" s="112">
        <v>60552724.920000002</v>
      </c>
      <c r="DB17" s="113">
        <v>66495339.950000003</v>
      </c>
      <c r="DC17" s="111">
        <v>55106227.959999993</v>
      </c>
      <c r="DD17" s="111">
        <v>33788904</v>
      </c>
      <c r="DE17" s="111">
        <v>44237445.689999998</v>
      </c>
      <c r="DF17" s="111">
        <v>36249310.609999999</v>
      </c>
      <c r="DG17" s="111">
        <v>54780945.68</v>
      </c>
      <c r="DH17" s="111">
        <v>39984095.569999993</v>
      </c>
      <c r="DI17" s="111">
        <v>22563671.98</v>
      </c>
      <c r="DJ17" s="113">
        <v>27911010.110000003</v>
      </c>
      <c r="DK17" s="121">
        <f>SUM(CY17:DJ17)</f>
        <v>552425408.94999993</v>
      </c>
    </row>
    <row r="18" spans="1:115" ht="14.45" customHeight="1">
      <c r="A18" s="123"/>
      <c r="B18" s="13"/>
      <c r="C18" s="14"/>
      <c r="D18" s="83"/>
      <c r="E18" s="96"/>
      <c r="F18" s="104"/>
      <c r="G18" s="102"/>
      <c r="H18" s="96"/>
      <c r="I18" s="85"/>
      <c r="J18" s="86"/>
      <c r="K18" s="86"/>
      <c r="L18" s="86"/>
      <c r="M18" s="86"/>
      <c r="N18" s="86"/>
      <c r="O18" s="84"/>
      <c r="P18" s="97"/>
      <c r="Q18" s="98"/>
      <c r="R18" s="89"/>
      <c r="S18" s="89"/>
      <c r="T18" s="89"/>
      <c r="U18" s="89"/>
      <c r="V18" s="90"/>
      <c r="W18" s="3"/>
      <c r="X18" s="91"/>
      <c r="Y18" s="96"/>
      <c r="Z18" s="104"/>
      <c r="AA18" s="102"/>
      <c r="AB18" s="96"/>
      <c r="AC18" s="85"/>
      <c r="AD18" s="86"/>
      <c r="AE18" s="86"/>
      <c r="AF18" s="86"/>
      <c r="AG18" s="86"/>
      <c r="AH18" s="86"/>
      <c r="AI18" s="84"/>
      <c r="AJ18" s="87"/>
      <c r="AK18" s="88"/>
      <c r="AL18" s="89"/>
      <c r="AM18" s="90"/>
      <c r="AN18" s="3"/>
      <c r="AO18" s="83"/>
      <c r="AP18" s="96"/>
      <c r="AQ18" s="104"/>
      <c r="AR18" s="102"/>
      <c r="AS18" s="96"/>
      <c r="AT18" s="85"/>
      <c r="AU18" s="86"/>
      <c r="AV18" s="86"/>
      <c r="AW18" s="86"/>
      <c r="AX18" s="86"/>
      <c r="AY18" s="86"/>
      <c r="AZ18" s="86"/>
      <c r="BA18" s="84"/>
      <c r="BB18" s="89"/>
      <c r="BC18" s="89"/>
      <c r="BD18" s="90"/>
      <c r="BF18" s="91"/>
      <c r="BG18" s="96"/>
      <c r="BH18" s="104"/>
      <c r="BI18" s="102"/>
      <c r="BJ18" s="96"/>
      <c r="BK18" s="85"/>
      <c r="BL18" s="85"/>
      <c r="BM18" s="85"/>
      <c r="BN18" s="85"/>
      <c r="BO18" s="85"/>
      <c r="BP18" s="85"/>
      <c r="BQ18" s="93"/>
      <c r="BR18" s="93"/>
      <c r="BS18" s="94"/>
      <c r="BU18" s="83"/>
      <c r="BV18" s="96"/>
      <c r="BW18" s="104"/>
      <c r="BX18" s="102"/>
      <c r="BY18" s="96"/>
      <c r="BZ18" s="85"/>
      <c r="CA18" s="86"/>
      <c r="CB18" s="86"/>
      <c r="CC18" s="86"/>
      <c r="CD18" s="86"/>
      <c r="CE18" s="86"/>
      <c r="CF18" s="84"/>
      <c r="CG18" s="86"/>
      <c r="CH18" s="13"/>
      <c r="CJ18" s="83"/>
      <c r="CK18" s="96"/>
      <c r="CL18" s="104"/>
      <c r="CM18" s="102"/>
      <c r="CN18" s="96"/>
      <c r="CO18" s="85"/>
      <c r="CP18" s="86"/>
      <c r="CQ18" s="86"/>
      <c r="CR18" s="86"/>
      <c r="CS18" s="86"/>
      <c r="CT18" s="86"/>
      <c r="CU18" s="86"/>
      <c r="CV18" s="86"/>
      <c r="CW18" s="99"/>
      <c r="CY18" s="91"/>
      <c r="CZ18" s="96"/>
      <c r="DA18" s="104"/>
      <c r="DB18" s="102"/>
      <c r="DC18" s="96"/>
      <c r="DD18" s="85"/>
      <c r="DE18" s="85"/>
      <c r="DF18" s="85"/>
      <c r="DG18" s="85"/>
      <c r="DH18" s="85"/>
      <c r="DI18" s="85"/>
      <c r="DJ18" s="93"/>
      <c r="DK18" s="94"/>
    </row>
    <row r="19" spans="1:115" ht="14.45" customHeight="1" outlineLevel="1">
      <c r="A19" s="12" t="s">
        <v>49</v>
      </c>
      <c r="B19" s="13"/>
      <c r="C19" s="14"/>
      <c r="D19" s="83"/>
      <c r="E19" s="96"/>
      <c r="F19" s="104"/>
      <c r="G19" s="102"/>
      <c r="H19" s="96"/>
      <c r="I19" s="85"/>
      <c r="J19" s="86"/>
      <c r="K19" s="86"/>
      <c r="L19" s="86"/>
      <c r="M19" s="86"/>
      <c r="N19" s="86"/>
      <c r="O19" s="84"/>
      <c r="P19" s="97"/>
      <c r="Q19" s="98"/>
      <c r="R19" s="89"/>
      <c r="S19" s="89"/>
      <c r="T19" s="89"/>
      <c r="U19" s="89"/>
      <c r="V19" s="90"/>
      <c r="W19" s="3"/>
      <c r="X19" s="91"/>
      <c r="Y19" s="96"/>
      <c r="Z19" s="104"/>
      <c r="AA19" s="102"/>
      <c r="AB19" s="96"/>
      <c r="AC19" s="85"/>
      <c r="AD19" s="86"/>
      <c r="AE19" s="86"/>
      <c r="AF19" s="86"/>
      <c r="AG19" s="86"/>
      <c r="AH19" s="86"/>
      <c r="AI19" s="84"/>
      <c r="AJ19" s="87"/>
      <c r="AK19" s="88"/>
      <c r="AL19" s="89"/>
      <c r="AM19" s="90"/>
      <c r="AN19" s="3"/>
      <c r="AO19" s="83"/>
      <c r="AP19" s="96"/>
      <c r="AQ19" s="104"/>
      <c r="AR19" s="102"/>
      <c r="AS19" s="96"/>
      <c r="AT19" s="85"/>
      <c r="AU19" s="86"/>
      <c r="AV19" s="86"/>
      <c r="AW19" s="86"/>
      <c r="AX19" s="86"/>
      <c r="AY19" s="86"/>
      <c r="AZ19" s="86"/>
      <c r="BA19" s="84"/>
      <c r="BB19" s="89"/>
      <c r="BC19" s="89"/>
      <c r="BD19" s="90"/>
      <c r="BF19" s="91"/>
      <c r="BG19" s="96"/>
      <c r="BH19" s="104"/>
      <c r="BI19" s="102"/>
      <c r="BJ19" s="96"/>
      <c r="BK19" s="85"/>
      <c r="BL19" s="85"/>
      <c r="BM19" s="85"/>
      <c r="BN19" s="85"/>
      <c r="BO19" s="85"/>
      <c r="BP19" s="85"/>
      <c r="BQ19" s="93"/>
      <c r="BR19" s="93"/>
      <c r="BS19" s="94"/>
      <c r="BU19" s="83"/>
      <c r="BV19" s="96"/>
      <c r="BW19" s="104"/>
      <c r="BX19" s="102"/>
      <c r="BY19" s="96"/>
      <c r="BZ19" s="85"/>
      <c r="CA19" s="86"/>
      <c r="CB19" s="86"/>
      <c r="CC19" s="86"/>
      <c r="CD19" s="86"/>
      <c r="CE19" s="86"/>
      <c r="CF19" s="84"/>
      <c r="CG19" s="86"/>
      <c r="CH19" s="13"/>
      <c r="CJ19" s="83"/>
      <c r="CK19" s="96"/>
      <c r="CL19" s="104"/>
      <c r="CM19" s="102"/>
      <c r="CN19" s="96"/>
      <c r="CO19" s="85"/>
      <c r="CP19" s="86"/>
      <c r="CQ19" s="86"/>
      <c r="CR19" s="86"/>
      <c r="CS19" s="86"/>
      <c r="CT19" s="86"/>
      <c r="CU19" s="86"/>
      <c r="CV19" s="86"/>
      <c r="CW19" s="99"/>
      <c r="CY19" s="91"/>
      <c r="CZ19" s="96"/>
      <c r="DA19" s="104"/>
      <c r="DB19" s="102"/>
      <c r="DC19" s="96"/>
      <c r="DD19" s="85"/>
      <c r="DE19" s="85"/>
      <c r="DF19" s="85"/>
      <c r="DG19" s="85"/>
      <c r="DH19" s="85"/>
      <c r="DI19" s="85"/>
      <c r="DJ19" s="93"/>
      <c r="DK19" s="94"/>
    </row>
    <row r="20" spans="1:115" ht="14.45" customHeight="1" outlineLevel="1">
      <c r="A20" s="12" t="s">
        <v>50</v>
      </c>
      <c r="B20" s="13"/>
      <c r="C20" s="14"/>
      <c r="D20" s="83"/>
      <c r="E20" s="96"/>
      <c r="F20" s="104"/>
      <c r="G20" s="102"/>
      <c r="H20" s="96"/>
      <c r="I20" s="85"/>
      <c r="J20" s="86"/>
      <c r="K20" s="86"/>
      <c r="L20" s="86"/>
      <c r="M20" s="86"/>
      <c r="N20" s="86"/>
      <c r="O20" s="84"/>
      <c r="P20" s="97"/>
      <c r="Q20" s="98"/>
      <c r="R20" s="89"/>
      <c r="S20" s="89"/>
      <c r="T20" s="89"/>
      <c r="U20" s="89"/>
      <c r="V20" s="90"/>
      <c r="W20" s="3"/>
      <c r="X20" s="91"/>
      <c r="Y20" s="96"/>
      <c r="Z20" s="104"/>
      <c r="AA20" s="102"/>
      <c r="AB20" s="96"/>
      <c r="AC20" s="85"/>
      <c r="AD20" s="86"/>
      <c r="AE20" s="86"/>
      <c r="AF20" s="86"/>
      <c r="AG20" s="86"/>
      <c r="AH20" s="86"/>
      <c r="AI20" s="84"/>
      <c r="AJ20" s="87"/>
      <c r="AK20" s="88"/>
      <c r="AL20" s="89"/>
      <c r="AM20" s="90"/>
      <c r="AN20" s="3"/>
      <c r="AO20" s="83"/>
      <c r="AP20" s="96"/>
      <c r="AQ20" s="104"/>
      <c r="AR20" s="102"/>
      <c r="AS20" s="96"/>
      <c r="AT20" s="85"/>
      <c r="AU20" s="86"/>
      <c r="AV20" s="86"/>
      <c r="AW20" s="86"/>
      <c r="AX20" s="86"/>
      <c r="AY20" s="86"/>
      <c r="AZ20" s="86"/>
      <c r="BA20" s="84"/>
      <c r="BB20" s="89"/>
      <c r="BC20" s="89"/>
      <c r="BD20" s="90"/>
      <c r="BF20" s="91"/>
      <c r="BG20" s="96"/>
      <c r="BH20" s="104"/>
      <c r="BI20" s="102"/>
      <c r="BJ20" s="96"/>
      <c r="BK20" s="85"/>
      <c r="BL20" s="86"/>
      <c r="BM20" s="85"/>
      <c r="BN20" s="85"/>
      <c r="BO20" s="85"/>
      <c r="BP20" s="85"/>
      <c r="BQ20" s="93"/>
      <c r="BR20" s="93"/>
      <c r="BS20" s="94"/>
      <c r="BU20" s="83"/>
      <c r="BV20" s="96"/>
      <c r="BW20" s="104"/>
      <c r="BX20" s="102"/>
      <c r="BY20" s="96"/>
      <c r="BZ20" s="85"/>
      <c r="CA20" s="86"/>
      <c r="CB20" s="86"/>
      <c r="CC20" s="86"/>
      <c r="CD20" s="86"/>
      <c r="CE20" s="86"/>
      <c r="CF20" s="84"/>
      <c r="CG20" s="86"/>
      <c r="CH20" s="13"/>
      <c r="CJ20" s="83"/>
      <c r="CK20" s="96"/>
      <c r="CL20" s="104"/>
      <c r="CM20" s="102"/>
      <c r="CN20" s="96"/>
      <c r="CO20" s="85"/>
      <c r="CP20" s="86"/>
      <c r="CQ20" s="86"/>
      <c r="CR20" s="86"/>
      <c r="CS20" s="86"/>
      <c r="CT20" s="86"/>
      <c r="CU20" s="86"/>
      <c r="CV20" s="86"/>
      <c r="CW20" s="99"/>
      <c r="CY20" s="91"/>
      <c r="CZ20" s="96"/>
      <c r="DA20" s="104"/>
      <c r="DB20" s="102"/>
      <c r="DC20" s="96"/>
      <c r="DD20" s="85"/>
      <c r="DE20" s="86"/>
      <c r="DF20" s="85"/>
      <c r="DG20" s="85"/>
      <c r="DH20" s="85"/>
      <c r="DI20" s="85"/>
      <c r="DJ20" s="93"/>
      <c r="DK20" s="94"/>
    </row>
    <row r="21" spans="1:115" ht="14.45" customHeight="1" outlineLevel="2">
      <c r="A21" s="12" t="s">
        <v>51</v>
      </c>
      <c r="B21" s="13"/>
      <c r="C21" s="14"/>
      <c r="D21" s="83"/>
      <c r="E21" s="96"/>
      <c r="F21" s="104"/>
      <c r="G21" s="102"/>
      <c r="H21" s="96"/>
      <c r="I21" s="85"/>
      <c r="J21" s="86"/>
      <c r="K21" s="86"/>
      <c r="L21" s="86"/>
      <c r="M21" s="86"/>
      <c r="N21" s="86"/>
      <c r="O21" s="84"/>
      <c r="P21" s="97"/>
      <c r="Q21" s="98"/>
      <c r="R21" s="89"/>
      <c r="S21" s="89"/>
      <c r="T21" s="89"/>
      <c r="U21" s="89"/>
      <c r="V21" s="90"/>
      <c r="W21" s="3"/>
      <c r="X21" s="91"/>
      <c r="Y21" s="96"/>
      <c r="Z21" s="104"/>
      <c r="AA21" s="102"/>
      <c r="AB21" s="96"/>
      <c r="AC21" s="85"/>
      <c r="AD21" s="86"/>
      <c r="AE21" s="86"/>
      <c r="AF21" s="86"/>
      <c r="AG21" s="86"/>
      <c r="AH21" s="86"/>
      <c r="AI21" s="84"/>
      <c r="AJ21" s="87"/>
      <c r="AK21" s="88"/>
      <c r="AL21" s="89"/>
      <c r="AM21" s="90"/>
      <c r="AN21" s="3"/>
      <c r="AO21" s="83"/>
      <c r="AP21" s="96"/>
      <c r="AQ21" s="104"/>
      <c r="AR21" s="102"/>
      <c r="AS21" s="96"/>
      <c r="AT21" s="85"/>
      <c r="AU21" s="86"/>
      <c r="AV21" s="86"/>
      <c r="AW21" s="86"/>
      <c r="AX21" s="86"/>
      <c r="AY21" s="86"/>
      <c r="AZ21" s="86"/>
      <c r="BA21" s="84"/>
      <c r="BB21" s="89"/>
      <c r="BC21" s="89"/>
      <c r="BD21" s="90"/>
      <c r="BF21" s="91"/>
      <c r="BG21" s="96"/>
      <c r="BH21" s="104"/>
      <c r="BI21" s="102"/>
      <c r="BJ21" s="96"/>
      <c r="BK21" s="85"/>
      <c r="BL21" s="86"/>
      <c r="BM21" s="85"/>
      <c r="BN21" s="85"/>
      <c r="BO21" s="85"/>
      <c r="BP21" s="85"/>
      <c r="BQ21" s="93"/>
      <c r="BR21" s="93"/>
      <c r="BS21" s="94"/>
      <c r="BU21" s="83"/>
      <c r="BV21" s="96"/>
      <c r="BW21" s="104"/>
      <c r="BX21" s="102"/>
      <c r="BY21" s="96"/>
      <c r="BZ21" s="85"/>
      <c r="CA21" s="86"/>
      <c r="CB21" s="86"/>
      <c r="CC21" s="86"/>
      <c r="CD21" s="86"/>
      <c r="CE21" s="86"/>
      <c r="CF21" s="84"/>
      <c r="CG21" s="86"/>
      <c r="CH21" s="13"/>
      <c r="CJ21" s="83"/>
      <c r="CK21" s="96"/>
      <c r="CL21" s="104"/>
      <c r="CM21" s="102"/>
      <c r="CN21" s="96"/>
      <c r="CO21" s="85"/>
      <c r="CP21" s="86"/>
      <c r="CQ21" s="86"/>
      <c r="CR21" s="86"/>
      <c r="CS21" s="86"/>
      <c r="CT21" s="86"/>
      <c r="CU21" s="86"/>
      <c r="CV21" s="86"/>
      <c r="CW21" s="99"/>
      <c r="CY21" s="91"/>
      <c r="CZ21" s="96"/>
      <c r="DA21" s="104"/>
      <c r="DB21" s="102"/>
      <c r="DC21" s="96"/>
      <c r="DD21" s="85"/>
      <c r="DE21" s="86"/>
      <c r="DF21" s="85"/>
      <c r="DG21" s="85"/>
      <c r="DH21" s="85"/>
      <c r="DI21" s="85"/>
      <c r="DJ21" s="93"/>
      <c r="DK21" s="94"/>
    </row>
    <row r="22" spans="1:115" ht="14.45" customHeight="1" outlineLevel="2">
      <c r="A22" s="12" t="s">
        <v>52</v>
      </c>
      <c r="B22" s="13"/>
      <c r="C22" s="14"/>
      <c r="D22" s="83"/>
      <c r="E22" s="96"/>
      <c r="F22" s="104"/>
      <c r="G22" s="102"/>
      <c r="H22" s="96"/>
      <c r="I22" s="85"/>
      <c r="J22" s="86"/>
      <c r="K22" s="86"/>
      <c r="L22" s="86"/>
      <c r="M22" s="86"/>
      <c r="N22" s="86"/>
      <c r="O22" s="84"/>
      <c r="P22" s="97"/>
      <c r="Q22" s="98"/>
      <c r="R22" s="89"/>
      <c r="S22" s="89"/>
      <c r="T22" s="89"/>
      <c r="U22" s="89"/>
      <c r="V22" s="90"/>
      <c r="W22" s="3"/>
      <c r="X22" s="91"/>
      <c r="Y22" s="96"/>
      <c r="Z22" s="104"/>
      <c r="AA22" s="102"/>
      <c r="AB22" s="96"/>
      <c r="AC22" s="85"/>
      <c r="AD22" s="86"/>
      <c r="AE22" s="86"/>
      <c r="AF22" s="86"/>
      <c r="AG22" s="86"/>
      <c r="AH22" s="86"/>
      <c r="AI22" s="84"/>
      <c r="AJ22" s="87"/>
      <c r="AK22" s="88"/>
      <c r="AL22" s="89"/>
      <c r="AM22" s="90"/>
      <c r="AN22" s="3"/>
      <c r="AO22" s="83"/>
      <c r="AP22" s="96"/>
      <c r="AQ22" s="104"/>
      <c r="AR22" s="102"/>
      <c r="AS22" s="96"/>
      <c r="AT22" s="85"/>
      <c r="AU22" s="86"/>
      <c r="AV22" s="86"/>
      <c r="AW22" s="86"/>
      <c r="AX22" s="86"/>
      <c r="AY22" s="86"/>
      <c r="AZ22" s="86"/>
      <c r="BA22" s="84"/>
      <c r="BB22" s="89"/>
      <c r="BC22" s="89"/>
      <c r="BD22" s="90"/>
      <c r="BF22" s="91"/>
      <c r="BG22" s="96"/>
      <c r="BH22" s="104"/>
      <c r="BI22" s="102"/>
      <c r="BJ22" s="96"/>
      <c r="BK22" s="85"/>
      <c r="BL22" s="86"/>
      <c r="BM22" s="85"/>
      <c r="BN22" s="85"/>
      <c r="BO22" s="85"/>
      <c r="BP22" s="85"/>
      <c r="BQ22" s="93"/>
      <c r="BR22" s="93"/>
      <c r="BS22" s="94"/>
      <c r="BU22" s="83"/>
      <c r="BV22" s="96"/>
      <c r="BW22" s="104"/>
      <c r="BX22" s="102"/>
      <c r="BY22" s="96"/>
      <c r="BZ22" s="85"/>
      <c r="CA22" s="86"/>
      <c r="CB22" s="86"/>
      <c r="CC22" s="86"/>
      <c r="CD22" s="86"/>
      <c r="CE22" s="86"/>
      <c r="CF22" s="84"/>
      <c r="CG22" s="86"/>
      <c r="CH22" s="13"/>
      <c r="CJ22" s="83"/>
      <c r="CK22" s="96"/>
      <c r="CL22" s="104"/>
      <c r="CM22" s="102"/>
      <c r="CN22" s="96"/>
      <c r="CO22" s="85"/>
      <c r="CP22" s="86"/>
      <c r="CQ22" s="86"/>
      <c r="CR22" s="86"/>
      <c r="CS22" s="86"/>
      <c r="CT22" s="86"/>
      <c r="CU22" s="86"/>
      <c r="CV22" s="86"/>
      <c r="CW22" s="99"/>
      <c r="CY22" s="91"/>
      <c r="CZ22" s="96"/>
      <c r="DA22" s="104"/>
      <c r="DB22" s="102"/>
      <c r="DC22" s="96"/>
      <c r="DD22" s="85"/>
      <c r="DE22" s="86"/>
      <c r="DF22" s="85"/>
      <c r="DG22" s="85"/>
      <c r="DH22" s="85"/>
      <c r="DI22" s="85"/>
      <c r="DJ22" s="93"/>
      <c r="DK22" s="94"/>
    </row>
    <row r="23" spans="1:115" ht="14.45" customHeight="1" outlineLevel="2">
      <c r="A23" s="12" t="s">
        <v>53</v>
      </c>
      <c r="B23" s="13"/>
      <c r="C23" s="14"/>
      <c r="D23" s="83"/>
      <c r="E23" s="96"/>
      <c r="F23" s="104"/>
      <c r="G23" s="102"/>
      <c r="H23" s="96"/>
      <c r="I23" s="85"/>
      <c r="J23" s="86"/>
      <c r="K23" s="86"/>
      <c r="L23" s="86"/>
      <c r="M23" s="86"/>
      <c r="N23" s="86"/>
      <c r="O23" s="84"/>
      <c r="P23" s="97"/>
      <c r="Q23" s="98"/>
      <c r="R23" s="89"/>
      <c r="S23" s="89"/>
      <c r="T23" s="89"/>
      <c r="U23" s="89"/>
      <c r="V23" s="90"/>
      <c r="W23" s="3"/>
      <c r="X23" s="91"/>
      <c r="Y23" s="96"/>
      <c r="Z23" s="104"/>
      <c r="AA23" s="102"/>
      <c r="AB23" s="96"/>
      <c r="AC23" s="85"/>
      <c r="AD23" s="86"/>
      <c r="AE23" s="86"/>
      <c r="AF23" s="86"/>
      <c r="AG23" s="86"/>
      <c r="AH23" s="86"/>
      <c r="AI23" s="84"/>
      <c r="AJ23" s="87"/>
      <c r="AK23" s="88"/>
      <c r="AL23" s="89"/>
      <c r="AM23" s="90"/>
      <c r="AN23" s="3"/>
      <c r="AO23" s="83"/>
      <c r="AP23" s="96"/>
      <c r="AQ23" s="104"/>
      <c r="AR23" s="102"/>
      <c r="AS23" s="96"/>
      <c r="AT23" s="85"/>
      <c r="AU23" s="86"/>
      <c r="AV23" s="86"/>
      <c r="AW23" s="86"/>
      <c r="AX23" s="86"/>
      <c r="AY23" s="86"/>
      <c r="AZ23" s="86"/>
      <c r="BA23" s="84"/>
      <c r="BB23" s="89"/>
      <c r="BC23" s="89"/>
      <c r="BD23" s="90"/>
      <c r="BF23" s="91"/>
      <c r="BG23" s="96"/>
      <c r="BH23" s="104"/>
      <c r="BI23" s="102"/>
      <c r="BJ23" s="96"/>
      <c r="BK23" s="85"/>
      <c r="BL23" s="86"/>
      <c r="BM23" s="85"/>
      <c r="BN23" s="85"/>
      <c r="BO23" s="85"/>
      <c r="BP23" s="85"/>
      <c r="BQ23" s="93"/>
      <c r="BR23" s="93"/>
      <c r="BS23" s="94"/>
      <c r="BU23" s="83"/>
      <c r="BV23" s="96"/>
      <c r="BW23" s="104"/>
      <c r="BX23" s="102"/>
      <c r="BY23" s="96"/>
      <c r="BZ23" s="85"/>
      <c r="CA23" s="86"/>
      <c r="CB23" s="86"/>
      <c r="CC23" s="86"/>
      <c r="CD23" s="86"/>
      <c r="CE23" s="86"/>
      <c r="CF23" s="84"/>
      <c r="CG23" s="86"/>
      <c r="CH23" s="13"/>
      <c r="CJ23" s="83"/>
      <c r="CK23" s="96"/>
      <c r="CL23" s="104"/>
      <c r="CM23" s="102"/>
      <c r="CN23" s="96"/>
      <c r="CO23" s="85"/>
      <c r="CP23" s="86"/>
      <c r="CQ23" s="86"/>
      <c r="CR23" s="86"/>
      <c r="CS23" s="86"/>
      <c r="CT23" s="86"/>
      <c r="CU23" s="86"/>
      <c r="CV23" s="86"/>
      <c r="CW23" s="99"/>
      <c r="CY23" s="91"/>
      <c r="CZ23" s="96"/>
      <c r="DA23" s="104"/>
      <c r="DB23" s="102"/>
      <c r="DC23" s="96"/>
      <c r="DD23" s="85"/>
      <c r="DE23" s="86"/>
      <c r="DF23" s="85"/>
      <c r="DG23" s="85"/>
      <c r="DH23" s="85"/>
      <c r="DI23" s="85"/>
      <c r="DJ23" s="93"/>
      <c r="DK23" s="94"/>
    </row>
    <row r="24" spans="1:115" ht="14.45" customHeight="1" outlineLevel="2">
      <c r="A24" s="12" t="s">
        <v>54</v>
      </c>
      <c r="B24" s="13"/>
      <c r="C24" s="14"/>
      <c r="D24" s="83"/>
      <c r="E24" s="96"/>
      <c r="F24" s="104"/>
      <c r="G24" s="102"/>
      <c r="H24" s="96"/>
      <c r="I24" s="85"/>
      <c r="J24" s="86"/>
      <c r="K24" s="86"/>
      <c r="L24" s="86"/>
      <c r="M24" s="86"/>
      <c r="N24" s="86"/>
      <c r="O24" s="84"/>
      <c r="P24" s="97"/>
      <c r="Q24" s="98"/>
      <c r="R24" s="89"/>
      <c r="S24" s="89"/>
      <c r="T24" s="89"/>
      <c r="U24" s="89"/>
      <c r="V24" s="90"/>
      <c r="W24" s="3"/>
      <c r="X24" s="91"/>
      <c r="Y24" s="96"/>
      <c r="Z24" s="104"/>
      <c r="AA24" s="102"/>
      <c r="AB24" s="96"/>
      <c r="AC24" s="85"/>
      <c r="AD24" s="86"/>
      <c r="AE24" s="86"/>
      <c r="AF24" s="86"/>
      <c r="AG24" s="86"/>
      <c r="AH24" s="86"/>
      <c r="AI24" s="84"/>
      <c r="AJ24" s="87"/>
      <c r="AK24" s="88"/>
      <c r="AL24" s="89"/>
      <c r="AM24" s="90"/>
      <c r="AN24" s="3"/>
      <c r="AO24" s="83"/>
      <c r="AP24" s="96"/>
      <c r="AQ24" s="104"/>
      <c r="AR24" s="102"/>
      <c r="AS24" s="96"/>
      <c r="AT24" s="85"/>
      <c r="AU24" s="86"/>
      <c r="AV24" s="86"/>
      <c r="AW24" s="86"/>
      <c r="AX24" s="86"/>
      <c r="AY24" s="86"/>
      <c r="AZ24" s="86"/>
      <c r="BA24" s="84"/>
      <c r="BB24" s="89"/>
      <c r="BC24" s="89"/>
      <c r="BD24" s="90"/>
      <c r="BF24" s="91"/>
      <c r="BG24" s="96"/>
      <c r="BH24" s="104"/>
      <c r="BI24" s="102"/>
      <c r="BJ24" s="96"/>
      <c r="BK24" s="85"/>
      <c r="BL24" s="86"/>
      <c r="BM24" s="85"/>
      <c r="BN24" s="85"/>
      <c r="BO24" s="85"/>
      <c r="BP24" s="85"/>
      <c r="BQ24" s="93"/>
      <c r="BR24" s="93"/>
      <c r="BS24" s="94"/>
      <c r="BU24" s="83"/>
      <c r="BV24" s="96"/>
      <c r="BW24" s="104"/>
      <c r="BX24" s="102"/>
      <c r="BY24" s="96"/>
      <c r="BZ24" s="85"/>
      <c r="CA24" s="86"/>
      <c r="CB24" s="86"/>
      <c r="CC24" s="86"/>
      <c r="CD24" s="86"/>
      <c r="CE24" s="86"/>
      <c r="CF24" s="84"/>
      <c r="CG24" s="86"/>
      <c r="CH24" s="13"/>
      <c r="CJ24" s="83"/>
      <c r="CK24" s="96"/>
      <c r="CL24" s="104"/>
      <c r="CM24" s="102"/>
      <c r="CN24" s="96"/>
      <c r="CO24" s="85"/>
      <c r="CP24" s="86"/>
      <c r="CQ24" s="86"/>
      <c r="CR24" s="86"/>
      <c r="CS24" s="86"/>
      <c r="CT24" s="86"/>
      <c r="CU24" s="86"/>
      <c r="CV24" s="86"/>
      <c r="CW24" s="99"/>
      <c r="CY24" s="91"/>
      <c r="CZ24" s="96"/>
      <c r="DA24" s="104"/>
      <c r="DB24" s="102"/>
      <c r="DC24" s="96"/>
      <c r="DD24" s="85"/>
      <c r="DE24" s="86"/>
      <c r="DF24" s="85"/>
      <c r="DG24" s="85"/>
      <c r="DH24" s="85"/>
      <c r="DI24" s="85"/>
      <c r="DJ24" s="93"/>
      <c r="DK24" s="94"/>
    </row>
    <row r="25" spans="1:115" ht="14.45" customHeight="1" outlineLevel="2">
      <c r="A25" s="12" t="s">
        <v>55</v>
      </c>
      <c r="B25" s="13"/>
      <c r="C25" s="14"/>
      <c r="D25" s="83"/>
      <c r="E25" s="96"/>
      <c r="F25" s="104"/>
      <c r="G25" s="102"/>
      <c r="H25" s="96"/>
      <c r="I25" s="85"/>
      <c r="J25" s="86"/>
      <c r="K25" s="86"/>
      <c r="L25" s="86"/>
      <c r="M25" s="86"/>
      <c r="N25" s="86"/>
      <c r="O25" s="84"/>
      <c r="P25" s="97"/>
      <c r="Q25" s="98"/>
      <c r="R25" s="89">
        <f>IF(ISERROR((($H25-$G25)/ABS($G25)+1)*100),0,(($H25-$G25)/ABS($G25)+1)*100)</f>
        <v>0</v>
      </c>
      <c r="S25" s="89"/>
      <c r="T25" s="89"/>
      <c r="U25" s="89"/>
      <c r="V25" s="90"/>
      <c r="W25" s="3"/>
      <c r="X25" s="91"/>
      <c r="Y25" s="96"/>
      <c r="Z25" s="104"/>
      <c r="AA25" s="102"/>
      <c r="AB25" s="96"/>
      <c r="AC25" s="85"/>
      <c r="AD25" s="86"/>
      <c r="AE25" s="86"/>
      <c r="AF25" s="86"/>
      <c r="AG25" s="86"/>
      <c r="AH25" s="86"/>
      <c r="AI25" s="84"/>
      <c r="AJ25" s="87"/>
      <c r="AK25" s="88">
        <f>IF(ISERROR((($X25-$CF25)/ABS($CF25)+1)*100),0,(($X25-$CF25)/ABS($CF25)+1)*100)</f>
        <v>0</v>
      </c>
      <c r="AL25" s="89"/>
      <c r="AM25" s="90"/>
      <c r="AN25" s="3"/>
      <c r="AO25" s="83"/>
      <c r="AP25" s="96"/>
      <c r="AQ25" s="104"/>
      <c r="AR25" s="102"/>
      <c r="AS25" s="96"/>
      <c r="AT25" s="85"/>
      <c r="AU25" s="86"/>
      <c r="AV25" s="86"/>
      <c r="AW25" s="86"/>
      <c r="AX25" s="86"/>
      <c r="AY25" s="86"/>
      <c r="AZ25" s="86"/>
      <c r="BA25" s="84"/>
      <c r="BB25" s="89"/>
      <c r="BC25" s="89"/>
      <c r="BD25" s="90"/>
      <c r="BF25" s="91"/>
      <c r="BG25" s="96"/>
      <c r="BH25" s="104"/>
      <c r="BI25" s="102"/>
      <c r="BJ25" s="96"/>
      <c r="BK25" s="85"/>
      <c r="BL25" s="86"/>
      <c r="BM25" s="85"/>
      <c r="BN25" s="85"/>
      <c r="BO25" s="85"/>
      <c r="BP25" s="85"/>
      <c r="BQ25" s="93"/>
      <c r="BR25" s="93"/>
      <c r="BS25" s="94"/>
      <c r="BU25" s="83"/>
      <c r="BV25" s="96"/>
      <c r="BW25" s="104"/>
      <c r="BX25" s="102"/>
      <c r="BY25" s="96"/>
      <c r="BZ25" s="85"/>
      <c r="CA25" s="86"/>
      <c r="CB25" s="86"/>
      <c r="CC25" s="86"/>
      <c r="CD25" s="86"/>
      <c r="CE25" s="86"/>
      <c r="CF25" s="84"/>
      <c r="CG25" s="86"/>
      <c r="CH25" s="13"/>
      <c r="CJ25" s="83"/>
      <c r="CK25" s="96"/>
      <c r="CL25" s="104"/>
      <c r="CM25" s="102"/>
      <c r="CN25" s="96"/>
      <c r="CO25" s="85"/>
      <c r="CP25" s="86"/>
      <c r="CQ25" s="86"/>
      <c r="CR25" s="86"/>
      <c r="CS25" s="86"/>
      <c r="CT25" s="86"/>
      <c r="CU25" s="86"/>
      <c r="CV25" s="86"/>
      <c r="CW25" s="99"/>
      <c r="CY25" s="91"/>
      <c r="CZ25" s="96"/>
      <c r="DA25" s="104"/>
      <c r="DB25" s="102"/>
      <c r="DC25" s="96"/>
      <c r="DD25" s="85"/>
      <c r="DE25" s="86"/>
      <c r="DF25" s="85"/>
      <c r="DG25" s="85"/>
      <c r="DH25" s="85"/>
      <c r="DI25" s="85"/>
      <c r="DJ25" s="93"/>
      <c r="DK25" s="94"/>
    </row>
    <row r="26" spans="1:115" ht="14.45" customHeight="1" outlineLevel="2">
      <c r="A26" s="12" t="s">
        <v>56</v>
      </c>
      <c r="B26" s="13"/>
      <c r="C26" s="14"/>
      <c r="D26" s="83"/>
      <c r="E26" s="96"/>
      <c r="F26" s="104"/>
      <c r="G26" s="102"/>
      <c r="H26" s="96"/>
      <c r="I26" s="85"/>
      <c r="J26" s="86"/>
      <c r="K26" s="86"/>
      <c r="L26" s="86"/>
      <c r="M26" s="86"/>
      <c r="N26" s="86"/>
      <c r="O26" s="84"/>
      <c r="P26" s="97"/>
      <c r="Q26" s="98"/>
      <c r="R26" s="89"/>
      <c r="S26" s="89"/>
      <c r="T26" s="89"/>
      <c r="U26" s="89"/>
      <c r="V26" s="90"/>
      <c r="W26" s="3"/>
      <c r="X26" s="91"/>
      <c r="Y26" s="96"/>
      <c r="Z26" s="104"/>
      <c r="AA26" s="102"/>
      <c r="AB26" s="96"/>
      <c r="AC26" s="85"/>
      <c r="AD26" s="86"/>
      <c r="AE26" s="86"/>
      <c r="AF26" s="86"/>
      <c r="AG26" s="86"/>
      <c r="AH26" s="86"/>
      <c r="AI26" s="84"/>
      <c r="AJ26" s="87"/>
      <c r="AK26" s="88"/>
      <c r="AL26" s="89"/>
      <c r="AM26" s="90"/>
      <c r="AN26" s="3"/>
      <c r="AO26" s="83"/>
      <c r="AP26" s="96"/>
      <c r="AQ26" s="104"/>
      <c r="AR26" s="102"/>
      <c r="AS26" s="96"/>
      <c r="AT26" s="85"/>
      <c r="AU26" s="86"/>
      <c r="AV26" s="86"/>
      <c r="AW26" s="86"/>
      <c r="AX26" s="86"/>
      <c r="AY26" s="86"/>
      <c r="AZ26" s="86"/>
      <c r="BA26" s="84"/>
      <c r="BB26" s="89"/>
      <c r="BC26" s="89"/>
      <c r="BD26" s="90"/>
      <c r="BF26" s="91"/>
      <c r="BG26" s="96"/>
      <c r="BH26" s="104"/>
      <c r="BI26" s="102"/>
      <c r="BJ26" s="96"/>
      <c r="BK26" s="85"/>
      <c r="BL26" s="86"/>
      <c r="BM26" s="85"/>
      <c r="BN26" s="85"/>
      <c r="BO26" s="85"/>
      <c r="BP26" s="85"/>
      <c r="BQ26" s="93"/>
      <c r="BR26" s="93"/>
      <c r="BS26" s="94"/>
      <c r="BU26" s="83"/>
      <c r="BV26" s="96"/>
      <c r="BW26" s="104"/>
      <c r="BX26" s="102"/>
      <c r="BY26" s="96"/>
      <c r="BZ26" s="85"/>
      <c r="CA26" s="86"/>
      <c r="CB26" s="86"/>
      <c r="CC26" s="86"/>
      <c r="CD26" s="86"/>
      <c r="CE26" s="86"/>
      <c r="CF26" s="84"/>
      <c r="CG26" s="86"/>
      <c r="CH26" s="13"/>
      <c r="CJ26" s="83"/>
      <c r="CK26" s="96"/>
      <c r="CL26" s="104"/>
      <c r="CM26" s="102"/>
      <c r="CN26" s="96"/>
      <c r="CO26" s="85"/>
      <c r="CP26" s="86"/>
      <c r="CQ26" s="86"/>
      <c r="CR26" s="86"/>
      <c r="CS26" s="86"/>
      <c r="CT26" s="86"/>
      <c r="CU26" s="86"/>
      <c r="CV26" s="86"/>
      <c r="CW26" s="99"/>
      <c r="CY26" s="91"/>
      <c r="CZ26" s="96"/>
      <c r="DA26" s="104"/>
      <c r="DB26" s="102"/>
      <c r="DC26" s="96"/>
      <c r="DD26" s="85"/>
      <c r="DE26" s="86"/>
      <c r="DF26" s="85"/>
      <c r="DG26" s="85"/>
      <c r="DH26" s="85"/>
      <c r="DI26" s="85"/>
      <c r="DJ26" s="93"/>
      <c r="DK26" s="94"/>
    </row>
    <row r="27" spans="1:115" ht="14.45" customHeight="1" outlineLevel="2">
      <c r="A27" s="12" t="s">
        <v>57</v>
      </c>
      <c r="B27" s="13"/>
      <c r="C27" s="14"/>
      <c r="D27" s="83"/>
      <c r="E27" s="96"/>
      <c r="F27" s="104"/>
      <c r="G27" s="102"/>
      <c r="H27" s="96"/>
      <c r="I27" s="85"/>
      <c r="J27" s="86"/>
      <c r="K27" s="86"/>
      <c r="L27" s="86"/>
      <c r="M27" s="86"/>
      <c r="N27" s="86"/>
      <c r="O27" s="84"/>
      <c r="P27" s="97"/>
      <c r="Q27" s="98"/>
      <c r="R27" s="89"/>
      <c r="S27" s="89"/>
      <c r="T27" s="89"/>
      <c r="U27" s="89"/>
      <c r="V27" s="90"/>
      <c r="W27" s="3"/>
      <c r="X27" s="91"/>
      <c r="Y27" s="96"/>
      <c r="Z27" s="104"/>
      <c r="AA27" s="102"/>
      <c r="AB27" s="96"/>
      <c r="AC27" s="85"/>
      <c r="AD27" s="86"/>
      <c r="AE27" s="86"/>
      <c r="AF27" s="86"/>
      <c r="AG27" s="86"/>
      <c r="AH27" s="86"/>
      <c r="AI27" s="84"/>
      <c r="AJ27" s="87"/>
      <c r="AK27" s="88"/>
      <c r="AL27" s="89"/>
      <c r="AM27" s="90"/>
      <c r="AN27" s="3"/>
      <c r="AO27" s="83"/>
      <c r="AP27" s="96"/>
      <c r="AQ27" s="104"/>
      <c r="AR27" s="102"/>
      <c r="AS27" s="96"/>
      <c r="AT27" s="85"/>
      <c r="AU27" s="86"/>
      <c r="AV27" s="86"/>
      <c r="AW27" s="86"/>
      <c r="AX27" s="86"/>
      <c r="AY27" s="86"/>
      <c r="AZ27" s="86"/>
      <c r="BA27" s="84"/>
      <c r="BB27" s="89"/>
      <c r="BC27" s="89"/>
      <c r="BD27" s="90"/>
      <c r="BF27" s="91"/>
      <c r="BG27" s="96"/>
      <c r="BH27" s="104"/>
      <c r="BI27" s="102"/>
      <c r="BJ27" s="96"/>
      <c r="BK27" s="85"/>
      <c r="BL27" s="86"/>
      <c r="BM27" s="85"/>
      <c r="BN27" s="85"/>
      <c r="BO27" s="85"/>
      <c r="BP27" s="85"/>
      <c r="BQ27" s="93"/>
      <c r="BR27" s="93"/>
      <c r="BS27" s="94"/>
      <c r="BU27" s="83"/>
      <c r="BV27" s="96"/>
      <c r="BW27" s="104"/>
      <c r="BX27" s="102"/>
      <c r="BY27" s="96"/>
      <c r="BZ27" s="85"/>
      <c r="CA27" s="86"/>
      <c r="CB27" s="86"/>
      <c r="CC27" s="86"/>
      <c r="CD27" s="86"/>
      <c r="CE27" s="86"/>
      <c r="CF27" s="84"/>
      <c r="CG27" s="86"/>
      <c r="CH27" s="13"/>
      <c r="CJ27" s="83"/>
      <c r="CK27" s="96"/>
      <c r="CL27" s="104"/>
      <c r="CM27" s="102"/>
      <c r="CN27" s="96"/>
      <c r="CO27" s="85"/>
      <c r="CP27" s="86"/>
      <c r="CQ27" s="86"/>
      <c r="CR27" s="86"/>
      <c r="CS27" s="86"/>
      <c r="CT27" s="86"/>
      <c r="CU27" s="86"/>
      <c r="CV27" s="86"/>
      <c r="CW27" s="99"/>
      <c r="CY27" s="91"/>
      <c r="CZ27" s="96"/>
      <c r="DA27" s="104"/>
      <c r="DB27" s="102"/>
      <c r="DC27" s="96"/>
      <c r="DD27" s="85"/>
      <c r="DE27" s="86"/>
      <c r="DF27" s="85"/>
      <c r="DG27" s="85"/>
      <c r="DH27" s="85"/>
      <c r="DI27" s="85"/>
      <c r="DJ27" s="93"/>
      <c r="DK27" s="94"/>
    </row>
    <row r="28" spans="1:115" ht="14.45" customHeight="1" outlineLevel="2">
      <c r="A28" s="12" t="s">
        <v>58</v>
      </c>
      <c r="B28" s="13"/>
      <c r="C28" s="14"/>
      <c r="D28" s="83"/>
      <c r="E28" s="96"/>
      <c r="F28" s="104"/>
      <c r="G28" s="102"/>
      <c r="H28" s="96"/>
      <c r="I28" s="85"/>
      <c r="J28" s="86"/>
      <c r="K28" s="86"/>
      <c r="L28" s="86"/>
      <c r="M28" s="86"/>
      <c r="N28" s="86"/>
      <c r="O28" s="84"/>
      <c r="P28" s="97"/>
      <c r="Q28" s="98"/>
      <c r="R28" s="89"/>
      <c r="S28" s="89"/>
      <c r="T28" s="89"/>
      <c r="U28" s="89"/>
      <c r="V28" s="90"/>
      <c r="W28" s="3"/>
      <c r="X28" s="91"/>
      <c r="Y28" s="96"/>
      <c r="Z28" s="104"/>
      <c r="AA28" s="102"/>
      <c r="AB28" s="96"/>
      <c r="AC28" s="85"/>
      <c r="AD28" s="86"/>
      <c r="AE28" s="86"/>
      <c r="AF28" s="86"/>
      <c r="AG28" s="86"/>
      <c r="AH28" s="86"/>
      <c r="AI28" s="84"/>
      <c r="AJ28" s="87"/>
      <c r="AK28" s="88"/>
      <c r="AL28" s="89"/>
      <c r="AM28" s="90"/>
      <c r="AN28" s="3"/>
      <c r="AO28" s="83"/>
      <c r="AP28" s="96"/>
      <c r="AQ28" s="104"/>
      <c r="AR28" s="102"/>
      <c r="AS28" s="96"/>
      <c r="AT28" s="85"/>
      <c r="AU28" s="86"/>
      <c r="AV28" s="86"/>
      <c r="AW28" s="86"/>
      <c r="AX28" s="86"/>
      <c r="AY28" s="86"/>
      <c r="AZ28" s="86"/>
      <c r="BA28" s="84"/>
      <c r="BB28" s="89"/>
      <c r="BC28" s="89"/>
      <c r="BD28" s="90"/>
      <c r="BF28" s="91"/>
      <c r="BG28" s="96"/>
      <c r="BH28" s="104"/>
      <c r="BI28" s="102"/>
      <c r="BJ28" s="96"/>
      <c r="BK28" s="85"/>
      <c r="BL28" s="86"/>
      <c r="BM28" s="85"/>
      <c r="BN28" s="85"/>
      <c r="BO28" s="85"/>
      <c r="BP28" s="85"/>
      <c r="BQ28" s="93"/>
      <c r="BR28" s="93"/>
      <c r="BS28" s="94"/>
      <c r="BU28" s="83"/>
      <c r="BV28" s="96"/>
      <c r="BW28" s="104"/>
      <c r="BX28" s="102"/>
      <c r="BY28" s="96"/>
      <c r="BZ28" s="85"/>
      <c r="CA28" s="86"/>
      <c r="CB28" s="86"/>
      <c r="CC28" s="86"/>
      <c r="CD28" s="86"/>
      <c r="CE28" s="86"/>
      <c r="CF28" s="84"/>
      <c r="CG28" s="86"/>
      <c r="CH28" s="13"/>
      <c r="CJ28" s="83"/>
      <c r="CK28" s="96"/>
      <c r="CL28" s="104"/>
      <c r="CM28" s="102"/>
      <c r="CN28" s="96"/>
      <c r="CO28" s="85"/>
      <c r="CP28" s="86"/>
      <c r="CQ28" s="86"/>
      <c r="CR28" s="86"/>
      <c r="CS28" s="86"/>
      <c r="CT28" s="86"/>
      <c r="CU28" s="86"/>
      <c r="CV28" s="86"/>
      <c r="CW28" s="99"/>
      <c r="CY28" s="91"/>
      <c r="CZ28" s="96"/>
      <c r="DA28" s="104"/>
      <c r="DB28" s="102"/>
      <c r="DC28" s="96"/>
      <c r="DD28" s="85"/>
      <c r="DE28" s="86"/>
      <c r="DF28" s="85"/>
      <c r="DG28" s="85"/>
      <c r="DH28" s="85"/>
      <c r="DI28" s="85"/>
      <c r="DJ28" s="93"/>
      <c r="DK28" s="94"/>
    </row>
    <row r="29" spans="1:115" ht="14.45" customHeight="1" outlineLevel="2">
      <c r="A29" s="124" t="s">
        <v>59</v>
      </c>
      <c r="B29" s="13"/>
      <c r="C29" s="14"/>
      <c r="D29" s="83"/>
      <c r="E29" s="96"/>
      <c r="F29" s="104"/>
      <c r="G29" s="102"/>
      <c r="H29" s="96"/>
      <c r="I29" s="85"/>
      <c r="J29" s="86"/>
      <c r="K29" s="86"/>
      <c r="L29" s="86"/>
      <c r="M29" s="86"/>
      <c r="N29" s="86"/>
      <c r="O29" s="84"/>
      <c r="P29" s="97"/>
      <c r="Q29" s="98"/>
      <c r="R29" s="89"/>
      <c r="S29" s="89"/>
      <c r="T29" s="89"/>
      <c r="U29" s="89"/>
      <c r="V29" s="90"/>
      <c r="W29" s="3"/>
      <c r="X29" s="91"/>
      <c r="Y29" s="96"/>
      <c r="Z29" s="104"/>
      <c r="AA29" s="102"/>
      <c r="AB29" s="96"/>
      <c r="AC29" s="85"/>
      <c r="AD29" s="86"/>
      <c r="AE29" s="86"/>
      <c r="AF29" s="86"/>
      <c r="AG29" s="86"/>
      <c r="AH29" s="86"/>
      <c r="AI29" s="84"/>
      <c r="AJ29" s="87"/>
      <c r="AK29" s="88"/>
      <c r="AL29" s="89"/>
      <c r="AM29" s="90"/>
      <c r="AN29" s="3"/>
      <c r="AO29" s="91"/>
      <c r="AP29" s="96"/>
      <c r="AQ29" s="104"/>
      <c r="AR29" s="102"/>
      <c r="AS29" s="96"/>
      <c r="AT29" s="85"/>
      <c r="AU29" s="86"/>
      <c r="AV29" s="86"/>
      <c r="AW29" s="86"/>
      <c r="AX29" s="86"/>
      <c r="AY29" s="86"/>
      <c r="AZ29" s="86"/>
      <c r="BA29" s="84"/>
      <c r="BB29" s="89"/>
      <c r="BC29" s="89"/>
      <c r="BD29" s="90"/>
      <c r="BF29" s="91"/>
      <c r="BG29" s="96"/>
      <c r="BH29" s="104"/>
      <c r="BI29" s="102"/>
      <c r="BJ29" s="96"/>
      <c r="BK29" s="85"/>
      <c r="BL29" s="86"/>
      <c r="BM29" s="85"/>
      <c r="BN29" s="85"/>
      <c r="BO29" s="85"/>
      <c r="BP29" s="85"/>
      <c r="BQ29" s="93"/>
      <c r="BR29" s="93"/>
      <c r="BS29" s="94"/>
      <c r="BU29" s="83"/>
      <c r="BV29" s="96"/>
      <c r="BW29" s="104"/>
      <c r="BX29" s="102"/>
      <c r="BY29" s="96"/>
      <c r="BZ29" s="85"/>
      <c r="CA29" s="86"/>
      <c r="CB29" s="86"/>
      <c r="CC29" s="86"/>
      <c r="CD29" s="86"/>
      <c r="CE29" s="86"/>
      <c r="CF29" s="84"/>
      <c r="CG29" s="86"/>
      <c r="CH29" s="13"/>
      <c r="CJ29" s="83"/>
      <c r="CK29" s="96"/>
      <c r="CL29" s="104"/>
      <c r="CM29" s="102"/>
      <c r="CN29" s="96"/>
      <c r="CO29" s="85"/>
      <c r="CP29" s="86"/>
      <c r="CQ29" s="86"/>
      <c r="CR29" s="86"/>
      <c r="CS29" s="86"/>
      <c r="CT29" s="86"/>
      <c r="CU29" s="86"/>
      <c r="CV29" s="86"/>
      <c r="CW29" s="99"/>
      <c r="CY29" s="91"/>
      <c r="CZ29" s="96"/>
      <c r="DA29" s="104"/>
      <c r="DB29" s="102"/>
      <c r="DC29" s="96"/>
      <c r="DD29" s="85"/>
      <c r="DE29" s="86"/>
      <c r="DF29" s="85"/>
      <c r="DG29" s="85"/>
      <c r="DH29" s="85"/>
      <c r="DI29" s="85"/>
      <c r="DJ29" s="93"/>
      <c r="DK29" s="94"/>
    </row>
    <row r="30" spans="1:115" ht="14.45" customHeight="1" outlineLevel="1">
      <c r="A30" s="12" t="s">
        <v>60</v>
      </c>
      <c r="B30" s="13"/>
      <c r="C30" s="14"/>
      <c r="D30" s="91">
        <f>-[24]PLFYE16!E32</f>
        <v>12813978.16</v>
      </c>
      <c r="E30" s="96">
        <f>-[24]PLFYE16!F32</f>
        <v>12070101.719999999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100">
        <f>SUM(D30:O30)</f>
        <v>24884079.879999999</v>
      </c>
      <c r="Q30" s="101">
        <f>+BU30+BV30</f>
        <v>24734047.999999993</v>
      </c>
      <c r="R30" s="89">
        <f t="shared" ref="R30:R32" si="4">IF(ISERROR((($E30-$D30)/ABS($D30)+1)*100),0,(($E30-$D30)/ABS($D30)+1)*100)</f>
        <v>94.194804839592436</v>
      </c>
      <c r="S30" s="89">
        <f t="shared" ref="S30:S32" si="5">IF(ISERROR((($E30-$BG30)/ABS($BG30)+1)*100),0,(($E30-$BG30)/ABS($BG30)+1)*100)</f>
        <v>93.526688567978795</v>
      </c>
      <c r="T30" s="89">
        <f>IF(ISERROR((($P30-$BG30)/ABS($BG30)+1)*100),0,(($P30-$BG30)/ABS($BG30)+1)*100)</f>
        <v>192.81739650802768</v>
      </c>
      <c r="U30" s="96">
        <f>(+'[24]PF resc'!D32)*1000</f>
        <v>13659549.448547568</v>
      </c>
      <c r="V30" s="90">
        <f>IF(ISERROR((($E30-$U30)/ABS($U30)+1)*100),0,(($E30-$U30)/ABS($U30)+1)*100)</f>
        <v>88.363834879512979</v>
      </c>
      <c r="W30" s="3"/>
      <c r="X30" s="91">
        <f>+D30</f>
        <v>12813978.16</v>
      </c>
      <c r="Y30" s="96">
        <f>+E30</f>
        <v>12070101.719999999</v>
      </c>
      <c r="Z30" s="103">
        <f t="shared" ref="Z30:AI30" si="6">F30-AQ31</f>
        <v>0</v>
      </c>
      <c r="AA30" s="96">
        <f t="shared" si="6"/>
        <v>0</v>
      </c>
      <c r="AB30" s="96">
        <f t="shared" si="6"/>
        <v>0</v>
      </c>
      <c r="AC30" s="96">
        <f t="shared" si="6"/>
        <v>0</v>
      </c>
      <c r="AD30" s="96">
        <f t="shared" si="6"/>
        <v>0</v>
      </c>
      <c r="AE30" s="96">
        <f t="shared" si="6"/>
        <v>0</v>
      </c>
      <c r="AF30" s="96">
        <f t="shared" si="6"/>
        <v>0</v>
      </c>
      <c r="AG30" s="96">
        <f t="shared" si="6"/>
        <v>0</v>
      </c>
      <c r="AH30" s="96">
        <f t="shared" si="6"/>
        <v>0</v>
      </c>
      <c r="AI30" s="102">
        <f t="shared" si="6"/>
        <v>0</v>
      </c>
      <c r="AJ30" s="103">
        <f>SUM(X30:AI30)</f>
        <v>24884079.879999999</v>
      </c>
      <c r="AK30" s="88">
        <f>IF(ISERROR((($Y30-$X30)/ABS($X30)+1)*100),0,(($Y30-$X30)/ABS($X30)+1)*100)</f>
        <v>94.194804839592436</v>
      </c>
      <c r="AL30" s="96">
        <f>(+'[24]PF resc'!R32)*1000</f>
        <v>12743916.872009829</v>
      </c>
      <c r="AM30" s="90">
        <f>IF(ISERROR((($Y30-$AL30)/ABS($AL30)+1)*100),0,(($Y30-$AL30)/ABS($AL30)+1)*100)</f>
        <v>94.71265264222049</v>
      </c>
      <c r="AN30" s="3"/>
      <c r="AO30" s="91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102">
        <f>SUM(AO30:AZ30)</f>
        <v>0</v>
      </c>
      <c r="BB30" s="89">
        <f t="shared" ref="BB30:BB32" si="7">IF(ISERROR((($AP30-$AO30)/ABS($AO30)+1)*100),0,(($AP30-$AO30)/ABS($AO30)+1)*100)</f>
        <v>0</v>
      </c>
      <c r="BC30" s="89"/>
      <c r="BD30" s="90"/>
      <c r="BF30" s="91">
        <v>13005742.82</v>
      </c>
      <c r="BG30" s="96">
        <v>12905515.960000001</v>
      </c>
      <c r="BH30" s="104">
        <v>12997284.259999998</v>
      </c>
      <c r="BI30" s="102">
        <v>12863985.41</v>
      </c>
      <c r="BJ30" s="96">
        <v>13360734.390000001</v>
      </c>
      <c r="BK30" s="96">
        <v>12765301.140000001</v>
      </c>
      <c r="BL30" s="96">
        <v>12797222.289999999</v>
      </c>
      <c r="BM30" s="96">
        <v>13412005.939999999</v>
      </c>
      <c r="BN30" s="96">
        <v>12574112.1</v>
      </c>
      <c r="BO30" s="96">
        <v>13592869.76</v>
      </c>
      <c r="BP30" s="96">
        <v>12996586.17</v>
      </c>
      <c r="BQ30" s="102">
        <v>13451620.630000001</v>
      </c>
      <c r="BR30" s="102">
        <v>3173772.01</v>
      </c>
      <c r="BS30" s="94">
        <f>SUM(BF30:BG30)</f>
        <v>25911258.780000001</v>
      </c>
      <c r="BU30" s="83">
        <v>12399032.169999996</v>
      </c>
      <c r="BV30" s="96">
        <v>12335015.829999998</v>
      </c>
      <c r="BW30" s="96">
        <v>12400327.529999997</v>
      </c>
      <c r="BX30" s="96">
        <v>12301755.250000002</v>
      </c>
      <c r="BY30" s="96">
        <v>12747181.90000001</v>
      </c>
      <c r="BZ30" s="96">
        <v>12241019.399999997</v>
      </c>
      <c r="CA30" s="96">
        <v>12186280.17</v>
      </c>
      <c r="CB30" s="96">
        <v>12752238.870000001</v>
      </c>
      <c r="CC30" s="96">
        <v>11950397.459999999</v>
      </c>
      <c r="CD30" s="96">
        <v>12849788.780000001</v>
      </c>
      <c r="CE30" s="96">
        <v>12191773.590000004</v>
      </c>
      <c r="CF30" s="102">
        <v>12606323.750000002</v>
      </c>
      <c r="CG30" s="96">
        <v>3066007.8299999991</v>
      </c>
      <c r="CH30" s="105">
        <v>152027142.53</v>
      </c>
      <c r="CJ30" s="83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106">
        <v>0</v>
      </c>
      <c r="CY30" s="91">
        <v>9448158.8900000006</v>
      </c>
      <c r="CZ30" s="96">
        <v>9933210.6899999995</v>
      </c>
      <c r="DA30" s="104">
        <v>10553433.6</v>
      </c>
      <c r="DB30" s="102">
        <v>11121419.23</v>
      </c>
      <c r="DC30" s="96">
        <v>11831868.870000001</v>
      </c>
      <c r="DD30" s="96">
        <v>12238859.299999999</v>
      </c>
      <c r="DE30" s="96">
        <v>12274447.25</v>
      </c>
      <c r="DF30" s="96">
        <v>12761286.890000001</v>
      </c>
      <c r="DG30" s="96">
        <v>12575549.560000001</v>
      </c>
      <c r="DH30" s="96">
        <v>13147940.650000002</v>
      </c>
      <c r="DI30" s="96">
        <v>12904533.299999999</v>
      </c>
      <c r="DJ30" s="102">
        <v>12782285.57</v>
      </c>
      <c r="DK30" s="94">
        <f>SUM(CY30:DJ30)</f>
        <v>141572993.80000001</v>
      </c>
    </row>
    <row r="31" spans="1:115" ht="14.45" customHeight="1" outlineLevel="1">
      <c r="A31" s="12" t="s">
        <v>61</v>
      </c>
      <c r="B31" s="13"/>
      <c r="C31" s="14"/>
      <c r="D31" s="91">
        <f>-[24]PLFYE16!E33</f>
        <v>977099.54</v>
      </c>
      <c r="E31" s="96">
        <f>-[24]PLFYE16!F33</f>
        <v>868082.75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100">
        <f>SUM(D31:O31)</f>
        <v>1845182.29</v>
      </c>
      <c r="Q31" s="101">
        <f>+CJ31+CK31</f>
        <v>1177210.7800000063</v>
      </c>
      <c r="R31" s="89">
        <f t="shared" si="4"/>
        <v>88.842816362394345</v>
      </c>
      <c r="S31" s="89">
        <f t="shared" si="5"/>
        <v>0</v>
      </c>
      <c r="T31" s="89">
        <f>IF(ISERROR((($P31-$BG31)/ABS($BG31)+1)*100),0,(($P31-$BG31)/ABS($BG31)+1)*100)</f>
        <v>0</v>
      </c>
      <c r="U31" s="89"/>
      <c r="V31" s="90"/>
      <c r="W31" s="3"/>
      <c r="X31" s="91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102"/>
      <c r="AJ31" s="103"/>
      <c r="AK31" s="88"/>
      <c r="AL31" s="89"/>
      <c r="AM31" s="90"/>
      <c r="AN31" s="3"/>
      <c r="AO31" s="91">
        <f>+D31</f>
        <v>977099.54</v>
      </c>
      <c r="AP31" s="96">
        <f>+E31</f>
        <v>868082.75</v>
      </c>
      <c r="AQ31" s="96"/>
      <c r="AR31" s="96"/>
      <c r="AS31" s="96"/>
      <c r="AT31" s="96"/>
      <c r="AU31" s="96"/>
      <c r="AV31" s="96"/>
      <c r="AW31" s="96"/>
      <c r="AX31" s="96"/>
      <c r="AY31" s="125"/>
      <c r="AZ31" s="125"/>
      <c r="BA31" s="102">
        <f>SUM(AO31:AZ31)</f>
        <v>1845182.29</v>
      </c>
      <c r="BB31" s="89">
        <f t="shared" si="7"/>
        <v>88.842816362394345</v>
      </c>
      <c r="BC31" s="96">
        <f>(+'[24]PF resc'!AF33)*1000</f>
        <v>915632.57653774088</v>
      </c>
      <c r="BD31" s="90">
        <f>IF(ISERROR((($AP31-$BC31)/ABS($BC31)+1)*100),0,(($AP31-$BC31)/ABS($BC31)+1)*100)</f>
        <v>94.806887854783426</v>
      </c>
      <c r="BF31" s="126"/>
      <c r="BG31" s="127"/>
      <c r="BH31" s="128"/>
      <c r="BI31" s="129"/>
      <c r="BJ31" s="127"/>
      <c r="BK31" s="127"/>
      <c r="BL31" s="127"/>
      <c r="BM31" s="127"/>
      <c r="BN31" s="127"/>
      <c r="BO31" s="127"/>
      <c r="BP31" s="127"/>
      <c r="BQ31" s="129"/>
      <c r="BR31" s="129"/>
      <c r="BS31" s="130"/>
      <c r="BT31" s="6"/>
      <c r="BU31" s="83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102"/>
      <c r="CG31" s="96"/>
      <c r="CH31" s="105"/>
      <c r="CI31" s="6"/>
      <c r="CJ31" s="83">
        <v>606710.65000000421</v>
      </c>
      <c r="CK31" s="96">
        <v>570500.1300000021</v>
      </c>
      <c r="CL31" s="96">
        <v>596956.73000000091</v>
      </c>
      <c r="CM31" s="96">
        <v>562230.15999999887</v>
      </c>
      <c r="CN31" s="96">
        <v>613552.48999999184</v>
      </c>
      <c r="CO31" s="96">
        <v>524281.74000000418</v>
      </c>
      <c r="CP31" s="96">
        <v>610942.11999999941</v>
      </c>
      <c r="CQ31" s="96">
        <v>659767.0699999982</v>
      </c>
      <c r="CR31" s="96">
        <v>623714.6400000006</v>
      </c>
      <c r="CS31" s="96">
        <v>743080.97999999765</v>
      </c>
      <c r="CT31" s="125">
        <v>804812.57999999588</v>
      </c>
      <c r="CU31" s="125">
        <v>845296.87999999942</v>
      </c>
      <c r="CV31" s="125">
        <v>107764.18000000063</v>
      </c>
      <c r="CW31" s="106">
        <v>7869610.3499999931</v>
      </c>
      <c r="CY31" s="91"/>
      <c r="CZ31" s="96"/>
      <c r="DA31" s="104"/>
      <c r="DB31" s="102"/>
      <c r="DC31" s="96"/>
      <c r="DD31" s="96"/>
      <c r="DE31" s="96"/>
      <c r="DF31" s="96"/>
      <c r="DG31" s="96"/>
      <c r="DH31" s="96"/>
      <c r="DI31" s="96"/>
      <c r="DJ31" s="102"/>
      <c r="DK31" s="94"/>
    </row>
    <row r="32" spans="1:115" ht="14.45" customHeight="1" outlineLevel="1">
      <c r="A32" s="12" t="s">
        <v>62</v>
      </c>
      <c r="B32" s="13"/>
      <c r="C32" s="14"/>
      <c r="D32" s="91">
        <f>-[24]PLFYE16!E51</f>
        <v>748158</v>
      </c>
      <c r="E32" s="96">
        <f>-[24]PLFYE16!F51</f>
        <v>1412666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100">
        <f>SUM(D32:O32)</f>
        <v>2160824</v>
      </c>
      <c r="Q32" s="101">
        <f>SUM(BS32)</f>
        <v>967705</v>
      </c>
      <c r="R32" s="89">
        <f t="shared" si="4"/>
        <v>188.81920663817002</v>
      </c>
      <c r="S32" s="89">
        <f t="shared" si="5"/>
        <v>275.38959393336842</v>
      </c>
      <c r="T32" s="89">
        <f>IF(ISERROR((($P32-$BG32)/ABS($BG32)+1)*100),0,(($P32-$BG32)/ABS($BG32)+1)*100)</f>
        <v>421.23788915531122</v>
      </c>
      <c r="U32" s="96">
        <f>(+'[24]PF resc'!D34)*1000</f>
        <v>395262.67482648871</v>
      </c>
      <c r="V32" s="90">
        <f>IF(ISERROR((($E32-$U32)/ABS($U32)+1)*100),0,(($E32-$U32)/ABS($U32)+1)*100)</f>
        <v>357.39929165336144</v>
      </c>
      <c r="W32" s="3"/>
      <c r="X32" s="91">
        <f t="shared" ref="X32:AI32" si="8">D32</f>
        <v>748158</v>
      </c>
      <c r="Y32" s="96">
        <f t="shared" si="8"/>
        <v>1412666</v>
      </c>
      <c r="Z32" s="96">
        <f t="shared" si="8"/>
        <v>0</v>
      </c>
      <c r="AA32" s="96">
        <f t="shared" si="8"/>
        <v>0</v>
      </c>
      <c r="AB32" s="96">
        <f t="shared" si="8"/>
        <v>0</v>
      </c>
      <c r="AC32" s="96">
        <f t="shared" si="8"/>
        <v>0</v>
      </c>
      <c r="AD32" s="96">
        <f t="shared" si="8"/>
        <v>0</v>
      </c>
      <c r="AE32" s="96">
        <f t="shared" si="8"/>
        <v>0</v>
      </c>
      <c r="AF32" s="96">
        <f t="shared" si="8"/>
        <v>0</v>
      </c>
      <c r="AG32" s="96">
        <f t="shared" si="8"/>
        <v>0</v>
      </c>
      <c r="AH32" s="96">
        <f t="shared" si="8"/>
        <v>0</v>
      </c>
      <c r="AI32" s="102">
        <f t="shared" si="8"/>
        <v>0</v>
      </c>
      <c r="AJ32" s="103">
        <f>SUM(X32:AI32)</f>
        <v>2160824</v>
      </c>
      <c r="AK32" s="88">
        <f>IF(ISERROR((($Y32-$X32)/ABS($X32)+1)*100),0,(($Y32-$X32)/ABS($X32)+1)*100)</f>
        <v>188.81920663817002</v>
      </c>
      <c r="AL32" s="96">
        <f>(+'[24]PF resc'!R34)*1000</f>
        <v>395262.67482648871</v>
      </c>
      <c r="AM32" s="90">
        <f>IF(ISERROR((($Y32-$AL32)/ABS($AL32)+1)*100),0,(($Y32-$AL32)/ABS($AL32)+1)*100)</f>
        <v>357.39929165336144</v>
      </c>
      <c r="AN32" s="3"/>
      <c r="AO32" s="91">
        <v>0</v>
      </c>
      <c r="AP32" s="96">
        <v>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102">
        <f>SUM(AO32:AZ32)</f>
        <v>1</v>
      </c>
      <c r="BB32" s="89">
        <f t="shared" si="7"/>
        <v>0</v>
      </c>
      <c r="BC32" s="89"/>
      <c r="BD32" s="90"/>
      <c r="BF32" s="91">
        <v>454735</v>
      </c>
      <c r="BG32" s="96">
        <v>512970</v>
      </c>
      <c r="BH32" s="104">
        <v>395915</v>
      </c>
      <c r="BI32" s="102">
        <v>424101</v>
      </c>
      <c r="BJ32" s="96">
        <v>395521</v>
      </c>
      <c r="BK32" s="96">
        <v>265260.06</v>
      </c>
      <c r="BL32" s="96">
        <v>263197</v>
      </c>
      <c r="BM32" s="96">
        <v>278062</v>
      </c>
      <c r="BN32" s="96">
        <v>275738</v>
      </c>
      <c r="BO32" s="96">
        <v>242348</v>
      </c>
      <c r="BP32" s="96">
        <v>193203</v>
      </c>
      <c r="BQ32" s="102">
        <v>102100</v>
      </c>
      <c r="BR32" s="102">
        <v>64513</v>
      </c>
      <c r="BS32" s="94">
        <f>SUM(BF32:BG32)</f>
        <v>967705</v>
      </c>
      <c r="BU32" s="83">
        <v>454735</v>
      </c>
      <c r="BV32" s="96">
        <v>512970</v>
      </c>
      <c r="BW32" s="96">
        <v>395915</v>
      </c>
      <c r="BX32" s="96">
        <v>424101</v>
      </c>
      <c r="BY32" s="96">
        <v>395521</v>
      </c>
      <c r="BZ32" s="96">
        <v>265260.06</v>
      </c>
      <c r="CA32" s="96">
        <v>263197</v>
      </c>
      <c r="CB32" s="96">
        <v>278062</v>
      </c>
      <c r="CC32" s="96">
        <v>275738</v>
      </c>
      <c r="CD32" s="96">
        <v>242348</v>
      </c>
      <c r="CE32" s="96">
        <v>193203</v>
      </c>
      <c r="CF32" s="102">
        <v>102100</v>
      </c>
      <c r="CG32" s="96">
        <v>64513</v>
      </c>
      <c r="CH32" s="105">
        <v>3867663.06</v>
      </c>
      <c r="CJ32" s="83">
        <v>0</v>
      </c>
      <c r="CK32" s="96">
        <v>0</v>
      </c>
      <c r="CL32" s="96">
        <v>0</v>
      </c>
      <c r="CM32" s="96">
        <v>0</v>
      </c>
      <c r="CN32" s="96">
        <v>0</v>
      </c>
      <c r="CO32" s="96">
        <v>0</v>
      </c>
      <c r="CP32" s="96">
        <v>0</v>
      </c>
      <c r="CQ32" s="96">
        <v>0</v>
      </c>
      <c r="CR32" s="96"/>
      <c r="CS32" s="96"/>
      <c r="CT32" s="96"/>
      <c r="CU32" s="96"/>
      <c r="CV32" s="96"/>
      <c r="CW32" s="106">
        <v>0</v>
      </c>
      <c r="CY32" s="91">
        <v>803664</v>
      </c>
      <c r="CZ32" s="96">
        <v>876614.43</v>
      </c>
      <c r="DA32" s="104">
        <v>1202170</v>
      </c>
      <c r="DB32" s="102">
        <v>1284310</v>
      </c>
      <c r="DC32" s="96">
        <v>965913</v>
      </c>
      <c r="DD32" s="96">
        <v>688628</v>
      </c>
      <c r="DE32" s="96">
        <v>825546.95</v>
      </c>
      <c r="DF32" s="96">
        <v>709133</v>
      </c>
      <c r="DG32" s="96">
        <v>844386</v>
      </c>
      <c r="DH32" s="96">
        <v>730933</v>
      </c>
      <c r="DI32" s="96">
        <v>446334</v>
      </c>
      <c r="DJ32" s="102">
        <v>550241</v>
      </c>
      <c r="DK32" s="94">
        <f>SUM(CY32:DJ32)</f>
        <v>9927873.379999999</v>
      </c>
    </row>
    <row r="33" spans="1:115" ht="14.45" customHeight="1" outlineLevel="1">
      <c r="A33" s="12" t="s">
        <v>63</v>
      </c>
      <c r="B33" s="13"/>
      <c r="C33" s="14"/>
      <c r="D33" s="91"/>
      <c r="E33" s="96"/>
      <c r="F33" s="104"/>
      <c r="G33" s="102"/>
      <c r="H33" s="96"/>
      <c r="I33" s="85"/>
      <c r="J33" s="86"/>
      <c r="K33" s="86"/>
      <c r="L33" s="86"/>
      <c r="M33" s="86"/>
      <c r="N33" s="86"/>
      <c r="O33" s="86"/>
      <c r="P33" s="97"/>
      <c r="Q33" s="98"/>
      <c r="R33" s="89"/>
      <c r="S33" s="89"/>
      <c r="T33" s="89"/>
      <c r="U33" s="89"/>
      <c r="V33" s="90"/>
      <c r="W33" s="3"/>
      <c r="X33" s="91"/>
      <c r="Y33" s="96"/>
      <c r="Z33" s="104"/>
      <c r="AA33" s="102"/>
      <c r="AB33" s="96"/>
      <c r="AC33" s="85"/>
      <c r="AD33" s="86"/>
      <c r="AE33" s="86"/>
      <c r="AF33" s="86"/>
      <c r="AG33" s="86"/>
      <c r="AH33" s="86"/>
      <c r="AI33" s="84"/>
      <c r="AJ33" s="87"/>
      <c r="AK33" s="88"/>
      <c r="AL33" s="89"/>
      <c r="AM33" s="90"/>
      <c r="AN33" s="3"/>
      <c r="AO33" s="91"/>
      <c r="AP33" s="96"/>
      <c r="AQ33" s="104"/>
      <c r="AR33" s="102"/>
      <c r="AS33" s="96"/>
      <c r="AT33" s="85"/>
      <c r="AU33" s="86"/>
      <c r="AV33" s="86"/>
      <c r="AW33" s="86"/>
      <c r="AX33" s="86"/>
      <c r="AY33" s="86"/>
      <c r="AZ33" s="86"/>
      <c r="BA33" s="84"/>
      <c r="BB33" s="89"/>
      <c r="BC33" s="89"/>
      <c r="BD33" s="90"/>
      <c r="BF33" s="91"/>
      <c r="BG33" s="96"/>
      <c r="BH33" s="104"/>
      <c r="BI33" s="102"/>
      <c r="BJ33" s="96"/>
      <c r="BK33" s="85"/>
      <c r="BL33" s="86"/>
      <c r="BM33" s="85"/>
      <c r="BN33" s="85"/>
      <c r="BO33" s="85"/>
      <c r="BP33" s="85"/>
      <c r="BQ33" s="93"/>
      <c r="BR33" s="93"/>
      <c r="BS33" s="94"/>
      <c r="BU33" s="83"/>
      <c r="BV33" s="96"/>
      <c r="BW33" s="104"/>
      <c r="BX33" s="102"/>
      <c r="BY33" s="96"/>
      <c r="BZ33" s="85"/>
      <c r="CA33" s="86"/>
      <c r="CB33" s="86"/>
      <c r="CC33" s="86"/>
      <c r="CD33" s="86"/>
      <c r="CE33" s="86"/>
      <c r="CF33" s="84"/>
      <c r="CG33" s="86"/>
      <c r="CH33" s="13"/>
      <c r="CJ33" s="83">
        <v>0</v>
      </c>
      <c r="CK33" s="96">
        <v>0</v>
      </c>
      <c r="CL33" s="104">
        <v>0</v>
      </c>
      <c r="CM33" s="102">
        <v>0</v>
      </c>
      <c r="CN33" s="96">
        <v>0</v>
      </c>
      <c r="CO33" s="85">
        <v>0</v>
      </c>
      <c r="CP33" s="86">
        <v>0</v>
      </c>
      <c r="CQ33" s="86">
        <v>0</v>
      </c>
      <c r="CR33" s="86"/>
      <c r="CS33" s="86"/>
      <c r="CT33" s="86"/>
      <c r="CU33" s="86"/>
      <c r="CV33" s="86"/>
      <c r="CW33" s="99"/>
      <c r="CY33" s="91"/>
      <c r="CZ33" s="96"/>
      <c r="DA33" s="104"/>
      <c r="DB33" s="102"/>
      <c r="DC33" s="96"/>
      <c r="DD33" s="85"/>
      <c r="DE33" s="86"/>
      <c r="DF33" s="85"/>
      <c r="DG33" s="85"/>
      <c r="DH33" s="85"/>
      <c r="DI33" s="85"/>
      <c r="DJ33" s="93"/>
      <c r="DK33" s="94"/>
    </row>
    <row r="34" spans="1:115" ht="14.45" customHeight="1" outlineLevel="1">
      <c r="A34" s="12" t="s">
        <v>64</v>
      </c>
      <c r="B34" s="13"/>
      <c r="C34" s="14"/>
      <c r="D34" s="83"/>
      <c r="E34" s="96"/>
      <c r="F34" s="104"/>
      <c r="G34" s="102"/>
      <c r="H34" s="96"/>
      <c r="I34" s="85"/>
      <c r="J34" s="86"/>
      <c r="K34" s="86"/>
      <c r="L34" s="86"/>
      <c r="M34" s="86"/>
      <c r="N34" s="86"/>
      <c r="O34" s="86"/>
      <c r="P34" s="97"/>
      <c r="Q34" s="98"/>
      <c r="R34" s="89"/>
      <c r="S34" s="89"/>
      <c r="T34" s="89"/>
      <c r="U34" s="89"/>
      <c r="V34" s="90"/>
      <c r="W34" s="3"/>
      <c r="X34" s="91"/>
      <c r="Y34" s="96"/>
      <c r="Z34" s="104"/>
      <c r="AA34" s="102"/>
      <c r="AB34" s="96"/>
      <c r="AC34" s="85"/>
      <c r="AD34" s="86"/>
      <c r="AE34" s="86"/>
      <c r="AF34" s="86"/>
      <c r="AG34" s="86"/>
      <c r="AH34" s="86"/>
      <c r="AI34" s="84"/>
      <c r="AJ34" s="87"/>
      <c r="AK34" s="88"/>
      <c r="AL34" s="89"/>
      <c r="AM34" s="90"/>
      <c r="AN34" s="3"/>
      <c r="AO34" s="91"/>
      <c r="AP34" s="96"/>
      <c r="AQ34" s="104"/>
      <c r="AR34" s="102"/>
      <c r="AS34" s="96"/>
      <c r="AT34" s="85"/>
      <c r="AU34" s="86"/>
      <c r="AV34" s="86"/>
      <c r="AW34" s="86"/>
      <c r="AX34" s="86"/>
      <c r="AY34" s="86"/>
      <c r="AZ34" s="86"/>
      <c r="BA34" s="84"/>
      <c r="BB34" s="89"/>
      <c r="BC34" s="89"/>
      <c r="BD34" s="90"/>
      <c r="BF34" s="91"/>
      <c r="BG34" s="96"/>
      <c r="BH34" s="104"/>
      <c r="BI34" s="102"/>
      <c r="BJ34" s="96"/>
      <c r="BK34" s="85"/>
      <c r="BL34" s="86"/>
      <c r="BM34" s="85"/>
      <c r="BN34" s="85"/>
      <c r="BO34" s="85"/>
      <c r="BP34" s="85"/>
      <c r="BQ34" s="93"/>
      <c r="BR34" s="93"/>
      <c r="BS34" s="94"/>
      <c r="BU34" s="83"/>
      <c r="BV34" s="96"/>
      <c r="BW34" s="104"/>
      <c r="BX34" s="102"/>
      <c r="BY34" s="96"/>
      <c r="BZ34" s="85"/>
      <c r="CA34" s="86"/>
      <c r="CB34" s="86"/>
      <c r="CC34" s="86"/>
      <c r="CD34" s="86"/>
      <c r="CE34" s="86"/>
      <c r="CF34" s="84"/>
      <c r="CG34" s="86"/>
      <c r="CH34" s="13"/>
      <c r="CJ34" s="83"/>
      <c r="CK34" s="96"/>
      <c r="CL34" s="104"/>
      <c r="CM34" s="102"/>
      <c r="CN34" s="96"/>
      <c r="CO34" s="85"/>
      <c r="CP34" s="86"/>
      <c r="CQ34" s="86"/>
      <c r="CR34" s="86"/>
      <c r="CS34" s="86"/>
      <c r="CT34" s="86"/>
      <c r="CU34" s="86"/>
      <c r="CV34" s="86"/>
      <c r="CW34" s="99"/>
      <c r="CY34" s="91"/>
      <c r="CZ34" s="96"/>
      <c r="DA34" s="104"/>
      <c r="DB34" s="102"/>
      <c r="DC34" s="96"/>
      <c r="DD34" s="85"/>
      <c r="DE34" s="86"/>
      <c r="DF34" s="85"/>
      <c r="DG34" s="85"/>
      <c r="DH34" s="85"/>
      <c r="DI34" s="85"/>
      <c r="DJ34" s="93"/>
      <c r="DK34" s="94"/>
    </row>
    <row r="35" spans="1:115" ht="14.45" customHeight="1" outlineLevel="1">
      <c r="A35" s="12" t="s">
        <v>65</v>
      </c>
      <c r="B35" s="13"/>
      <c r="C35" s="14"/>
      <c r="D35" s="83"/>
      <c r="E35" s="96"/>
      <c r="F35" s="104"/>
      <c r="G35" s="102"/>
      <c r="H35" s="96"/>
      <c r="I35" s="85"/>
      <c r="J35" s="86"/>
      <c r="K35" s="86"/>
      <c r="L35" s="86"/>
      <c r="M35" s="86"/>
      <c r="N35" s="86"/>
      <c r="O35" s="86"/>
      <c r="P35" s="97"/>
      <c r="Q35" s="98"/>
      <c r="R35" s="89"/>
      <c r="S35" s="89"/>
      <c r="T35" s="89"/>
      <c r="U35" s="89"/>
      <c r="V35" s="90"/>
      <c r="W35" s="3"/>
      <c r="X35" s="91"/>
      <c r="Y35" s="96"/>
      <c r="Z35" s="104"/>
      <c r="AA35" s="102"/>
      <c r="AB35" s="96"/>
      <c r="AC35" s="85"/>
      <c r="AD35" s="86"/>
      <c r="AE35" s="86"/>
      <c r="AF35" s="86"/>
      <c r="AG35" s="86"/>
      <c r="AH35" s="86"/>
      <c r="AI35" s="84"/>
      <c r="AJ35" s="87"/>
      <c r="AK35" s="88"/>
      <c r="AL35" s="89"/>
      <c r="AM35" s="90"/>
      <c r="AN35" s="3"/>
      <c r="AO35" s="91"/>
      <c r="AP35" s="96"/>
      <c r="AQ35" s="104"/>
      <c r="AR35" s="102"/>
      <c r="AS35" s="96"/>
      <c r="AT35" s="85"/>
      <c r="AU35" s="86"/>
      <c r="AV35" s="86"/>
      <c r="AW35" s="86"/>
      <c r="AX35" s="86"/>
      <c r="AY35" s="86"/>
      <c r="AZ35" s="86"/>
      <c r="BA35" s="84"/>
      <c r="BB35" s="89"/>
      <c r="BC35" s="89"/>
      <c r="BD35" s="90"/>
      <c r="BF35" s="91"/>
      <c r="BG35" s="96"/>
      <c r="BH35" s="104"/>
      <c r="BI35" s="102"/>
      <c r="BJ35" s="96"/>
      <c r="BK35" s="85"/>
      <c r="BL35" s="86"/>
      <c r="BM35" s="85"/>
      <c r="BN35" s="85"/>
      <c r="BO35" s="85"/>
      <c r="BP35" s="85"/>
      <c r="BQ35" s="93"/>
      <c r="BR35" s="93"/>
      <c r="BS35" s="94"/>
      <c r="BU35" s="83"/>
      <c r="BV35" s="96"/>
      <c r="BW35" s="104"/>
      <c r="BX35" s="102"/>
      <c r="BY35" s="96"/>
      <c r="BZ35" s="85"/>
      <c r="CA35" s="86"/>
      <c r="CB35" s="86"/>
      <c r="CC35" s="86"/>
      <c r="CD35" s="86"/>
      <c r="CE35" s="86"/>
      <c r="CF35" s="84"/>
      <c r="CG35" s="86"/>
      <c r="CH35" s="13"/>
      <c r="CJ35" s="83"/>
      <c r="CK35" s="96"/>
      <c r="CL35" s="104"/>
      <c r="CM35" s="102"/>
      <c r="CN35" s="96"/>
      <c r="CO35" s="85"/>
      <c r="CP35" s="86"/>
      <c r="CQ35" s="86"/>
      <c r="CR35" s="86"/>
      <c r="CS35" s="86"/>
      <c r="CT35" s="86"/>
      <c r="CU35" s="86"/>
      <c r="CV35" s="86"/>
      <c r="CW35" s="99"/>
      <c r="CY35" s="91"/>
      <c r="CZ35" s="96"/>
      <c r="DA35" s="104"/>
      <c r="DB35" s="102"/>
      <c r="DC35" s="96"/>
      <c r="DD35" s="85"/>
      <c r="DE35" s="86"/>
      <c r="DF35" s="85"/>
      <c r="DG35" s="85"/>
      <c r="DH35" s="85"/>
      <c r="DI35" s="85"/>
      <c r="DJ35" s="93"/>
      <c r="DK35" s="94"/>
    </row>
    <row r="36" spans="1:115" ht="13.5" customHeight="1" outlineLevel="1">
      <c r="A36" s="12" t="s">
        <v>66</v>
      </c>
      <c r="B36" s="13"/>
      <c r="C36" s="14"/>
      <c r="D36" s="83"/>
      <c r="E36" s="96"/>
      <c r="F36" s="104"/>
      <c r="G36" s="102"/>
      <c r="H36" s="96"/>
      <c r="I36" s="85"/>
      <c r="J36" s="86"/>
      <c r="K36" s="86"/>
      <c r="L36" s="86"/>
      <c r="M36" s="86"/>
      <c r="N36" s="86"/>
      <c r="O36" s="86"/>
      <c r="P36" s="97"/>
      <c r="Q36" s="98"/>
      <c r="R36" s="89"/>
      <c r="S36" s="89"/>
      <c r="T36" s="89"/>
      <c r="U36" s="89"/>
      <c r="V36" s="90"/>
      <c r="W36" s="3"/>
      <c r="X36" s="91"/>
      <c r="Y36" s="96"/>
      <c r="Z36" s="104"/>
      <c r="AA36" s="102"/>
      <c r="AB36" s="96"/>
      <c r="AC36" s="85"/>
      <c r="AD36" s="86"/>
      <c r="AE36" s="86"/>
      <c r="AF36" s="86"/>
      <c r="AG36" s="86"/>
      <c r="AH36" s="86"/>
      <c r="AI36" s="84"/>
      <c r="AJ36" s="87"/>
      <c r="AK36" s="88"/>
      <c r="AL36" s="89"/>
      <c r="AM36" s="90"/>
      <c r="AN36" s="3"/>
      <c r="AO36" s="91"/>
      <c r="AP36" s="96"/>
      <c r="AQ36" s="104"/>
      <c r="AR36" s="102"/>
      <c r="AS36" s="96"/>
      <c r="AT36" s="85"/>
      <c r="AU36" s="86"/>
      <c r="AV36" s="86"/>
      <c r="AW36" s="86"/>
      <c r="AX36" s="86"/>
      <c r="AY36" s="86"/>
      <c r="AZ36" s="86"/>
      <c r="BA36" s="84"/>
      <c r="BB36" s="89"/>
      <c r="BC36" s="89"/>
      <c r="BD36" s="90"/>
      <c r="BF36" s="91"/>
      <c r="BG36" s="96"/>
      <c r="BH36" s="104"/>
      <c r="BI36" s="102"/>
      <c r="BJ36" s="96"/>
      <c r="BK36" s="85"/>
      <c r="BL36" s="86"/>
      <c r="BM36" s="85"/>
      <c r="BN36" s="85"/>
      <c r="BO36" s="85"/>
      <c r="BP36" s="85"/>
      <c r="BQ36" s="93"/>
      <c r="BR36" s="93"/>
      <c r="BS36" s="94"/>
      <c r="BU36" s="83"/>
      <c r="BV36" s="96"/>
      <c r="BW36" s="104"/>
      <c r="BX36" s="102"/>
      <c r="BY36" s="96"/>
      <c r="BZ36" s="85"/>
      <c r="CA36" s="86"/>
      <c r="CB36" s="86"/>
      <c r="CC36" s="86"/>
      <c r="CD36" s="86"/>
      <c r="CE36" s="86"/>
      <c r="CF36" s="84"/>
      <c r="CG36" s="86"/>
      <c r="CH36" s="13"/>
      <c r="CJ36" s="83"/>
      <c r="CK36" s="96"/>
      <c r="CL36" s="104"/>
      <c r="CM36" s="102"/>
      <c r="CN36" s="96"/>
      <c r="CO36" s="85"/>
      <c r="CP36" s="86"/>
      <c r="CQ36" s="86"/>
      <c r="CR36" s="86"/>
      <c r="CS36" s="86"/>
      <c r="CT36" s="86"/>
      <c r="CU36" s="86"/>
      <c r="CV36" s="86"/>
      <c r="CW36" s="99"/>
      <c r="CY36" s="91"/>
      <c r="CZ36" s="96"/>
      <c r="DA36" s="104"/>
      <c r="DB36" s="102"/>
      <c r="DC36" s="96"/>
      <c r="DD36" s="85"/>
      <c r="DE36" s="86"/>
      <c r="DF36" s="85"/>
      <c r="DG36" s="85"/>
      <c r="DH36" s="85"/>
      <c r="DI36" s="85"/>
      <c r="DJ36" s="93"/>
      <c r="DK36" s="94"/>
    </row>
    <row r="37" spans="1:115" ht="14.45" customHeight="1" outlineLevel="1">
      <c r="A37" s="12" t="s">
        <v>67</v>
      </c>
      <c r="B37" s="13"/>
      <c r="C37" s="14"/>
      <c r="D37" s="83"/>
      <c r="E37" s="96"/>
      <c r="F37" s="104"/>
      <c r="G37" s="102"/>
      <c r="H37" s="96"/>
      <c r="I37" s="85"/>
      <c r="J37" s="86"/>
      <c r="K37" s="86"/>
      <c r="L37" s="86"/>
      <c r="M37" s="86"/>
      <c r="N37" s="86"/>
      <c r="O37" s="86"/>
      <c r="P37" s="97"/>
      <c r="Q37" s="98"/>
      <c r="R37" s="89"/>
      <c r="S37" s="89"/>
      <c r="T37" s="89"/>
      <c r="U37" s="89"/>
      <c r="V37" s="90"/>
      <c r="W37" s="3"/>
      <c r="X37" s="91"/>
      <c r="Y37" s="96"/>
      <c r="Z37" s="104"/>
      <c r="AA37" s="102"/>
      <c r="AB37" s="96"/>
      <c r="AC37" s="85"/>
      <c r="AD37" s="86"/>
      <c r="AE37" s="86"/>
      <c r="AF37" s="86"/>
      <c r="AG37" s="86"/>
      <c r="AH37" s="86"/>
      <c r="AI37" s="84"/>
      <c r="AJ37" s="87"/>
      <c r="AK37" s="88"/>
      <c r="AL37" s="89"/>
      <c r="AM37" s="90"/>
      <c r="AN37" s="3"/>
      <c r="AO37" s="91"/>
      <c r="AP37" s="96"/>
      <c r="AQ37" s="104"/>
      <c r="AR37" s="102"/>
      <c r="AS37" s="96"/>
      <c r="AT37" s="85"/>
      <c r="AU37" s="86"/>
      <c r="AV37" s="86"/>
      <c r="AW37" s="86"/>
      <c r="AX37" s="86"/>
      <c r="AY37" s="86"/>
      <c r="AZ37" s="86"/>
      <c r="BA37" s="84"/>
      <c r="BB37" s="89"/>
      <c r="BC37" s="89"/>
      <c r="BD37" s="90"/>
      <c r="BF37" s="91"/>
      <c r="BG37" s="96"/>
      <c r="BH37" s="104"/>
      <c r="BI37" s="102"/>
      <c r="BJ37" s="96"/>
      <c r="BK37" s="85"/>
      <c r="BL37" s="86"/>
      <c r="BM37" s="85"/>
      <c r="BN37" s="85"/>
      <c r="BO37" s="85"/>
      <c r="BP37" s="85"/>
      <c r="BQ37" s="93"/>
      <c r="BR37" s="93"/>
      <c r="BS37" s="94"/>
      <c r="BU37" s="83"/>
      <c r="BV37" s="96"/>
      <c r="BW37" s="104"/>
      <c r="BX37" s="102"/>
      <c r="BY37" s="96"/>
      <c r="BZ37" s="85"/>
      <c r="CA37" s="86"/>
      <c r="CB37" s="86"/>
      <c r="CC37" s="86"/>
      <c r="CD37" s="86"/>
      <c r="CE37" s="86"/>
      <c r="CF37" s="84"/>
      <c r="CG37" s="86"/>
      <c r="CH37" s="13"/>
      <c r="CJ37" s="83"/>
      <c r="CK37" s="96"/>
      <c r="CL37" s="104"/>
      <c r="CM37" s="102"/>
      <c r="CN37" s="96"/>
      <c r="CO37" s="85"/>
      <c r="CP37" s="86"/>
      <c r="CQ37" s="86"/>
      <c r="CR37" s="86"/>
      <c r="CS37" s="86"/>
      <c r="CT37" s="86"/>
      <c r="CU37" s="86"/>
      <c r="CV37" s="86"/>
      <c r="CW37" s="99"/>
      <c r="CY37" s="91"/>
      <c r="CZ37" s="96"/>
      <c r="DA37" s="104"/>
      <c r="DB37" s="102"/>
      <c r="DC37" s="96"/>
      <c r="DD37" s="85"/>
      <c r="DE37" s="86"/>
      <c r="DF37" s="85"/>
      <c r="DG37" s="85"/>
      <c r="DH37" s="85"/>
      <c r="DI37" s="85"/>
      <c r="DJ37" s="93"/>
      <c r="DK37" s="94"/>
    </row>
    <row r="38" spans="1:115" ht="14.45" customHeight="1" outlineLevel="1">
      <c r="A38" s="12" t="s">
        <v>68</v>
      </c>
      <c r="B38" s="13"/>
      <c r="C38" s="14"/>
      <c r="D38" s="83"/>
      <c r="E38" s="96"/>
      <c r="F38" s="104"/>
      <c r="G38" s="102"/>
      <c r="H38" s="96"/>
      <c r="I38" s="85"/>
      <c r="J38" s="86"/>
      <c r="K38" s="86"/>
      <c r="L38" s="86"/>
      <c r="M38" s="86"/>
      <c r="N38" s="86"/>
      <c r="O38" s="86"/>
      <c r="P38" s="97"/>
      <c r="Q38" s="98"/>
      <c r="R38" s="89"/>
      <c r="S38" s="89"/>
      <c r="T38" s="89"/>
      <c r="U38" s="89"/>
      <c r="V38" s="90"/>
      <c r="W38" s="3"/>
      <c r="X38" s="91"/>
      <c r="Y38" s="96"/>
      <c r="Z38" s="104"/>
      <c r="AA38" s="102"/>
      <c r="AB38" s="96"/>
      <c r="AC38" s="85"/>
      <c r="AD38" s="86"/>
      <c r="AE38" s="86"/>
      <c r="AF38" s="86"/>
      <c r="AG38" s="86"/>
      <c r="AH38" s="86"/>
      <c r="AI38" s="84"/>
      <c r="AJ38" s="87"/>
      <c r="AK38" s="88"/>
      <c r="AL38" s="89"/>
      <c r="AM38" s="90"/>
      <c r="AN38" s="3"/>
      <c r="AO38" s="91"/>
      <c r="AP38" s="96"/>
      <c r="AQ38" s="104"/>
      <c r="AR38" s="102"/>
      <c r="AS38" s="96"/>
      <c r="AT38" s="85"/>
      <c r="AU38" s="86"/>
      <c r="AV38" s="86"/>
      <c r="AW38" s="86"/>
      <c r="AX38" s="86"/>
      <c r="AY38" s="86"/>
      <c r="AZ38" s="86"/>
      <c r="BA38" s="84"/>
      <c r="BB38" s="89"/>
      <c r="BC38" s="89"/>
      <c r="BD38" s="90"/>
      <c r="BF38" s="91"/>
      <c r="BG38" s="96"/>
      <c r="BH38" s="104"/>
      <c r="BI38" s="102"/>
      <c r="BJ38" s="96"/>
      <c r="BK38" s="85"/>
      <c r="BL38" s="86"/>
      <c r="BM38" s="85"/>
      <c r="BN38" s="85"/>
      <c r="BO38" s="85"/>
      <c r="BP38" s="85"/>
      <c r="BQ38" s="93"/>
      <c r="BR38" s="93"/>
      <c r="BS38" s="94"/>
      <c r="BU38" s="83"/>
      <c r="BV38" s="96"/>
      <c r="BW38" s="104"/>
      <c r="BX38" s="102"/>
      <c r="BY38" s="96"/>
      <c r="BZ38" s="85"/>
      <c r="CA38" s="86"/>
      <c r="CB38" s="86"/>
      <c r="CC38" s="86"/>
      <c r="CD38" s="86"/>
      <c r="CE38" s="86"/>
      <c r="CF38" s="84"/>
      <c r="CG38" s="86"/>
      <c r="CH38" s="13"/>
      <c r="CJ38" s="83"/>
      <c r="CK38" s="96"/>
      <c r="CL38" s="104"/>
      <c r="CM38" s="102"/>
      <c r="CN38" s="96"/>
      <c r="CO38" s="85"/>
      <c r="CP38" s="86"/>
      <c r="CQ38" s="86"/>
      <c r="CR38" s="86"/>
      <c r="CS38" s="86"/>
      <c r="CT38" s="86"/>
      <c r="CU38" s="86"/>
      <c r="CV38" s="86"/>
      <c r="CW38" s="99"/>
      <c r="CY38" s="91"/>
      <c r="CZ38" s="96"/>
      <c r="DA38" s="104"/>
      <c r="DB38" s="102"/>
      <c r="DC38" s="96"/>
      <c r="DD38" s="85"/>
      <c r="DE38" s="86"/>
      <c r="DF38" s="85"/>
      <c r="DG38" s="85"/>
      <c r="DH38" s="85"/>
      <c r="DI38" s="85"/>
      <c r="DJ38" s="93"/>
      <c r="DK38" s="94"/>
    </row>
    <row r="39" spans="1:115" ht="14.45" customHeight="1" outlineLevel="1">
      <c r="A39" s="12" t="s">
        <v>69</v>
      </c>
      <c r="B39" s="13"/>
      <c r="C39" s="14"/>
      <c r="D39" s="83"/>
      <c r="E39" s="96"/>
      <c r="F39" s="104"/>
      <c r="G39" s="102"/>
      <c r="H39" s="96"/>
      <c r="I39" s="85"/>
      <c r="J39" s="86"/>
      <c r="K39" s="86"/>
      <c r="L39" s="86"/>
      <c r="M39" s="86"/>
      <c r="N39" s="86"/>
      <c r="O39" s="86"/>
      <c r="P39" s="97"/>
      <c r="Q39" s="98"/>
      <c r="R39" s="89"/>
      <c r="S39" s="89"/>
      <c r="T39" s="89"/>
      <c r="U39" s="89"/>
      <c r="V39" s="90"/>
      <c r="W39" s="3"/>
      <c r="X39" s="91"/>
      <c r="Y39" s="96"/>
      <c r="Z39" s="104"/>
      <c r="AA39" s="102"/>
      <c r="AB39" s="96"/>
      <c r="AC39" s="85"/>
      <c r="AD39" s="86"/>
      <c r="AE39" s="86"/>
      <c r="AF39" s="86"/>
      <c r="AG39" s="86"/>
      <c r="AH39" s="86"/>
      <c r="AI39" s="84"/>
      <c r="AJ39" s="87"/>
      <c r="AK39" s="88"/>
      <c r="AL39" s="89"/>
      <c r="AM39" s="90"/>
      <c r="AN39" s="3"/>
      <c r="AO39" s="91"/>
      <c r="AP39" s="96"/>
      <c r="AQ39" s="104"/>
      <c r="AR39" s="102"/>
      <c r="AS39" s="96"/>
      <c r="AT39" s="85"/>
      <c r="AU39" s="86"/>
      <c r="AV39" s="86"/>
      <c r="AW39" s="86"/>
      <c r="AX39" s="86"/>
      <c r="AY39" s="86"/>
      <c r="AZ39" s="86"/>
      <c r="BA39" s="84"/>
      <c r="BB39" s="89"/>
      <c r="BC39" s="89"/>
      <c r="BD39" s="90"/>
      <c r="BF39" s="91"/>
      <c r="BG39" s="96"/>
      <c r="BH39" s="104"/>
      <c r="BI39" s="102"/>
      <c r="BJ39" s="96"/>
      <c r="BK39" s="85"/>
      <c r="BL39" s="86"/>
      <c r="BM39" s="85"/>
      <c r="BN39" s="85"/>
      <c r="BO39" s="85"/>
      <c r="BP39" s="85"/>
      <c r="BQ39" s="93"/>
      <c r="BR39" s="93"/>
      <c r="BS39" s="94"/>
      <c r="BU39" s="83"/>
      <c r="BV39" s="96"/>
      <c r="BW39" s="104"/>
      <c r="BX39" s="102"/>
      <c r="BY39" s="96"/>
      <c r="BZ39" s="85"/>
      <c r="CA39" s="86"/>
      <c r="CB39" s="86"/>
      <c r="CC39" s="86"/>
      <c r="CD39" s="86"/>
      <c r="CE39" s="86"/>
      <c r="CF39" s="84"/>
      <c r="CG39" s="86"/>
      <c r="CH39" s="13"/>
      <c r="CJ39" s="83"/>
      <c r="CK39" s="96"/>
      <c r="CL39" s="104"/>
      <c r="CM39" s="102"/>
      <c r="CN39" s="96"/>
      <c r="CO39" s="85"/>
      <c r="CP39" s="86"/>
      <c r="CQ39" s="86"/>
      <c r="CR39" s="86"/>
      <c r="CS39" s="86"/>
      <c r="CT39" s="86"/>
      <c r="CU39" s="86"/>
      <c r="CV39" s="86"/>
      <c r="CW39" s="99"/>
      <c r="CY39" s="91"/>
      <c r="CZ39" s="96"/>
      <c r="DA39" s="104"/>
      <c r="DB39" s="102"/>
      <c r="DC39" s="96"/>
      <c r="DD39" s="85"/>
      <c r="DE39" s="86"/>
      <c r="DF39" s="85"/>
      <c r="DG39" s="85"/>
      <c r="DH39" s="85"/>
      <c r="DI39" s="85"/>
      <c r="DJ39" s="93"/>
      <c r="DK39" s="94"/>
    </row>
    <row r="40" spans="1:115" ht="14.45" customHeight="1" outlineLevel="1">
      <c r="A40" s="12" t="s">
        <v>70</v>
      </c>
      <c r="B40" s="13"/>
      <c r="C40" s="14"/>
      <c r="D40" s="83">
        <v>831522.58</v>
      </c>
      <c r="E40" s="96">
        <v>812400.81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100">
        <f>SUM(D40:O40)</f>
        <v>1643923.3900000001</v>
      </c>
      <c r="Q40" s="101">
        <f>SUM(BS40)</f>
        <v>1213297.04</v>
      </c>
      <c r="R40" s="89">
        <f>IF(ISERROR((($E40-$D40)/ABS($D40)+1)*100),0,(($E40-$D40)/ABS($D40)+1)*100)</f>
        <v>97.700390769905496</v>
      </c>
      <c r="S40" s="89">
        <f>IF(ISERROR((($E40-$BG40)/ABS($BG40)+1)*100),0,(($E40-$BG40)/ABS($BG40)+1)*100)</f>
        <v>146.34243970653364</v>
      </c>
      <c r="T40" s="89">
        <f>IF(ISERROR((($P40-$BG40)/ABS($BG40)+1)*100),0,(($P40-$BG40)/ABS($BG40)+1)*100)</f>
        <v>296.12939404040645</v>
      </c>
      <c r="U40" s="96">
        <f>(+'[24]PF resc'!D43)*1000</f>
        <v>746163.09291528154</v>
      </c>
      <c r="V40" s="90">
        <f>IF(ISERROR((($E40-$U40)/ABS($U40)+1)*100),0,(($E40-$U40)/ABS($U40)+1)*100)</f>
        <v>108.87710980530085</v>
      </c>
      <c r="W40" s="3"/>
      <c r="X40" s="91">
        <f t="shared" ref="X40:AI40" si="9">D40-AO40</f>
        <v>732933.85</v>
      </c>
      <c r="Y40" s="96">
        <f t="shared" si="9"/>
        <v>687738.54</v>
      </c>
      <c r="Z40" s="96">
        <f t="shared" si="9"/>
        <v>0</v>
      </c>
      <c r="AA40" s="96">
        <f t="shared" si="9"/>
        <v>0</v>
      </c>
      <c r="AB40" s="96">
        <f t="shared" si="9"/>
        <v>0</v>
      </c>
      <c r="AC40" s="96">
        <f t="shared" si="9"/>
        <v>0</v>
      </c>
      <c r="AD40" s="96">
        <f t="shared" si="9"/>
        <v>0</v>
      </c>
      <c r="AE40" s="96">
        <f t="shared" si="9"/>
        <v>0</v>
      </c>
      <c r="AF40" s="96">
        <f t="shared" si="9"/>
        <v>0</v>
      </c>
      <c r="AG40" s="96">
        <f t="shared" si="9"/>
        <v>0</v>
      </c>
      <c r="AH40" s="96">
        <f t="shared" si="9"/>
        <v>0</v>
      </c>
      <c r="AI40" s="102">
        <f t="shared" si="9"/>
        <v>0</v>
      </c>
      <c r="AJ40" s="103">
        <f>SUM(X40:AI40)</f>
        <v>1420672.3900000001</v>
      </c>
      <c r="AK40" s="88">
        <f>IF(ISERROR((($Y40-$X40)/ABS($X40)+1)*100),0,(($Y40-$X40)/ABS($X40)+1)*100)</f>
        <v>93.833644059419569</v>
      </c>
      <c r="AL40" s="96">
        <f>(+'[24]PF resc'!R43)*1000</f>
        <v>641294.23478710512</v>
      </c>
      <c r="AM40" s="90">
        <f>IF(ISERROR((($Y40-$AL40)/ABS($AL40)+1)*100),0,(($Y40-$AL40)/ABS($AL40)+1)*100)</f>
        <v>107.24227705373235</v>
      </c>
      <c r="AN40" s="3"/>
      <c r="AO40" s="91">
        <v>98588.73</v>
      </c>
      <c r="AP40" s="96">
        <v>124662.26999999999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125"/>
      <c r="BA40" s="102">
        <f>SUM(AO40:AZ40)</f>
        <v>223251</v>
      </c>
      <c r="BB40" s="89">
        <f>IF(ISERROR((($AP40-$AO40)/ABS($AO40)+1)*100),0,(($AP40-$AO40)/ABS($AO40)+1)*100)</f>
        <v>126.44677540729046</v>
      </c>
      <c r="BC40" s="96">
        <f>(+'[24]PF resc'!AF43)*1000</f>
        <v>104868.85812817639</v>
      </c>
      <c r="BD40" s="90">
        <f>IF(ISERROR((($AP40-$BC40)/ABS($BC40)+1)*100),0,(($AP40-$BC40)/ABS($BC40)+1)*100)</f>
        <v>118.87444206518489</v>
      </c>
      <c r="BF40" s="91">
        <v>658160.18999999994</v>
      </c>
      <c r="BG40" s="96">
        <v>555136.85</v>
      </c>
      <c r="BH40" s="104">
        <v>706378.57</v>
      </c>
      <c r="BI40" s="102">
        <v>631953.09</v>
      </c>
      <c r="BJ40" s="96">
        <v>720096.6</v>
      </c>
      <c r="BK40" s="96">
        <v>633671.88</v>
      </c>
      <c r="BL40" s="96">
        <v>614814</v>
      </c>
      <c r="BM40" s="96">
        <v>730218.13</v>
      </c>
      <c r="BN40" s="96">
        <v>584035.52</v>
      </c>
      <c r="BO40" s="96">
        <v>654735.31999999995</v>
      </c>
      <c r="BP40" s="96">
        <v>842591.79</v>
      </c>
      <c r="BQ40" s="102">
        <v>733249.48</v>
      </c>
      <c r="BR40" s="102">
        <v>34550.11</v>
      </c>
      <c r="BS40" s="94">
        <f>SUM(BF40:BG40)</f>
        <v>1213297.04</v>
      </c>
      <c r="BU40" s="83">
        <v>559571.46</v>
      </c>
      <c r="BV40" s="96">
        <v>473332.82999999996</v>
      </c>
      <c r="BW40" s="96">
        <v>610275.73</v>
      </c>
      <c r="BX40" s="96">
        <v>554548.89</v>
      </c>
      <c r="BY40" s="96">
        <v>616957.18999999994</v>
      </c>
      <c r="BZ40" s="96">
        <v>550855.38</v>
      </c>
      <c r="CA40" s="96">
        <v>528460.42999999993</v>
      </c>
      <c r="CB40" s="96">
        <v>614738.32000000007</v>
      </c>
      <c r="CC40" s="96">
        <v>510183.57</v>
      </c>
      <c r="CD40" s="96">
        <v>558563.46</v>
      </c>
      <c r="CE40" s="96">
        <v>732489.54</v>
      </c>
      <c r="CF40" s="102">
        <v>628945.65</v>
      </c>
      <c r="CG40" s="96">
        <v>28113</v>
      </c>
      <c r="CH40" s="105">
        <v>6967035.4500000011</v>
      </c>
      <c r="CJ40" s="83">
        <v>98588.73</v>
      </c>
      <c r="CK40" s="96">
        <v>81804.01999999999</v>
      </c>
      <c r="CL40" s="96">
        <v>96102.84</v>
      </c>
      <c r="CM40" s="96">
        <v>77404.2</v>
      </c>
      <c r="CN40" s="96">
        <v>103139.41</v>
      </c>
      <c r="CO40" s="96">
        <v>82816.5</v>
      </c>
      <c r="CP40" s="96">
        <v>86353.57</v>
      </c>
      <c r="CQ40" s="96">
        <v>115479.81</v>
      </c>
      <c r="CR40" s="96">
        <v>73851.950000000012</v>
      </c>
      <c r="CS40" s="96">
        <v>96171.86</v>
      </c>
      <c r="CT40" s="96">
        <v>110102.25</v>
      </c>
      <c r="CU40" s="125">
        <v>104303.82999999999</v>
      </c>
      <c r="CV40" s="125">
        <v>6437.1100000000006</v>
      </c>
      <c r="CW40" s="106">
        <v>1132556.08</v>
      </c>
      <c r="CY40" s="91">
        <v>471743.56</v>
      </c>
      <c r="CZ40" s="96">
        <v>422575.29</v>
      </c>
      <c r="DA40" s="104">
        <v>536704.03</v>
      </c>
      <c r="DB40" s="102">
        <v>503007.86</v>
      </c>
      <c r="DC40" s="96">
        <v>497409.06</v>
      </c>
      <c r="DD40" s="96">
        <v>525316.1</v>
      </c>
      <c r="DE40" s="96">
        <v>533315.67000000004</v>
      </c>
      <c r="DF40" s="96">
        <v>584228.15</v>
      </c>
      <c r="DG40" s="96">
        <v>678517.07</v>
      </c>
      <c r="DH40" s="96">
        <v>684291.3</v>
      </c>
      <c r="DI40" s="96">
        <v>653626.97</v>
      </c>
      <c r="DJ40" s="102">
        <v>702980.46</v>
      </c>
      <c r="DK40" s="94">
        <f>SUM(CY40:DJ40)</f>
        <v>6793715.5199999996</v>
      </c>
    </row>
    <row r="41" spans="1:115" ht="14.45" customHeight="1" outlineLevel="1">
      <c r="A41" s="12" t="s">
        <v>71</v>
      </c>
      <c r="B41" s="13"/>
      <c r="C41" s="14"/>
      <c r="D41" s="83"/>
      <c r="E41" s="96"/>
      <c r="F41" s="104"/>
      <c r="G41" s="102"/>
      <c r="H41" s="96"/>
      <c r="I41" s="86"/>
      <c r="J41" s="86"/>
      <c r="K41" s="86"/>
      <c r="L41" s="86"/>
      <c r="M41" s="86"/>
      <c r="N41" s="86"/>
      <c r="O41" s="86"/>
      <c r="P41" s="97"/>
      <c r="Q41" s="98"/>
      <c r="R41" s="89"/>
      <c r="S41" s="89"/>
      <c r="T41" s="89"/>
      <c r="U41" s="89"/>
      <c r="V41" s="90"/>
      <c r="W41" s="3"/>
      <c r="X41" s="91"/>
      <c r="Y41" s="96"/>
      <c r="Z41" s="104"/>
      <c r="AA41" s="102"/>
      <c r="AB41" s="96"/>
      <c r="AC41" s="86"/>
      <c r="AD41" s="86"/>
      <c r="AE41" s="86"/>
      <c r="AF41" s="86"/>
      <c r="AG41" s="86"/>
      <c r="AH41" s="86"/>
      <c r="AI41" s="84"/>
      <c r="AJ41" s="87"/>
      <c r="AK41" s="88"/>
      <c r="AL41" s="89"/>
      <c r="AM41" s="90"/>
      <c r="AN41" s="3"/>
      <c r="AO41" s="91"/>
      <c r="AP41" s="96"/>
      <c r="AQ41" s="104"/>
      <c r="AR41" s="102"/>
      <c r="AS41" s="96"/>
      <c r="AT41" s="86"/>
      <c r="AU41" s="86"/>
      <c r="AV41" s="86"/>
      <c r="AW41" s="86"/>
      <c r="AX41" s="86"/>
      <c r="AY41" s="86"/>
      <c r="AZ41" s="86"/>
      <c r="BA41" s="84"/>
      <c r="BB41" s="89"/>
      <c r="BC41" s="89"/>
      <c r="BD41" s="90"/>
      <c r="BF41" s="91"/>
      <c r="BG41" s="96"/>
      <c r="BH41" s="104"/>
      <c r="BI41" s="102"/>
      <c r="BJ41" s="96"/>
      <c r="BK41" s="86"/>
      <c r="BL41" s="86"/>
      <c r="BM41" s="85"/>
      <c r="BN41" s="85"/>
      <c r="BO41" s="85"/>
      <c r="BP41" s="85"/>
      <c r="BQ41" s="93"/>
      <c r="BR41" s="93"/>
      <c r="BS41" s="94"/>
      <c r="BU41" s="83"/>
      <c r="BV41" s="96"/>
      <c r="BW41" s="104"/>
      <c r="BX41" s="102"/>
      <c r="BY41" s="96"/>
      <c r="BZ41" s="86"/>
      <c r="CA41" s="86"/>
      <c r="CB41" s="86"/>
      <c r="CC41" s="86"/>
      <c r="CD41" s="86"/>
      <c r="CE41" s="86"/>
      <c r="CF41" s="84"/>
      <c r="CG41" s="86"/>
      <c r="CH41" s="13"/>
      <c r="CJ41" s="83"/>
      <c r="CK41" s="96"/>
      <c r="CL41" s="104"/>
      <c r="CM41" s="102"/>
      <c r="CN41" s="96"/>
      <c r="CO41" s="86"/>
      <c r="CP41" s="86"/>
      <c r="CQ41" s="86"/>
      <c r="CR41" s="86"/>
      <c r="CS41" s="86"/>
      <c r="CT41" s="86"/>
      <c r="CU41" s="86"/>
      <c r="CV41" s="86"/>
      <c r="CW41" s="99"/>
      <c r="CY41" s="91"/>
      <c r="CZ41" s="96"/>
      <c r="DA41" s="104"/>
      <c r="DB41" s="102"/>
      <c r="DC41" s="96"/>
      <c r="DD41" s="86"/>
      <c r="DE41" s="86"/>
      <c r="DF41" s="85"/>
      <c r="DG41" s="85"/>
      <c r="DH41" s="85"/>
      <c r="DI41" s="85"/>
      <c r="DJ41" s="93"/>
      <c r="DK41" s="94"/>
    </row>
    <row r="42" spans="1:115" ht="14.45" customHeight="1" outlineLevel="1">
      <c r="A42" s="12" t="s">
        <v>72</v>
      </c>
      <c r="B42" s="13"/>
      <c r="C42" s="14"/>
      <c r="D42" s="83"/>
      <c r="E42" s="96"/>
      <c r="F42" s="104"/>
      <c r="G42" s="102"/>
      <c r="H42" s="96"/>
      <c r="I42" s="86"/>
      <c r="J42" s="86"/>
      <c r="K42" s="86"/>
      <c r="L42" s="86"/>
      <c r="M42" s="86"/>
      <c r="N42" s="86"/>
      <c r="O42" s="86"/>
      <c r="P42" s="97"/>
      <c r="Q42" s="98"/>
      <c r="R42" s="89"/>
      <c r="S42" s="131"/>
      <c r="T42" s="131"/>
      <c r="U42" s="131"/>
      <c r="V42" s="132"/>
      <c r="W42" s="3"/>
      <c r="X42" s="91"/>
      <c r="Y42" s="96"/>
      <c r="Z42" s="104"/>
      <c r="AA42" s="102"/>
      <c r="AB42" s="96"/>
      <c r="AC42" s="86"/>
      <c r="AD42" s="86"/>
      <c r="AE42" s="86"/>
      <c r="AF42" s="86"/>
      <c r="AG42" s="86"/>
      <c r="AH42" s="86"/>
      <c r="AI42" s="84"/>
      <c r="AJ42" s="87"/>
      <c r="AK42" s="88"/>
      <c r="AL42" s="89"/>
      <c r="AM42" s="90"/>
      <c r="AN42" s="3"/>
      <c r="AO42" s="91"/>
      <c r="AP42" s="96"/>
      <c r="AQ42" s="104"/>
      <c r="AR42" s="102"/>
      <c r="AS42" s="96"/>
      <c r="AT42" s="86"/>
      <c r="AU42" s="86"/>
      <c r="AV42" s="86"/>
      <c r="AW42" s="86"/>
      <c r="AX42" s="86"/>
      <c r="AY42" s="86"/>
      <c r="AZ42" s="86"/>
      <c r="BA42" s="84"/>
      <c r="BB42" s="89"/>
      <c r="BD42" s="90"/>
      <c r="BF42" s="91"/>
      <c r="BG42" s="96"/>
      <c r="BH42" s="104"/>
      <c r="BI42" s="102"/>
      <c r="BJ42" s="96"/>
      <c r="BK42" s="86"/>
      <c r="BL42" s="86"/>
      <c r="BM42" s="85"/>
      <c r="BN42" s="85"/>
      <c r="BO42" s="85"/>
      <c r="BP42" s="85"/>
      <c r="BQ42" s="93"/>
      <c r="BR42" s="93"/>
      <c r="BS42" s="94"/>
      <c r="BU42" s="83"/>
      <c r="BV42" s="96"/>
      <c r="BW42" s="104"/>
      <c r="BX42" s="102"/>
      <c r="BY42" s="96"/>
      <c r="BZ42" s="86"/>
      <c r="CA42" s="86"/>
      <c r="CB42" s="86"/>
      <c r="CC42" s="86"/>
      <c r="CD42" s="86"/>
      <c r="CE42" s="86"/>
      <c r="CF42" s="84"/>
      <c r="CG42" s="86"/>
      <c r="CH42" s="13"/>
      <c r="CJ42" s="83"/>
      <c r="CK42" s="96"/>
      <c r="CL42" s="104"/>
      <c r="CM42" s="102"/>
      <c r="CN42" s="96"/>
      <c r="CO42" s="86"/>
      <c r="CP42" s="86"/>
      <c r="CQ42" s="86"/>
      <c r="CR42" s="86"/>
      <c r="CS42" s="86"/>
      <c r="CT42" s="86"/>
      <c r="CU42" s="86"/>
      <c r="CV42" s="86"/>
      <c r="CW42" s="99"/>
      <c r="CY42" s="91"/>
      <c r="CZ42" s="96"/>
      <c r="DA42" s="104"/>
      <c r="DB42" s="102"/>
      <c r="DC42" s="96"/>
      <c r="DD42" s="86"/>
      <c r="DE42" s="86"/>
      <c r="DF42" s="85"/>
      <c r="DG42" s="85"/>
      <c r="DH42" s="85"/>
      <c r="DI42" s="85"/>
      <c r="DJ42" s="93"/>
      <c r="DK42" s="94"/>
    </row>
    <row r="43" spans="1:115" ht="15" outlineLevel="1">
      <c r="A43" s="12" t="s">
        <v>73</v>
      </c>
      <c r="B43" s="13"/>
      <c r="C43" s="14"/>
      <c r="D43" s="91">
        <f>[24]Mar!Q38</f>
        <v>1475252.36</v>
      </c>
      <c r="E43" s="96">
        <f>[24]Apr!N38</f>
        <v>1514716.79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100">
        <f>SUM(D43:O43)</f>
        <v>2989969.1500000004</v>
      </c>
      <c r="Q43" s="101">
        <f>SUM(BS43)</f>
        <v>1480725.01</v>
      </c>
      <c r="R43" s="89">
        <f t="shared" ref="R43:R44" si="10">IF(ISERROR((($E43-$D43)/ABS($D43)+1)*100),0,(($E43-$D43)/ABS($D43)+1)*100)</f>
        <v>102.67509688986365</v>
      </c>
      <c r="S43" s="89">
        <f t="shared" ref="S43:S44" si="11">IF(ISERROR((($E43-$BG43)/ABS($BG43)+1)*100),0,(($E43-$BG43)/ABS($BG43)+1)*100)</f>
        <v>199.65093831803401</v>
      </c>
      <c r="T43" s="89">
        <f>IF(ISERROR((($P43-$BG43)/ABS($BG43)+1)*100),0,(($P43-$BG43)/ABS($BG43)+1)*100)</f>
        <v>394.10017125344905</v>
      </c>
      <c r="U43" s="96">
        <f>(+'[24]PF resc'!D46)*1000</f>
        <v>1306841.7891272604</v>
      </c>
      <c r="V43" s="90">
        <f>IF(ISERROR((($E43-$U43)/ABS($U43)+1)*100),0,(($E43-$U43)/ABS($U43)+1)*100)</f>
        <v>115.90666923894157</v>
      </c>
      <c r="W43" s="3"/>
      <c r="X43" s="91">
        <f t="shared" ref="X43:AI43" si="12">D43-AO43</f>
        <v>1170122.31</v>
      </c>
      <c r="Y43" s="96">
        <f t="shared" si="12"/>
        <v>1064646.8900000001</v>
      </c>
      <c r="Z43" s="96">
        <f t="shared" si="12"/>
        <v>0</v>
      </c>
      <c r="AA43" s="96">
        <f t="shared" si="12"/>
        <v>0</v>
      </c>
      <c r="AB43" s="96">
        <f t="shared" si="12"/>
        <v>0</v>
      </c>
      <c r="AC43" s="96">
        <f t="shared" si="12"/>
        <v>0</v>
      </c>
      <c r="AD43" s="96">
        <f t="shared" si="12"/>
        <v>0</v>
      </c>
      <c r="AE43" s="96">
        <f t="shared" si="12"/>
        <v>0</v>
      </c>
      <c r="AF43" s="96">
        <f t="shared" si="12"/>
        <v>0</v>
      </c>
      <c r="AG43" s="96">
        <f t="shared" si="12"/>
        <v>0</v>
      </c>
      <c r="AH43" s="96">
        <f t="shared" si="12"/>
        <v>0</v>
      </c>
      <c r="AI43" s="102">
        <f t="shared" si="12"/>
        <v>0</v>
      </c>
      <c r="AJ43" s="103">
        <f>SUM(X43:AI43)</f>
        <v>2234769.2000000002</v>
      </c>
      <c r="AK43" s="88">
        <f t="shared" ref="AK43:AK44" si="13">IF(ISERROR((($Y43-$X43)/ABS($X43)+1)*100),0,(($Y43-$X43)/ABS($X43)+1)*100)</f>
        <v>90.985949152614666</v>
      </c>
      <c r="AL43" s="96">
        <f>(+'[24]PF resc'!R46)*1000</f>
        <v>811108.7698015715</v>
      </c>
      <c r="AM43" s="90">
        <f t="shared" ref="AM43:AM44" si="14">IF(ISERROR((($Y43-$AL43)/ABS($AL43)+1)*100),0,(($Y43-$AL43)/ABS($AL43)+1)*100)</f>
        <v>131.25821463630012</v>
      </c>
      <c r="AN43" s="3"/>
      <c r="AO43" s="91">
        <v>305130.05000000005</v>
      </c>
      <c r="AP43" s="96">
        <v>450069.9</v>
      </c>
      <c r="AQ43" s="96"/>
      <c r="AR43" s="96"/>
      <c r="AS43" s="96"/>
      <c r="AT43" s="96"/>
      <c r="AU43" s="96"/>
      <c r="AV43" s="96"/>
      <c r="AW43" s="96"/>
      <c r="AX43" s="96"/>
      <c r="AY43" s="96"/>
      <c r="AZ43" s="125"/>
      <c r="BA43" s="102">
        <f>SUM(AO43:AZ43)</f>
        <v>755199.95000000007</v>
      </c>
      <c r="BB43" s="89">
        <f t="shared" ref="BB43:BB44" si="15">IF(ISERROR((($AP43-$AO43)/ABS($AO43)+1)*100),0,(($AP43-$AO43)/ABS($AO43)+1)*100)</f>
        <v>147.50100817667743</v>
      </c>
      <c r="BC43" s="96">
        <f>(+'[24]PF resc'!AF46)*1000</f>
        <v>495733.01932568889</v>
      </c>
      <c r="BD43" s="90">
        <f>IF(ISERROR((($AP43-$BC43)/ABS($BC43)+1)*100),0,(($AP43-$BC43)/ABS($BC43)+1)*100)</f>
        <v>90.788767835598037</v>
      </c>
      <c r="BF43" s="91">
        <v>722042.48</v>
      </c>
      <c r="BG43" s="96">
        <v>758682.53</v>
      </c>
      <c r="BH43" s="104">
        <v>756131.69</v>
      </c>
      <c r="BI43" s="102">
        <v>770542.21</v>
      </c>
      <c r="BJ43" s="96">
        <v>721929.28</v>
      </c>
      <c r="BK43" s="96">
        <v>705578.48</v>
      </c>
      <c r="BL43" s="96">
        <v>732417.19</v>
      </c>
      <c r="BM43" s="96">
        <v>815238.04</v>
      </c>
      <c r="BN43" s="96">
        <v>816643.08</v>
      </c>
      <c r="BO43" s="96">
        <v>910294.71</v>
      </c>
      <c r="BP43" s="96">
        <v>1028443.11</v>
      </c>
      <c r="BQ43" s="102">
        <v>1235328.79</v>
      </c>
      <c r="BR43" s="102">
        <v>125629.82000000007</v>
      </c>
      <c r="BS43" s="94">
        <f t="shared" ref="BS43:BS44" si="16">SUM(BF43:BG43)</f>
        <v>1480725.01</v>
      </c>
      <c r="BU43" s="83">
        <v>416912.42999999993</v>
      </c>
      <c r="BV43" s="96">
        <v>425217.32</v>
      </c>
      <c r="BW43" s="96">
        <v>449222.86999999994</v>
      </c>
      <c r="BX43" s="96">
        <v>465571.00999999995</v>
      </c>
      <c r="BY43" s="96">
        <v>449714.01</v>
      </c>
      <c r="BZ43" s="96">
        <v>357496.04</v>
      </c>
      <c r="CA43" s="96">
        <v>379633.39999999991</v>
      </c>
      <c r="CB43" s="96">
        <v>424769.03</v>
      </c>
      <c r="CC43" s="96">
        <v>447362.34999999992</v>
      </c>
      <c r="CD43" s="96">
        <v>498610.74999999994</v>
      </c>
      <c r="CE43" s="96">
        <v>638316.89</v>
      </c>
      <c r="CF43" s="102">
        <v>767580.8</v>
      </c>
      <c r="CG43" s="96">
        <v>74328.500000000058</v>
      </c>
      <c r="CH43" s="105">
        <v>5794735.3999999985</v>
      </c>
      <c r="CJ43" s="83">
        <v>305130.05000000005</v>
      </c>
      <c r="CK43" s="96">
        <v>333465.21000000002</v>
      </c>
      <c r="CL43" s="96">
        <v>306908.82</v>
      </c>
      <c r="CM43" s="96">
        <v>304971.2</v>
      </c>
      <c r="CN43" s="96">
        <v>272215.27</v>
      </c>
      <c r="CO43" s="96">
        <v>348082.44</v>
      </c>
      <c r="CP43" s="96">
        <v>352783.79000000004</v>
      </c>
      <c r="CQ43" s="96">
        <v>390469.01</v>
      </c>
      <c r="CR43" s="96">
        <v>369280.73000000004</v>
      </c>
      <c r="CS43" s="96">
        <v>411683.96</v>
      </c>
      <c r="CT43" s="96">
        <v>390126.22</v>
      </c>
      <c r="CU43" s="125">
        <v>467747.99</v>
      </c>
      <c r="CV43" s="125">
        <v>51301.320000000007</v>
      </c>
      <c r="CW43" s="106">
        <v>4304166.0100000007</v>
      </c>
      <c r="CY43" s="91">
        <v>331573.82</v>
      </c>
      <c r="CZ43" s="96">
        <v>341508.15</v>
      </c>
      <c r="DA43" s="104">
        <v>379919.72</v>
      </c>
      <c r="DB43" s="102">
        <v>324329.46999999997</v>
      </c>
      <c r="DC43" s="96">
        <v>349433.17</v>
      </c>
      <c r="DD43" s="96">
        <v>348384.41</v>
      </c>
      <c r="DE43" s="96">
        <v>358229</v>
      </c>
      <c r="DF43" s="96">
        <v>358047</v>
      </c>
      <c r="DG43" s="96">
        <v>338684.66</v>
      </c>
      <c r="DH43" s="96">
        <v>365855.35</v>
      </c>
      <c r="DI43" s="96">
        <v>474912.89</v>
      </c>
      <c r="DJ43" s="102">
        <v>682894.1</v>
      </c>
      <c r="DK43" s="94">
        <f t="shared" ref="DK43:DK44" si="17">SUM(CY43:DJ43)</f>
        <v>4653771.74</v>
      </c>
    </row>
    <row r="44" spans="1:115" ht="14.45" customHeight="1" outlineLevel="1">
      <c r="A44" s="12" t="s">
        <v>74</v>
      </c>
      <c r="B44" s="13"/>
      <c r="C44" s="14"/>
      <c r="D44" s="83">
        <v>206700</v>
      </c>
      <c r="E44" s="96">
        <v>202739.6</v>
      </c>
      <c r="F44" s="104"/>
      <c r="G44" s="102"/>
      <c r="H44" s="96"/>
      <c r="I44" s="96"/>
      <c r="J44" s="96"/>
      <c r="K44" s="96"/>
      <c r="L44" s="96"/>
      <c r="M44" s="96"/>
      <c r="N44" s="125"/>
      <c r="O44" s="125"/>
      <c r="P44" s="100">
        <f>SUM(D44:O44)</f>
        <v>409439.6</v>
      </c>
      <c r="Q44" s="101">
        <f>SUM(BS44)</f>
        <v>431289</v>
      </c>
      <c r="R44" s="89">
        <f t="shared" si="10"/>
        <v>98.083986453797777</v>
      </c>
      <c r="S44" s="89">
        <f t="shared" si="11"/>
        <v>82.390893012731325</v>
      </c>
      <c r="T44" s="89">
        <f>IF(ISERROR((($P44-$BG44)/ABS($BG44)+1)*100),0,(($P44-$BG44)/ABS($BG44)+1)*100)</f>
        <v>166.39124413176069</v>
      </c>
      <c r="U44" s="96">
        <f>(+'[24]PF resc'!D47)*1000</f>
        <v>243007.10778079182</v>
      </c>
      <c r="V44" s="90">
        <f>IF(ISERROR((($E44-$U44)/ABS($U44)+1)*100),0,(($E44-$U44)/ABS($U44)+1)*100)</f>
        <v>83.42949383311219</v>
      </c>
      <c r="W44" s="3"/>
      <c r="X44" s="91">
        <f>D44</f>
        <v>206700</v>
      </c>
      <c r="Y44" s="96">
        <f>E44</f>
        <v>202739.6</v>
      </c>
      <c r="Z44" s="104"/>
      <c r="AA44" s="102"/>
      <c r="AB44" s="96"/>
      <c r="AC44" s="96"/>
      <c r="AD44" s="96"/>
      <c r="AE44" s="96"/>
      <c r="AF44" s="96"/>
      <c r="AG44" s="96"/>
      <c r="AH44" s="96"/>
      <c r="AI44" s="102"/>
      <c r="AJ44" s="103">
        <f>SUM(X44:AI44)</f>
        <v>409439.6</v>
      </c>
      <c r="AK44" s="88">
        <f t="shared" si="13"/>
        <v>98.083986453797777</v>
      </c>
      <c r="AL44" s="96">
        <f>(+'[24]PF resc'!R47)*1000</f>
        <v>243007.10778079182</v>
      </c>
      <c r="AM44" s="90">
        <f t="shared" si="14"/>
        <v>83.42949383311219</v>
      </c>
      <c r="AN44" s="3"/>
      <c r="AO44" s="91">
        <f>+D44-X44</f>
        <v>0</v>
      </c>
      <c r="AP44" s="96">
        <f>+E44-Y44</f>
        <v>0</v>
      </c>
      <c r="AQ44" s="104"/>
      <c r="AR44" s="102"/>
      <c r="AS44" s="96"/>
      <c r="AT44" s="96"/>
      <c r="AU44" s="96"/>
      <c r="AV44" s="96"/>
      <c r="AW44" s="96"/>
      <c r="AX44" s="96"/>
      <c r="AY44" s="96"/>
      <c r="AZ44" s="96"/>
      <c r="BA44" s="102">
        <f>SUM(AO44:AZ44)</f>
        <v>0</v>
      </c>
      <c r="BB44" s="89">
        <f t="shared" si="15"/>
        <v>0</v>
      </c>
      <c r="BD44" s="90"/>
      <c r="BF44" s="91">
        <v>185218.6</v>
      </c>
      <c r="BG44" s="96">
        <v>246070.39999999999</v>
      </c>
      <c r="BH44" s="104">
        <v>195876</v>
      </c>
      <c r="BI44" s="102">
        <v>256336.80000000002</v>
      </c>
      <c r="BJ44" s="96">
        <v>266366.40000000002</v>
      </c>
      <c r="BK44" s="96">
        <v>194861</v>
      </c>
      <c r="BL44" s="96">
        <v>209868</v>
      </c>
      <c r="BM44" s="96">
        <v>215615</v>
      </c>
      <c r="BN44" s="96">
        <v>241692.80000000002</v>
      </c>
      <c r="BO44" s="96">
        <v>208991</v>
      </c>
      <c r="BP44" s="96">
        <v>156600.6</v>
      </c>
      <c r="BQ44" s="102">
        <v>202801.6</v>
      </c>
      <c r="BR44" s="102">
        <v>34782</v>
      </c>
      <c r="BS44" s="94">
        <f t="shared" si="16"/>
        <v>431289</v>
      </c>
      <c r="BU44" s="83">
        <v>185218.6</v>
      </c>
      <c r="BV44" s="96">
        <v>246070.39999999999</v>
      </c>
      <c r="BW44" s="104">
        <v>195876</v>
      </c>
      <c r="BX44" s="102">
        <v>256336.80000000002</v>
      </c>
      <c r="BY44" s="96">
        <v>266366.40000000002</v>
      </c>
      <c r="BZ44" s="96">
        <v>194861</v>
      </c>
      <c r="CA44" s="96">
        <v>209868</v>
      </c>
      <c r="CB44" s="96">
        <v>215615</v>
      </c>
      <c r="CC44" s="96">
        <v>241692.80000000002</v>
      </c>
      <c r="CD44" s="96">
        <v>208991</v>
      </c>
      <c r="CE44" s="96">
        <v>156600.6</v>
      </c>
      <c r="CF44" s="102">
        <v>202801.6</v>
      </c>
      <c r="CG44" s="96">
        <v>34782</v>
      </c>
      <c r="CH44" s="105">
        <v>2615080.2000000002</v>
      </c>
      <c r="CJ44" s="83"/>
      <c r="CK44" s="96"/>
      <c r="CL44" s="104"/>
      <c r="CM44" s="102"/>
      <c r="CN44" s="96"/>
      <c r="CO44" s="96"/>
      <c r="CP44" s="96"/>
      <c r="CQ44" s="96"/>
      <c r="CR44" s="96"/>
      <c r="CS44" s="96"/>
      <c r="CT44" s="96"/>
      <c r="CU44" s="96"/>
      <c r="CV44" s="96"/>
      <c r="CW44" s="106">
        <v>0</v>
      </c>
      <c r="CY44" s="91">
        <v>216976</v>
      </c>
      <c r="CZ44" s="96">
        <v>348626.4</v>
      </c>
      <c r="DA44" s="104">
        <v>381214</v>
      </c>
      <c r="DB44" s="102">
        <v>431939.80000000005</v>
      </c>
      <c r="DC44" s="96">
        <v>365937</v>
      </c>
      <c r="DD44" s="96">
        <v>222793.80000000002</v>
      </c>
      <c r="DE44" s="96">
        <v>299578</v>
      </c>
      <c r="DF44" s="96">
        <v>240159</v>
      </c>
      <c r="DG44" s="96">
        <v>303416.40000000002</v>
      </c>
      <c r="DH44" s="96">
        <v>273089.60000000003</v>
      </c>
      <c r="DI44" s="96">
        <v>141581.80000000002</v>
      </c>
      <c r="DJ44" s="102">
        <v>174991</v>
      </c>
      <c r="DK44" s="94">
        <f t="shared" si="17"/>
        <v>3400302.8</v>
      </c>
    </row>
    <row r="45" spans="1:115" ht="14.45" customHeight="1" outlineLevel="2">
      <c r="A45" s="12" t="s">
        <v>75</v>
      </c>
      <c r="B45" s="13"/>
      <c r="C45" s="14"/>
      <c r="D45" s="91"/>
      <c r="E45" s="96"/>
      <c r="F45" s="104"/>
      <c r="G45" s="102"/>
      <c r="H45" s="96"/>
      <c r="I45" s="86"/>
      <c r="J45" s="86"/>
      <c r="K45" s="86"/>
      <c r="L45" s="86"/>
      <c r="M45" s="86"/>
      <c r="N45" s="86"/>
      <c r="O45" s="84"/>
      <c r="P45" s="97"/>
      <c r="Q45" s="98"/>
      <c r="R45" s="131"/>
      <c r="S45" s="131"/>
      <c r="T45" s="131"/>
      <c r="U45" s="131"/>
      <c r="V45" s="132"/>
      <c r="W45" s="3"/>
      <c r="X45" s="91"/>
      <c r="Y45" s="96"/>
      <c r="Z45" s="104"/>
      <c r="AA45" s="102"/>
      <c r="AB45" s="96"/>
      <c r="AC45" s="86"/>
      <c r="AD45" s="86"/>
      <c r="AE45" s="86"/>
      <c r="AF45" s="86"/>
      <c r="AG45" s="86"/>
      <c r="AH45" s="86"/>
      <c r="AI45" s="84"/>
      <c r="AJ45" s="87"/>
      <c r="AK45" s="133"/>
      <c r="AL45" s="131"/>
      <c r="AM45" s="132"/>
      <c r="AN45" s="3"/>
      <c r="AO45" s="91"/>
      <c r="AP45" s="96"/>
      <c r="AQ45" s="104"/>
      <c r="AR45" s="102"/>
      <c r="AS45" s="96"/>
      <c r="AT45" s="86"/>
      <c r="AU45" s="86"/>
      <c r="AV45" s="86"/>
      <c r="AW45" s="86"/>
      <c r="AX45" s="86"/>
      <c r="AY45" s="86"/>
      <c r="AZ45" s="86"/>
      <c r="BA45" s="84"/>
      <c r="BB45" s="131"/>
      <c r="BC45" s="131"/>
      <c r="BD45" s="132"/>
      <c r="BF45" s="91"/>
      <c r="BG45" s="96"/>
      <c r="BH45" s="104"/>
      <c r="BI45" s="102"/>
      <c r="BJ45" s="96"/>
      <c r="BK45" s="86"/>
      <c r="BL45" s="86"/>
      <c r="BM45" s="85"/>
      <c r="BN45" s="85"/>
      <c r="BO45" s="85"/>
      <c r="BP45" s="85"/>
      <c r="BQ45" s="93"/>
      <c r="BR45" s="93"/>
      <c r="BS45" s="94"/>
      <c r="BU45" s="83"/>
      <c r="BV45" s="96"/>
      <c r="BW45" s="104"/>
      <c r="BX45" s="102"/>
      <c r="BY45" s="96"/>
      <c r="BZ45" s="86"/>
      <c r="CA45" s="86"/>
      <c r="CB45" s="86"/>
      <c r="CC45" s="86"/>
      <c r="CD45" s="86"/>
      <c r="CE45" s="86"/>
      <c r="CF45" s="84"/>
      <c r="CG45" s="86"/>
      <c r="CH45" s="13"/>
      <c r="CJ45" s="83"/>
      <c r="CK45" s="96"/>
      <c r="CL45" s="104"/>
      <c r="CM45" s="102"/>
      <c r="CN45" s="96"/>
      <c r="CO45" s="86"/>
      <c r="CP45" s="86"/>
      <c r="CQ45" s="86"/>
      <c r="CR45" s="86"/>
      <c r="CS45" s="86"/>
      <c r="CT45" s="86"/>
      <c r="CU45" s="86"/>
      <c r="CV45" s="86"/>
      <c r="CW45" s="99"/>
      <c r="CY45" s="91"/>
      <c r="CZ45" s="96"/>
      <c r="DA45" s="104"/>
      <c r="DB45" s="102"/>
      <c r="DC45" s="96"/>
      <c r="DD45" s="86"/>
      <c r="DE45" s="86"/>
      <c r="DF45" s="85"/>
      <c r="DG45" s="85"/>
      <c r="DH45" s="85"/>
      <c r="DI45" s="85"/>
      <c r="DJ45" s="93"/>
      <c r="DK45" s="94"/>
    </row>
    <row r="46" spans="1:115" ht="14.45" customHeight="1" outlineLevel="2">
      <c r="A46" s="12" t="s">
        <v>76</v>
      </c>
      <c r="B46" s="13"/>
      <c r="C46" s="14"/>
      <c r="D46" s="91"/>
      <c r="E46" s="96"/>
      <c r="F46" s="104"/>
      <c r="G46" s="102"/>
      <c r="H46" s="96"/>
      <c r="I46" s="86"/>
      <c r="J46" s="86"/>
      <c r="K46" s="86"/>
      <c r="L46" s="86"/>
      <c r="M46" s="86"/>
      <c r="N46" s="86"/>
      <c r="O46" s="84"/>
      <c r="P46" s="97"/>
      <c r="Q46" s="98"/>
      <c r="R46" s="89"/>
      <c r="S46" s="89"/>
      <c r="T46" s="89"/>
      <c r="U46" s="89"/>
      <c r="V46" s="90"/>
      <c r="W46" s="3"/>
      <c r="X46" s="91"/>
      <c r="Y46" s="96"/>
      <c r="Z46" s="104"/>
      <c r="AA46" s="102"/>
      <c r="AB46" s="96"/>
      <c r="AC46" s="86"/>
      <c r="AD46" s="86"/>
      <c r="AE46" s="86"/>
      <c r="AF46" s="86"/>
      <c r="AG46" s="86"/>
      <c r="AH46" s="86"/>
      <c r="AI46" s="84"/>
      <c r="AJ46" s="87"/>
      <c r="AK46" s="88"/>
      <c r="AL46" s="89"/>
      <c r="AM46" s="90"/>
      <c r="AN46" s="3"/>
      <c r="AO46" s="91"/>
      <c r="AP46" s="96"/>
      <c r="AQ46" s="104"/>
      <c r="AR46" s="102"/>
      <c r="AS46" s="96"/>
      <c r="AT46" s="86"/>
      <c r="AU46" s="86"/>
      <c r="AV46" s="86"/>
      <c r="AW46" s="86"/>
      <c r="AX46" s="86"/>
      <c r="AY46" s="86"/>
      <c r="AZ46" s="86"/>
      <c r="BA46" s="84"/>
      <c r="BB46" s="89"/>
      <c r="BC46" s="89"/>
      <c r="BD46" s="90"/>
      <c r="BF46" s="91"/>
      <c r="BG46" s="96"/>
      <c r="BH46" s="104"/>
      <c r="BI46" s="102"/>
      <c r="BJ46" s="96"/>
      <c r="BK46" s="86"/>
      <c r="BL46" s="86"/>
      <c r="BM46" s="85"/>
      <c r="BN46" s="85"/>
      <c r="BO46" s="85"/>
      <c r="BP46" s="85"/>
      <c r="BQ46" s="93"/>
      <c r="BR46" s="93"/>
      <c r="BS46" s="94"/>
      <c r="BU46" s="83"/>
      <c r="BV46" s="96"/>
      <c r="BW46" s="104"/>
      <c r="BX46" s="102"/>
      <c r="BY46" s="96"/>
      <c r="BZ46" s="86"/>
      <c r="CA46" s="86"/>
      <c r="CB46" s="86"/>
      <c r="CC46" s="86"/>
      <c r="CD46" s="86"/>
      <c r="CE46" s="86"/>
      <c r="CF46" s="84"/>
      <c r="CG46" s="86"/>
      <c r="CH46" s="13"/>
      <c r="CJ46" s="83"/>
      <c r="CK46" s="96"/>
      <c r="CL46" s="104"/>
      <c r="CM46" s="102"/>
      <c r="CN46" s="96"/>
      <c r="CO46" s="86"/>
      <c r="CP46" s="86"/>
      <c r="CQ46" s="86"/>
      <c r="CR46" s="86"/>
      <c r="CS46" s="86"/>
      <c r="CT46" s="86"/>
      <c r="CU46" s="86"/>
      <c r="CV46" s="86"/>
      <c r="CW46" s="99"/>
      <c r="CY46" s="91"/>
      <c r="CZ46" s="96"/>
      <c r="DA46" s="104"/>
      <c r="DB46" s="102"/>
      <c r="DC46" s="96"/>
      <c r="DD46" s="86"/>
      <c r="DE46" s="86"/>
      <c r="DF46" s="85"/>
      <c r="DG46" s="85"/>
      <c r="DH46" s="85"/>
      <c r="DI46" s="85"/>
      <c r="DJ46" s="93"/>
      <c r="DK46" s="94"/>
    </row>
    <row r="47" spans="1:115" ht="14.45" customHeight="1" outlineLevel="2">
      <c r="A47" s="12" t="s">
        <v>77</v>
      </c>
      <c r="B47" s="13"/>
      <c r="C47" s="14"/>
      <c r="D47" s="91"/>
      <c r="E47" s="96"/>
      <c r="F47" s="104"/>
      <c r="G47" s="102"/>
      <c r="H47" s="96"/>
      <c r="I47" s="86"/>
      <c r="J47" s="86"/>
      <c r="K47" s="86"/>
      <c r="L47" s="86"/>
      <c r="M47" s="86"/>
      <c r="N47" s="86"/>
      <c r="O47" s="84"/>
      <c r="P47" s="97"/>
      <c r="Q47" s="98"/>
      <c r="R47" s="89"/>
      <c r="S47" s="89"/>
      <c r="T47" s="89"/>
      <c r="U47" s="89"/>
      <c r="V47" s="90"/>
      <c r="W47" s="3"/>
      <c r="X47" s="91"/>
      <c r="Y47" s="96"/>
      <c r="Z47" s="104"/>
      <c r="AA47" s="102"/>
      <c r="AB47" s="96"/>
      <c r="AC47" s="86"/>
      <c r="AD47" s="86"/>
      <c r="AE47" s="86"/>
      <c r="AF47" s="86"/>
      <c r="AG47" s="86"/>
      <c r="AH47" s="86"/>
      <c r="AI47" s="84"/>
      <c r="AJ47" s="87"/>
      <c r="AK47" s="88"/>
      <c r="AL47" s="89"/>
      <c r="AM47" s="90"/>
      <c r="AN47" s="3"/>
      <c r="AO47" s="91"/>
      <c r="AP47" s="96"/>
      <c r="AQ47" s="104"/>
      <c r="AR47" s="102"/>
      <c r="AS47" s="96"/>
      <c r="AT47" s="86"/>
      <c r="AU47" s="86"/>
      <c r="AV47" s="86"/>
      <c r="AW47" s="86"/>
      <c r="AX47" s="86"/>
      <c r="AY47" s="86"/>
      <c r="AZ47" s="86"/>
      <c r="BA47" s="84"/>
      <c r="BB47" s="89"/>
      <c r="BC47" s="89"/>
      <c r="BD47" s="90"/>
      <c r="BF47" s="91"/>
      <c r="BG47" s="96"/>
      <c r="BH47" s="104"/>
      <c r="BI47" s="102"/>
      <c r="BJ47" s="96"/>
      <c r="BK47" s="86"/>
      <c r="BL47" s="86"/>
      <c r="BM47" s="85"/>
      <c r="BN47" s="85"/>
      <c r="BO47" s="85"/>
      <c r="BP47" s="85"/>
      <c r="BQ47" s="93"/>
      <c r="BR47" s="93"/>
      <c r="BS47" s="94"/>
      <c r="BU47" s="83"/>
      <c r="BV47" s="96"/>
      <c r="BW47" s="104"/>
      <c r="BX47" s="102"/>
      <c r="BY47" s="96"/>
      <c r="BZ47" s="86"/>
      <c r="CA47" s="86"/>
      <c r="CB47" s="86"/>
      <c r="CC47" s="86"/>
      <c r="CD47" s="86"/>
      <c r="CE47" s="86"/>
      <c r="CF47" s="84"/>
      <c r="CG47" s="86"/>
      <c r="CH47" s="13"/>
      <c r="CJ47" s="83"/>
      <c r="CK47" s="96"/>
      <c r="CL47" s="104"/>
      <c r="CM47" s="102"/>
      <c r="CN47" s="96"/>
      <c r="CO47" s="86"/>
      <c r="CP47" s="86"/>
      <c r="CQ47" s="86"/>
      <c r="CR47" s="86"/>
      <c r="CS47" s="86"/>
      <c r="CT47" s="86"/>
      <c r="CU47" s="86"/>
      <c r="CV47" s="86"/>
      <c r="CW47" s="99"/>
      <c r="CY47" s="91"/>
      <c r="CZ47" s="96"/>
      <c r="DA47" s="104"/>
      <c r="DB47" s="102"/>
      <c r="DC47" s="96"/>
      <c r="DD47" s="86"/>
      <c r="DE47" s="86"/>
      <c r="DF47" s="85"/>
      <c r="DG47" s="85"/>
      <c r="DH47" s="85"/>
      <c r="DI47" s="85"/>
      <c r="DJ47" s="93"/>
      <c r="DK47" s="94"/>
    </row>
    <row r="48" spans="1:115" ht="14.45" customHeight="1" outlineLevel="2">
      <c r="A48" s="12" t="s">
        <v>78</v>
      </c>
      <c r="B48" s="13"/>
      <c r="C48" s="14"/>
      <c r="D48" s="91"/>
      <c r="E48" s="96"/>
      <c r="F48" s="104"/>
      <c r="G48" s="102"/>
      <c r="H48" s="96"/>
      <c r="I48" s="86"/>
      <c r="J48" s="86"/>
      <c r="K48" s="86"/>
      <c r="L48" s="86"/>
      <c r="M48" s="86"/>
      <c r="N48" s="86"/>
      <c r="O48" s="84"/>
      <c r="P48" s="97"/>
      <c r="Q48" s="98"/>
      <c r="R48" s="89"/>
      <c r="S48" s="89"/>
      <c r="T48" s="89"/>
      <c r="U48" s="89"/>
      <c r="V48" s="90"/>
      <c r="W48" s="3"/>
      <c r="X48" s="91"/>
      <c r="Y48" s="96"/>
      <c r="Z48" s="104"/>
      <c r="AA48" s="102"/>
      <c r="AB48" s="96"/>
      <c r="AC48" s="86"/>
      <c r="AD48" s="86"/>
      <c r="AE48" s="86"/>
      <c r="AF48" s="86"/>
      <c r="AG48" s="86"/>
      <c r="AH48" s="86"/>
      <c r="AI48" s="84"/>
      <c r="AJ48" s="87"/>
      <c r="AK48" s="88"/>
      <c r="AL48" s="89"/>
      <c r="AM48" s="90"/>
      <c r="AN48" s="3"/>
      <c r="AO48" s="91"/>
      <c r="AP48" s="96"/>
      <c r="AQ48" s="104"/>
      <c r="AR48" s="102"/>
      <c r="AS48" s="96"/>
      <c r="AT48" s="86"/>
      <c r="AU48" s="86"/>
      <c r="AV48" s="86"/>
      <c r="AW48" s="86"/>
      <c r="AX48" s="86"/>
      <c r="AY48" s="86"/>
      <c r="AZ48" s="86"/>
      <c r="BA48" s="84"/>
      <c r="BB48" s="89"/>
      <c r="BC48" s="89"/>
      <c r="BD48" s="90"/>
      <c r="BF48" s="91"/>
      <c r="BG48" s="96"/>
      <c r="BH48" s="104"/>
      <c r="BI48" s="102"/>
      <c r="BJ48" s="96"/>
      <c r="BK48" s="86"/>
      <c r="BL48" s="86"/>
      <c r="BM48" s="85"/>
      <c r="BN48" s="85"/>
      <c r="BO48" s="85"/>
      <c r="BP48" s="85"/>
      <c r="BQ48" s="93"/>
      <c r="BR48" s="93"/>
      <c r="BS48" s="94"/>
      <c r="BU48" s="83"/>
      <c r="BV48" s="96"/>
      <c r="BW48" s="104"/>
      <c r="BX48" s="102"/>
      <c r="BY48" s="96"/>
      <c r="BZ48" s="86"/>
      <c r="CA48" s="86"/>
      <c r="CB48" s="86"/>
      <c r="CC48" s="86"/>
      <c r="CD48" s="86"/>
      <c r="CE48" s="86"/>
      <c r="CF48" s="84"/>
      <c r="CG48" s="86"/>
      <c r="CH48" s="13"/>
      <c r="CJ48" s="83"/>
      <c r="CK48" s="96"/>
      <c r="CL48" s="104"/>
      <c r="CM48" s="102"/>
      <c r="CN48" s="96"/>
      <c r="CO48" s="86"/>
      <c r="CP48" s="86"/>
      <c r="CQ48" s="86"/>
      <c r="CR48" s="86"/>
      <c r="CS48" s="86"/>
      <c r="CT48" s="86"/>
      <c r="CU48" s="86"/>
      <c r="CV48" s="86"/>
      <c r="CW48" s="99"/>
      <c r="CY48" s="91"/>
      <c r="CZ48" s="96"/>
      <c r="DA48" s="104"/>
      <c r="DB48" s="102"/>
      <c r="DC48" s="96"/>
      <c r="DD48" s="86"/>
      <c r="DE48" s="86"/>
      <c r="DF48" s="85"/>
      <c r="DG48" s="85"/>
      <c r="DH48" s="85"/>
      <c r="DI48" s="85"/>
      <c r="DJ48" s="93"/>
      <c r="DK48" s="94"/>
    </row>
    <row r="49" spans="1:115" ht="14.45" customHeight="1" outlineLevel="2">
      <c r="A49" s="12" t="s">
        <v>79</v>
      </c>
      <c r="B49" s="13"/>
      <c r="C49" s="14"/>
      <c r="D49" s="91"/>
      <c r="E49" s="96"/>
      <c r="F49" s="104"/>
      <c r="G49" s="102"/>
      <c r="H49" s="96"/>
      <c r="I49" s="86"/>
      <c r="J49" s="86"/>
      <c r="K49" s="86"/>
      <c r="L49" s="86"/>
      <c r="M49" s="86"/>
      <c r="N49" s="86"/>
      <c r="O49" s="84"/>
      <c r="P49" s="97"/>
      <c r="Q49" s="98"/>
      <c r="R49" s="89"/>
      <c r="S49" s="89"/>
      <c r="T49" s="89"/>
      <c r="U49" s="89"/>
      <c r="V49" s="90"/>
      <c r="W49" s="3"/>
      <c r="X49" s="91"/>
      <c r="Y49" s="96"/>
      <c r="Z49" s="104"/>
      <c r="AA49" s="102"/>
      <c r="AB49" s="96"/>
      <c r="AC49" s="86"/>
      <c r="AD49" s="86"/>
      <c r="AE49" s="86"/>
      <c r="AF49" s="86"/>
      <c r="AG49" s="86"/>
      <c r="AH49" s="86"/>
      <c r="AI49" s="84"/>
      <c r="AJ49" s="87"/>
      <c r="AK49" s="88"/>
      <c r="AL49" s="89"/>
      <c r="AM49" s="90"/>
      <c r="AN49" s="3"/>
      <c r="AO49" s="91"/>
      <c r="AP49" s="96"/>
      <c r="AQ49" s="104"/>
      <c r="AR49" s="102"/>
      <c r="AS49" s="96"/>
      <c r="AT49" s="86"/>
      <c r="AU49" s="86"/>
      <c r="AV49" s="86"/>
      <c r="AW49" s="86"/>
      <c r="AX49" s="86"/>
      <c r="AY49" s="86"/>
      <c r="AZ49" s="86"/>
      <c r="BA49" s="84"/>
      <c r="BB49" s="89"/>
      <c r="BC49" s="89"/>
      <c r="BD49" s="90"/>
      <c r="BF49" s="91"/>
      <c r="BG49" s="96"/>
      <c r="BH49" s="104"/>
      <c r="BI49" s="102"/>
      <c r="BJ49" s="96"/>
      <c r="BK49" s="86"/>
      <c r="BL49" s="86"/>
      <c r="BM49" s="85"/>
      <c r="BN49" s="85"/>
      <c r="BO49" s="85"/>
      <c r="BP49" s="85"/>
      <c r="BQ49" s="93"/>
      <c r="BR49" s="93"/>
      <c r="BS49" s="94"/>
      <c r="BU49" s="83"/>
      <c r="BV49" s="96"/>
      <c r="BW49" s="104"/>
      <c r="BX49" s="102"/>
      <c r="BY49" s="96"/>
      <c r="BZ49" s="86"/>
      <c r="CA49" s="86"/>
      <c r="CB49" s="86"/>
      <c r="CC49" s="86"/>
      <c r="CD49" s="86"/>
      <c r="CE49" s="86"/>
      <c r="CF49" s="84"/>
      <c r="CG49" s="86"/>
      <c r="CH49" s="13"/>
      <c r="CJ49" s="83"/>
      <c r="CK49" s="96"/>
      <c r="CL49" s="104"/>
      <c r="CM49" s="102"/>
      <c r="CN49" s="96"/>
      <c r="CO49" s="86"/>
      <c r="CP49" s="86"/>
      <c r="CQ49" s="86"/>
      <c r="CR49" s="86"/>
      <c r="CS49" s="86"/>
      <c r="CT49" s="86"/>
      <c r="CU49" s="86"/>
      <c r="CV49" s="86"/>
      <c r="CW49" s="99"/>
      <c r="CY49" s="91"/>
      <c r="CZ49" s="96"/>
      <c r="DA49" s="104"/>
      <c r="DB49" s="102"/>
      <c r="DC49" s="96"/>
      <c r="DD49" s="86"/>
      <c r="DE49" s="86"/>
      <c r="DF49" s="85"/>
      <c r="DG49" s="85"/>
      <c r="DH49" s="85"/>
      <c r="DI49" s="85"/>
      <c r="DJ49" s="93"/>
      <c r="DK49" s="94"/>
    </row>
    <row r="50" spans="1:115" ht="14.45" customHeight="1" outlineLevel="2">
      <c r="A50" s="12" t="s">
        <v>80</v>
      </c>
      <c r="B50" s="13"/>
      <c r="C50" s="14"/>
      <c r="D50" s="91"/>
      <c r="E50" s="96"/>
      <c r="F50" s="104"/>
      <c r="G50" s="102"/>
      <c r="H50" s="96"/>
      <c r="I50" s="86"/>
      <c r="J50" s="86"/>
      <c r="K50" s="86"/>
      <c r="L50" s="86"/>
      <c r="M50" s="86"/>
      <c r="N50" s="86"/>
      <c r="O50" s="84"/>
      <c r="P50" s="97"/>
      <c r="Q50" s="98"/>
      <c r="R50" s="89"/>
      <c r="S50" s="89"/>
      <c r="T50" s="89"/>
      <c r="U50" s="89"/>
      <c r="V50" s="90"/>
      <c r="W50" s="3"/>
      <c r="X50" s="91"/>
      <c r="Y50" s="96"/>
      <c r="Z50" s="104"/>
      <c r="AA50" s="102"/>
      <c r="AB50" s="96"/>
      <c r="AC50" s="86"/>
      <c r="AD50" s="86"/>
      <c r="AE50" s="86"/>
      <c r="AF50" s="86"/>
      <c r="AG50" s="86"/>
      <c r="AH50" s="86"/>
      <c r="AI50" s="84"/>
      <c r="AJ50" s="87"/>
      <c r="AK50" s="88"/>
      <c r="AL50" s="89"/>
      <c r="AM50" s="90"/>
      <c r="AN50" s="3"/>
      <c r="AO50" s="91"/>
      <c r="AP50" s="96"/>
      <c r="AQ50" s="104"/>
      <c r="AR50" s="102"/>
      <c r="AS50" s="96"/>
      <c r="AT50" s="86"/>
      <c r="AU50" s="86"/>
      <c r="AV50" s="86"/>
      <c r="AW50" s="86"/>
      <c r="AX50" s="86"/>
      <c r="AY50" s="86"/>
      <c r="AZ50" s="86"/>
      <c r="BA50" s="84"/>
      <c r="BB50" s="89"/>
      <c r="BC50" s="89"/>
      <c r="BD50" s="90"/>
      <c r="BF50" s="91"/>
      <c r="BG50" s="96"/>
      <c r="BH50" s="104"/>
      <c r="BI50" s="102"/>
      <c r="BJ50" s="96"/>
      <c r="BK50" s="86"/>
      <c r="BL50" s="86"/>
      <c r="BM50" s="85"/>
      <c r="BN50" s="85"/>
      <c r="BO50" s="85"/>
      <c r="BP50" s="85"/>
      <c r="BQ50" s="93"/>
      <c r="BR50" s="93"/>
      <c r="BS50" s="94"/>
      <c r="BU50" s="83"/>
      <c r="BV50" s="96"/>
      <c r="BW50" s="104"/>
      <c r="BX50" s="102"/>
      <c r="BY50" s="96"/>
      <c r="BZ50" s="86"/>
      <c r="CA50" s="86"/>
      <c r="CB50" s="86"/>
      <c r="CC50" s="86"/>
      <c r="CD50" s="86"/>
      <c r="CE50" s="86"/>
      <c r="CF50" s="84"/>
      <c r="CG50" s="86"/>
      <c r="CH50" s="13"/>
      <c r="CJ50" s="83"/>
      <c r="CK50" s="96"/>
      <c r="CL50" s="104"/>
      <c r="CM50" s="102"/>
      <c r="CN50" s="96"/>
      <c r="CO50" s="86"/>
      <c r="CP50" s="86"/>
      <c r="CQ50" s="86"/>
      <c r="CR50" s="86"/>
      <c r="CS50" s="86"/>
      <c r="CT50" s="86"/>
      <c r="CU50" s="86"/>
      <c r="CV50" s="86"/>
      <c r="CW50" s="99"/>
      <c r="CY50" s="91"/>
      <c r="CZ50" s="96"/>
      <c r="DA50" s="104"/>
      <c r="DB50" s="102"/>
      <c r="DC50" s="96"/>
      <c r="DD50" s="86"/>
      <c r="DE50" s="86"/>
      <c r="DF50" s="85"/>
      <c r="DG50" s="85"/>
      <c r="DH50" s="85"/>
      <c r="DI50" s="85"/>
      <c r="DJ50" s="93"/>
      <c r="DK50" s="94"/>
    </row>
    <row r="51" spans="1:115" ht="14.45" customHeight="1" outlineLevel="2">
      <c r="A51" s="134" t="s">
        <v>81</v>
      </c>
      <c r="B51" s="13"/>
      <c r="C51" s="14"/>
      <c r="D51" s="91"/>
      <c r="E51" s="96"/>
      <c r="F51" s="104"/>
      <c r="G51" s="102"/>
      <c r="H51" s="96"/>
      <c r="I51" s="86"/>
      <c r="J51" s="86"/>
      <c r="K51" s="86"/>
      <c r="L51" s="86"/>
      <c r="M51" s="86"/>
      <c r="N51" s="86"/>
      <c r="O51" s="84"/>
      <c r="P51" s="97"/>
      <c r="Q51" s="98"/>
      <c r="R51" s="89"/>
      <c r="S51" s="89"/>
      <c r="T51" s="89"/>
      <c r="U51" s="89"/>
      <c r="V51" s="90"/>
      <c r="W51" s="3"/>
      <c r="X51" s="91"/>
      <c r="Y51" s="96"/>
      <c r="Z51" s="104"/>
      <c r="AA51" s="102"/>
      <c r="AB51" s="96"/>
      <c r="AC51" s="86"/>
      <c r="AD51" s="86"/>
      <c r="AE51" s="86"/>
      <c r="AF51" s="86"/>
      <c r="AG51" s="86"/>
      <c r="AH51" s="86"/>
      <c r="AI51" s="84"/>
      <c r="AJ51" s="87"/>
      <c r="AK51" s="88"/>
      <c r="AL51" s="89"/>
      <c r="AM51" s="90"/>
      <c r="AN51" s="3"/>
      <c r="AO51" s="91"/>
      <c r="AP51" s="96"/>
      <c r="AQ51" s="104"/>
      <c r="AR51" s="102"/>
      <c r="AS51" s="96"/>
      <c r="AT51" s="86"/>
      <c r="AU51" s="86"/>
      <c r="AV51" s="86"/>
      <c r="AW51" s="86"/>
      <c r="AX51" s="86"/>
      <c r="AY51" s="86"/>
      <c r="AZ51" s="86"/>
      <c r="BA51" s="84"/>
      <c r="BB51" s="89"/>
      <c r="BC51" s="89"/>
      <c r="BD51" s="90"/>
      <c r="BF51" s="91"/>
      <c r="BG51" s="96"/>
      <c r="BH51" s="104"/>
      <c r="BI51" s="102"/>
      <c r="BJ51" s="96"/>
      <c r="BK51" s="86"/>
      <c r="BL51" s="86"/>
      <c r="BM51" s="85"/>
      <c r="BN51" s="85"/>
      <c r="BO51" s="85"/>
      <c r="BP51" s="85"/>
      <c r="BQ51" s="93"/>
      <c r="BR51" s="93"/>
      <c r="BS51" s="94"/>
      <c r="BU51" s="83"/>
      <c r="BV51" s="96"/>
      <c r="BW51" s="104"/>
      <c r="BX51" s="102"/>
      <c r="BY51" s="96"/>
      <c r="BZ51" s="86"/>
      <c r="CA51" s="86"/>
      <c r="CB51" s="86"/>
      <c r="CC51" s="86"/>
      <c r="CD51" s="86"/>
      <c r="CE51" s="86"/>
      <c r="CF51" s="84"/>
      <c r="CG51" s="86"/>
      <c r="CH51" s="13"/>
      <c r="CJ51" s="83"/>
      <c r="CK51" s="96"/>
      <c r="CL51" s="104"/>
      <c r="CM51" s="102"/>
      <c r="CN51" s="96"/>
      <c r="CO51" s="86"/>
      <c r="CP51" s="86"/>
      <c r="CQ51" s="86"/>
      <c r="CR51" s="86"/>
      <c r="CS51" s="86"/>
      <c r="CT51" s="86"/>
      <c r="CU51" s="86"/>
      <c r="CV51" s="86"/>
      <c r="CW51" s="99"/>
      <c r="CY51" s="91"/>
      <c r="CZ51" s="96"/>
      <c r="DA51" s="104"/>
      <c r="DB51" s="102"/>
      <c r="DC51" s="96"/>
      <c r="DD51" s="86"/>
      <c r="DE51" s="86"/>
      <c r="DF51" s="85"/>
      <c r="DG51" s="85"/>
      <c r="DH51" s="85"/>
      <c r="DI51" s="85"/>
      <c r="DJ51" s="93"/>
      <c r="DK51" s="94"/>
    </row>
    <row r="52" spans="1:115" ht="14.45" customHeight="1" outlineLevel="1">
      <c r="A52" s="12" t="s">
        <v>82</v>
      </c>
      <c r="B52" s="13"/>
      <c r="C52" s="14"/>
      <c r="D52" s="91"/>
      <c r="E52" s="96"/>
      <c r="F52" s="104"/>
      <c r="G52" s="102"/>
      <c r="H52" s="96"/>
      <c r="I52" s="86"/>
      <c r="J52" s="86"/>
      <c r="K52" s="86"/>
      <c r="L52" s="86"/>
      <c r="M52" s="86"/>
      <c r="N52" s="86"/>
      <c r="O52" s="84"/>
      <c r="P52" s="97"/>
      <c r="Q52" s="98"/>
      <c r="R52" s="89"/>
      <c r="S52" s="89"/>
      <c r="T52" s="89"/>
      <c r="U52" s="89"/>
      <c r="V52" s="90"/>
      <c r="W52" s="3"/>
      <c r="X52" s="91"/>
      <c r="Y52" s="96"/>
      <c r="Z52" s="104"/>
      <c r="AA52" s="102"/>
      <c r="AB52" s="96"/>
      <c r="AC52" s="86"/>
      <c r="AD52" s="86">
        <f>J52</f>
        <v>0</v>
      </c>
      <c r="AE52" s="86"/>
      <c r="AF52" s="86"/>
      <c r="AG52" s="86"/>
      <c r="AH52" s="86"/>
      <c r="AI52" s="84"/>
      <c r="AJ52" s="87"/>
      <c r="AK52" s="88"/>
      <c r="AL52" s="89"/>
      <c r="AM52" s="90"/>
      <c r="AN52" s="3"/>
      <c r="AO52" s="91"/>
      <c r="AP52" s="96"/>
      <c r="AQ52" s="104"/>
      <c r="AR52" s="102"/>
      <c r="AS52" s="96"/>
      <c r="AT52" s="86"/>
      <c r="AU52" s="86"/>
      <c r="AV52" s="86"/>
      <c r="AW52" s="86"/>
      <c r="AX52" s="86"/>
      <c r="AY52" s="86"/>
      <c r="AZ52" s="86"/>
      <c r="BA52" s="84"/>
      <c r="BB52" s="89"/>
      <c r="BC52" s="89"/>
      <c r="BD52" s="90"/>
      <c r="BF52" s="91"/>
      <c r="BG52" s="96"/>
      <c r="BH52" s="104"/>
      <c r="BI52" s="102"/>
      <c r="BJ52" s="96"/>
      <c r="BK52" s="86"/>
      <c r="BL52" s="86">
        <v>50</v>
      </c>
      <c r="BM52" s="85"/>
      <c r="BN52" s="85"/>
      <c r="BO52" s="85"/>
      <c r="BP52" s="85"/>
      <c r="BQ52" s="93"/>
      <c r="BR52" s="93"/>
      <c r="BS52" s="94"/>
      <c r="BU52" s="83"/>
      <c r="BV52" s="96"/>
      <c r="BW52" s="104"/>
      <c r="BX52" s="102"/>
      <c r="BY52" s="96"/>
      <c r="BZ52" s="86"/>
      <c r="CA52" s="86">
        <v>50</v>
      </c>
      <c r="CB52" s="86"/>
      <c r="CC52" s="86"/>
      <c r="CD52" s="86"/>
      <c r="CE52" s="86"/>
      <c r="CF52" s="84"/>
      <c r="CG52" s="86"/>
      <c r="CH52" s="13"/>
      <c r="CJ52" s="83"/>
      <c r="CK52" s="96"/>
      <c r="CL52" s="104"/>
      <c r="CM52" s="102"/>
      <c r="CN52" s="96"/>
      <c r="CO52" s="86"/>
      <c r="CP52" s="86"/>
      <c r="CQ52" s="86"/>
      <c r="CR52" s="86"/>
      <c r="CS52" s="86"/>
      <c r="CT52" s="86"/>
      <c r="CU52" s="86"/>
      <c r="CV52" s="86"/>
      <c r="CW52" s="99"/>
      <c r="CY52" s="91"/>
      <c r="CZ52" s="96"/>
      <c r="DA52" s="104"/>
      <c r="DB52" s="102"/>
      <c r="DC52" s="96"/>
      <c r="DD52" s="86"/>
      <c r="DE52" s="86"/>
      <c r="DF52" s="85"/>
      <c r="DG52" s="85"/>
      <c r="DH52" s="85"/>
      <c r="DI52" s="85"/>
      <c r="DJ52" s="93"/>
      <c r="DK52" s="94"/>
    </row>
    <row r="53" spans="1:115" ht="14.45" customHeight="1" outlineLevel="1">
      <c r="A53" s="12"/>
      <c r="B53" s="13"/>
      <c r="C53" s="14"/>
      <c r="D53" s="91"/>
      <c r="E53" s="96"/>
      <c r="F53" s="104"/>
      <c r="G53" s="102"/>
      <c r="H53" s="96"/>
      <c r="I53" s="86"/>
      <c r="J53" s="86"/>
      <c r="K53" s="86"/>
      <c r="L53" s="86"/>
      <c r="M53" s="86"/>
      <c r="N53" s="86"/>
      <c r="O53" s="84"/>
      <c r="P53" s="97"/>
      <c r="Q53" s="98"/>
      <c r="R53" s="89"/>
      <c r="S53" s="89"/>
      <c r="T53" s="89"/>
      <c r="U53" s="89"/>
      <c r="V53" s="90"/>
      <c r="W53" s="3"/>
      <c r="X53" s="91"/>
      <c r="Y53" s="96"/>
      <c r="Z53" s="104"/>
      <c r="AA53" s="102"/>
      <c r="AB53" s="96"/>
      <c r="AC53" s="86"/>
      <c r="AD53" s="86"/>
      <c r="AE53" s="86"/>
      <c r="AF53" s="86"/>
      <c r="AG53" s="86"/>
      <c r="AH53" s="86"/>
      <c r="AI53" s="84"/>
      <c r="AJ53" s="87"/>
      <c r="AK53" s="88"/>
      <c r="AL53" s="89"/>
      <c r="AM53" s="90"/>
      <c r="AN53" s="3"/>
      <c r="AO53" s="91"/>
      <c r="AP53" s="96"/>
      <c r="AQ53" s="104"/>
      <c r="AR53" s="102"/>
      <c r="AS53" s="96"/>
      <c r="AT53" s="86"/>
      <c r="AU53" s="86"/>
      <c r="AV53" s="86"/>
      <c r="AW53" s="86"/>
      <c r="AX53" s="86"/>
      <c r="AY53" s="86"/>
      <c r="AZ53" s="86"/>
      <c r="BA53" s="84"/>
      <c r="BB53" s="89"/>
      <c r="BC53" s="89"/>
      <c r="BD53" s="90"/>
      <c r="BF53" s="91"/>
      <c r="BG53" s="96"/>
      <c r="BH53" s="104"/>
      <c r="BI53" s="102"/>
      <c r="BJ53" s="96"/>
      <c r="BK53" s="86"/>
      <c r="BL53" s="86"/>
      <c r="BM53" s="85"/>
      <c r="BN53" s="85"/>
      <c r="BO53" s="85"/>
      <c r="BP53" s="85"/>
      <c r="BQ53" s="93"/>
      <c r="BR53" s="93"/>
      <c r="BS53" s="135"/>
      <c r="BU53" s="83"/>
      <c r="BV53" s="96"/>
      <c r="BW53" s="104"/>
      <c r="BX53" s="102"/>
      <c r="BY53" s="96"/>
      <c r="BZ53" s="86"/>
      <c r="CA53" s="86"/>
      <c r="CB53" s="86"/>
      <c r="CC53" s="86"/>
      <c r="CD53" s="86"/>
      <c r="CE53" s="86"/>
      <c r="CF53" s="84"/>
      <c r="CG53" s="86"/>
      <c r="CH53" s="13"/>
      <c r="CJ53" s="83"/>
      <c r="CK53" s="96"/>
      <c r="CL53" s="104"/>
      <c r="CM53" s="102"/>
      <c r="CN53" s="96"/>
      <c r="CO53" s="86"/>
      <c r="CP53" s="86"/>
      <c r="CQ53" s="86"/>
      <c r="CR53" s="86"/>
      <c r="CS53" s="86"/>
      <c r="CT53" s="86"/>
      <c r="CU53" s="86"/>
      <c r="CV53" s="86"/>
      <c r="CW53" s="99"/>
      <c r="CY53" s="91"/>
      <c r="CZ53" s="96"/>
      <c r="DA53" s="104"/>
      <c r="DB53" s="102"/>
      <c r="DC53" s="96"/>
      <c r="DD53" s="86"/>
      <c r="DE53" s="86"/>
      <c r="DF53" s="85"/>
      <c r="DG53" s="85"/>
      <c r="DH53" s="85"/>
      <c r="DI53" s="85"/>
      <c r="DJ53" s="93"/>
      <c r="DK53" s="135"/>
    </row>
    <row r="54" spans="1:115" ht="14.45" customHeight="1" outlineLevel="1">
      <c r="A54" s="12" t="s">
        <v>83</v>
      </c>
      <c r="B54" s="13"/>
      <c r="C54" s="14"/>
      <c r="D54" s="91"/>
      <c r="E54" s="96"/>
      <c r="F54" s="104"/>
      <c r="G54" s="102"/>
      <c r="H54" s="96"/>
      <c r="I54" s="86"/>
      <c r="J54" s="86"/>
      <c r="K54" s="86"/>
      <c r="L54" s="86"/>
      <c r="M54" s="86"/>
      <c r="N54" s="86"/>
      <c r="O54" s="84"/>
      <c r="P54" s="97"/>
      <c r="Q54" s="98"/>
      <c r="R54" s="89"/>
      <c r="S54" s="89"/>
      <c r="T54" s="89"/>
      <c r="U54" s="89"/>
      <c r="V54" s="90"/>
      <c r="W54" s="3"/>
      <c r="X54" s="91"/>
      <c r="Y54" s="96"/>
      <c r="Z54" s="104"/>
      <c r="AA54" s="102"/>
      <c r="AB54" s="96"/>
      <c r="AC54" s="86"/>
      <c r="AD54" s="86"/>
      <c r="AE54" s="86"/>
      <c r="AF54" s="86"/>
      <c r="AG54" s="86"/>
      <c r="AH54" s="86"/>
      <c r="AI54" s="84"/>
      <c r="AJ54" s="87"/>
      <c r="AK54" s="88"/>
      <c r="AL54" s="89"/>
      <c r="AM54" s="90"/>
      <c r="AN54" s="3"/>
      <c r="AO54" s="91"/>
      <c r="AP54" s="96"/>
      <c r="AQ54" s="104"/>
      <c r="AR54" s="102"/>
      <c r="AS54" s="96"/>
      <c r="AT54" s="86"/>
      <c r="AU54" s="86"/>
      <c r="AV54" s="86"/>
      <c r="AW54" s="86"/>
      <c r="AX54" s="86"/>
      <c r="AY54" s="86"/>
      <c r="AZ54" s="86"/>
      <c r="BA54" s="84"/>
      <c r="BB54" s="89"/>
      <c r="BC54" s="89"/>
      <c r="BD54" s="90"/>
      <c r="BF54" s="91"/>
      <c r="BG54" s="96"/>
      <c r="BH54" s="104"/>
      <c r="BI54" s="102"/>
      <c r="BJ54" s="96"/>
      <c r="BK54" s="86"/>
      <c r="BL54" s="86"/>
      <c r="BM54" s="85"/>
      <c r="BN54" s="85"/>
      <c r="BO54" s="85"/>
      <c r="BP54" s="85"/>
      <c r="BQ54" s="93"/>
      <c r="BR54" s="93"/>
      <c r="BS54" s="94"/>
      <c r="BU54" s="83"/>
      <c r="BV54" s="96"/>
      <c r="BW54" s="104"/>
      <c r="BX54" s="102"/>
      <c r="BY54" s="96"/>
      <c r="BZ54" s="86"/>
      <c r="CA54" s="86"/>
      <c r="CB54" s="86"/>
      <c r="CC54" s="86"/>
      <c r="CD54" s="86"/>
      <c r="CE54" s="86"/>
      <c r="CF54" s="84"/>
      <c r="CG54" s="86"/>
      <c r="CH54" s="13"/>
      <c r="CJ54" s="83"/>
      <c r="CK54" s="96"/>
      <c r="CL54" s="104"/>
      <c r="CM54" s="102"/>
      <c r="CN54" s="96"/>
      <c r="CO54" s="86"/>
      <c r="CP54" s="86"/>
      <c r="CQ54" s="86"/>
      <c r="CR54" s="86"/>
      <c r="CS54" s="86"/>
      <c r="CT54" s="86"/>
      <c r="CU54" s="86"/>
      <c r="CV54" s="86"/>
      <c r="CW54" s="99"/>
      <c r="CY54" s="91"/>
      <c r="CZ54" s="96"/>
      <c r="DA54" s="104"/>
      <c r="DB54" s="102"/>
      <c r="DC54" s="96"/>
      <c r="DD54" s="86"/>
      <c r="DE54" s="86"/>
      <c r="DF54" s="85"/>
      <c r="DG54" s="85"/>
      <c r="DH54" s="85"/>
      <c r="DI54" s="85"/>
      <c r="DJ54" s="93"/>
      <c r="DK54" s="94"/>
    </row>
    <row r="55" spans="1:115" ht="14.45" customHeight="1">
      <c r="A55" s="107" t="s">
        <v>84</v>
      </c>
      <c r="B55" s="136"/>
      <c r="C55" s="137"/>
      <c r="D55" s="118">
        <f t="shared" ref="D55:N55" si="18">SUM(D19:D52)</f>
        <v>17052710.640000001</v>
      </c>
      <c r="E55" s="111">
        <f>SUM(E19:E52)</f>
        <v>16880707.670000002</v>
      </c>
      <c r="F55" s="112">
        <f t="shared" si="18"/>
        <v>0</v>
      </c>
      <c r="G55" s="113">
        <f>SUM(G19:G52)</f>
        <v>0</v>
      </c>
      <c r="H55" s="111">
        <f>SUM(H19:H52)</f>
        <v>0</v>
      </c>
      <c r="I55" s="111">
        <f>SUM(I19:I52)</f>
        <v>0</v>
      </c>
      <c r="J55" s="111">
        <f>SUM(J19:J52)</f>
        <v>0</v>
      </c>
      <c r="K55" s="111">
        <f t="shared" si="18"/>
        <v>0</v>
      </c>
      <c r="L55" s="111">
        <f>SUM(L19:L52)</f>
        <v>0</v>
      </c>
      <c r="M55" s="111">
        <f t="shared" si="18"/>
        <v>0</v>
      </c>
      <c r="N55" s="111">
        <f t="shared" si="18"/>
        <v>0</v>
      </c>
      <c r="O55" s="120">
        <f>SUM(O19:O52)</f>
        <v>0</v>
      </c>
      <c r="P55" s="114">
        <f>SUM(D55:O55)</f>
        <v>33933418.310000002</v>
      </c>
      <c r="Q55" s="114">
        <f>SUM(BS55)</f>
        <v>30004274.829999998</v>
      </c>
      <c r="R55" s="115">
        <f>IF(ISERROR((($E55-$D55)/ABS($D55)+1)*100),0,(($E55-$D55)/ABS($D55)+1)*100)</f>
        <v>98.991345284446822</v>
      </c>
      <c r="S55" s="115">
        <f>IF(ISERROR((($E55-$BG55)/ABS($BG55)+1)*100),0,(($E55-$BG55)/ABS($BG55)+1)*100)</f>
        <v>112.70052215955428</v>
      </c>
      <c r="T55" s="115">
        <f>IF(ISERROR((($P55-$BG55)/ABS($BG55)+1)*100),0,(($P55-$BG55)/ABS($BG55)+1)*100)</f>
        <v>226.54938625541519</v>
      </c>
      <c r="U55" s="111">
        <f>SUM(U19:U52)</f>
        <v>16350824.11319739</v>
      </c>
      <c r="V55" s="117">
        <f>IF(ISERROR((($E55-$U55)/ABS($U55)+1)*100),0,(($E55-$U55)/ABS($U55)+1)*100)</f>
        <v>103.24071467672948</v>
      </c>
      <c r="W55" s="3"/>
      <c r="X55" s="118">
        <f>SUM(X19:X52)</f>
        <v>15671892.32</v>
      </c>
      <c r="Y55" s="111">
        <f>SUM(Y19:Y52)</f>
        <v>15437892.749999998</v>
      </c>
      <c r="Z55" s="112">
        <f>SUM(Z19:Z52)</f>
        <v>0</v>
      </c>
      <c r="AA55" s="113">
        <f t="shared" ref="AA55:AF55" si="19">SUM(AA19:AA52)</f>
        <v>0</v>
      </c>
      <c r="AB55" s="111">
        <f t="shared" si="19"/>
        <v>0</v>
      </c>
      <c r="AC55" s="111">
        <f t="shared" si="19"/>
        <v>0</v>
      </c>
      <c r="AD55" s="111">
        <f t="shared" si="19"/>
        <v>0</v>
      </c>
      <c r="AE55" s="111">
        <f t="shared" si="19"/>
        <v>0</v>
      </c>
      <c r="AF55" s="111">
        <f t="shared" si="19"/>
        <v>0</v>
      </c>
      <c r="AG55" s="111">
        <f>SUM(AG19:AG52)</f>
        <v>0</v>
      </c>
      <c r="AH55" s="119">
        <f>SUM(AH19:AH52)</f>
        <v>0</v>
      </c>
      <c r="AI55" s="120">
        <f>SUM(AI19:AI52)</f>
        <v>0</v>
      </c>
      <c r="AJ55" s="119">
        <f>SUM(X55:AI55)</f>
        <v>31109785.07</v>
      </c>
      <c r="AK55" s="116">
        <f>IF(ISERROR((($Y55-$X55)/ABS($X55)+1)*100),0,(($Y55-$X55)/ABS($X55)+1)*100)</f>
        <v>98.506883755822017</v>
      </c>
      <c r="AL55" s="111">
        <f>SUM(AL19:AL52)</f>
        <v>14834589.659205785</v>
      </c>
      <c r="AM55" s="117">
        <f>IF(ISERROR((($Y55-$AL55)/ABS($AL55)+1)*100),0,(($Y55-$AL55)/ABS($AL55)+1)*100)</f>
        <v>104.06686740013618</v>
      </c>
      <c r="AN55" s="3"/>
      <c r="AO55" s="118">
        <f t="shared" ref="AO55:AZ55" si="20">SUM(AO19:AO52)</f>
        <v>1380818.32</v>
      </c>
      <c r="AP55" s="111">
        <f t="shared" si="20"/>
        <v>1442815.92</v>
      </c>
      <c r="AQ55" s="112">
        <f t="shared" si="20"/>
        <v>0</v>
      </c>
      <c r="AR55" s="113">
        <f t="shared" si="20"/>
        <v>0</v>
      </c>
      <c r="AS55" s="111">
        <f t="shared" si="20"/>
        <v>0</v>
      </c>
      <c r="AT55" s="111">
        <f t="shared" si="20"/>
        <v>0</v>
      </c>
      <c r="AU55" s="111">
        <f t="shared" si="20"/>
        <v>0</v>
      </c>
      <c r="AV55" s="111">
        <f t="shared" si="20"/>
        <v>0</v>
      </c>
      <c r="AW55" s="111">
        <f t="shared" si="20"/>
        <v>0</v>
      </c>
      <c r="AX55" s="111">
        <f t="shared" si="20"/>
        <v>0</v>
      </c>
      <c r="AY55" s="119">
        <f t="shared" si="20"/>
        <v>0</v>
      </c>
      <c r="AZ55" s="119">
        <f t="shared" si="20"/>
        <v>0</v>
      </c>
      <c r="BA55" s="120">
        <f>SUM(AO55:AZ55)</f>
        <v>2823634.24</v>
      </c>
      <c r="BB55" s="115">
        <f>IF(ISERROR((($AP55-$AO55)/ABS($AO55)+1)*100),0,(($AP55-$AO55)/ABS($AO55)+1)*100)</f>
        <v>104.48991725428438</v>
      </c>
      <c r="BC55" s="119">
        <f t="shared" ref="BC55" si="21">SUM(BC19:BC52)</f>
        <v>1516234.4539916061</v>
      </c>
      <c r="BD55" s="117">
        <f>IF(ISERROR((($AP55-$BC55)/ABS($BC55)+1)*100),0,(($AP55-$BC55)/ABS($BC55)+1)*100)</f>
        <v>95.157837641907804</v>
      </c>
      <c r="BF55" s="118">
        <v>15025899.09</v>
      </c>
      <c r="BG55" s="111">
        <v>14978375.74</v>
      </c>
      <c r="BH55" s="138">
        <v>15051585.519999998</v>
      </c>
      <c r="BI55" s="120">
        <v>14946918.510000002</v>
      </c>
      <c r="BJ55" s="119">
        <v>15464647.67</v>
      </c>
      <c r="BK55" s="119">
        <v>14564672.560000002</v>
      </c>
      <c r="BL55" s="119">
        <v>14617568.479999999</v>
      </c>
      <c r="BM55" s="119">
        <v>15451139.109999999</v>
      </c>
      <c r="BN55" s="119">
        <v>14492221.5</v>
      </c>
      <c r="BO55" s="119">
        <v>15609238.789999999</v>
      </c>
      <c r="BP55" s="119">
        <v>15217424.67</v>
      </c>
      <c r="BQ55" s="120">
        <v>15725100.500000002</v>
      </c>
      <c r="BR55" s="120">
        <v>3433246.9399999995</v>
      </c>
      <c r="BS55" s="121">
        <f>SUM(BF55:BG55)</f>
        <v>30004274.829999998</v>
      </c>
      <c r="BU55" s="110">
        <v>14015469.659999995</v>
      </c>
      <c r="BV55" s="111">
        <v>13992606.379999999</v>
      </c>
      <c r="BW55" s="112">
        <v>14051617.129999997</v>
      </c>
      <c r="BX55" s="113">
        <v>14002312.950000003</v>
      </c>
      <c r="BY55" s="111">
        <v>14475740.500000009</v>
      </c>
      <c r="BZ55" s="111">
        <v>13609491.879999997</v>
      </c>
      <c r="CA55" s="111">
        <v>13567489</v>
      </c>
      <c r="CB55" s="111">
        <v>14285423.220000001</v>
      </c>
      <c r="CC55" s="111">
        <v>13425374.18</v>
      </c>
      <c r="CD55" s="111">
        <v>14358301.990000002</v>
      </c>
      <c r="CE55" s="119">
        <v>13912383.620000003</v>
      </c>
      <c r="CF55" s="120">
        <v>14307751.800000003</v>
      </c>
      <c r="CG55" s="119">
        <v>3267744.3299999991</v>
      </c>
      <c r="CH55" s="122">
        <v>171271706.64000005</v>
      </c>
      <c r="CJ55" s="110">
        <v>1010429.4300000042</v>
      </c>
      <c r="CK55" s="111">
        <v>985769.3600000022</v>
      </c>
      <c r="CL55" s="112">
        <v>999968.39000000083</v>
      </c>
      <c r="CM55" s="113">
        <v>944605.55999999889</v>
      </c>
      <c r="CN55" s="111">
        <v>988907.16999999189</v>
      </c>
      <c r="CO55" s="111">
        <v>955180.68000000413</v>
      </c>
      <c r="CP55" s="111">
        <v>1050079.4799999995</v>
      </c>
      <c r="CQ55" s="111">
        <v>1165715.8899999983</v>
      </c>
      <c r="CR55" s="111">
        <v>1066847.3200000005</v>
      </c>
      <c r="CS55" s="111">
        <v>1250936.7999999977</v>
      </c>
      <c r="CT55" s="119">
        <v>1305041.0499999959</v>
      </c>
      <c r="CU55" s="119">
        <v>1417348.6999999993</v>
      </c>
      <c r="CV55" s="119">
        <v>165502.61000000063</v>
      </c>
      <c r="CW55" s="122">
        <v>13306332.439999992</v>
      </c>
      <c r="CY55" s="118">
        <v>11272116.270000001</v>
      </c>
      <c r="CZ55" s="111">
        <v>11922534.959999999</v>
      </c>
      <c r="DA55" s="138">
        <v>13053441.35</v>
      </c>
      <c r="DB55" s="120">
        <v>13665006.360000001</v>
      </c>
      <c r="DC55" s="119">
        <v>14010561.100000001</v>
      </c>
      <c r="DD55" s="119">
        <v>14023981.609999999</v>
      </c>
      <c r="DE55" s="119">
        <v>14291116.869999999</v>
      </c>
      <c r="DF55" s="119">
        <v>14652854.040000001</v>
      </c>
      <c r="DG55" s="119">
        <v>14740553.690000001</v>
      </c>
      <c r="DH55" s="119">
        <v>15202109.900000002</v>
      </c>
      <c r="DI55" s="119">
        <v>14620988.960000001</v>
      </c>
      <c r="DJ55" s="120">
        <v>14893392.130000001</v>
      </c>
      <c r="DK55" s="121">
        <f>SUM(CY55:DJ55)</f>
        <v>166348657.24000001</v>
      </c>
    </row>
    <row r="56" spans="1:115" ht="14.45" customHeight="1">
      <c r="A56" s="12"/>
      <c r="B56" s="139"/>
      <c r="C56" s="140"/>
      <c r="D56" s="91"/>
      <c r="E56" s="96"/>
      <c r="F56" s="14"/>
      <c r="G56" s="84"/>
      <c r="H56" s="86"/>
      <c r="I56" s="85"/>
      <c r="J56" s="86"/>
      <c r="K56" s="86"/>
      <c r="L56" s="86"/>
      <c r="M56" s="86"/>
      <c r="N56" s="86"/>
      <c r="O56" s="84"/>
      <c r="P56" s="97"/>
      <c r="Q56" s="98"/>
      <c r="R56" s="89"/>
      <c r="S56" s="89"/>
      <c r="T56" s="89"/>
      <c r="U56" s="89"/>
      <c r="V56" s="90"/>
      <c r="W56" s="3"/>
      <c r="X56" s="91"/>
      <c r="Y56" s="96"/>
      <c r="Z56" s="14"/>
      <c r="AA56" s="84"/>
      <c r="AB56" s="86"/>
      <c r="AC56" s="85"/>
      <c r="AD56" s="86"/>
      <c r="AE56" s="86"/>
      <c r="AF56" s="86"/>
      <c r="AG56" s="86"/>
      <c r="AH56" s="86"/>
      <c r="AI56" s="84"/>
      <c r="AJ56" s="87"/>
      <c r="AK56" s="88"/>
      <c r="AL56" s="89"/>
      <c r="AM56" s="90"/>
      <c r="AN56" s="3"/>
      <c r="AO56" s="91"/>
      <c r="AP56" s="96"/>
      <c r="AQ56" s="14"/>
      <c r="AR56" s="84"/>
      <c r="AS56" s="86"/>
      <c r="AT56" s="85"/>
      <c r="AU56" s="86"/>
      <c r="AV56" s="86"/>
      <c r="AW56" s="86"/>
      <c r="AX56" s="86"/>
      <c r="AY56" s="86"/>
      <c r="AZ56" s="86"/>
      <c r="BA56" s="84"/>
      <c r="BB56" s="89"/>
      <c r="BC56" s="89"/>
      <c r="BD56" s="90"/>
      <c r="BF56" s="91"/>
      <c r="BG56" s="96"/>
      <c r="BH56" s="14"/>
      <c r="BI56" s="84"/>
      <c r="BJ56" s="86"/>
      <c r="BK56" s="85"/>
      <c r="BL56" s="86"/>
      <c r="BM56" s="85"/>
      <c r="BN56" s="85"/>
      <c r="BO56" s="85"/>
      <c r="BP56" s="85"/>
      <c r="BQ56" s="93"/>
      <c r="BR56" s="93"/>
      <c r="BS56" s="94"/>
      <c r="BU56" s="590">
        <f>BU55/BU158</f>
        <v>1.9005917291028677E-2</v>
      </c>
      <c r="BV56" s="591">
        <f t="shared" ref="BV56:CF56" si="22">BV55/BV158</f>
        <v>1.8819094520368618E-2</v>
      </c>
      <c r="BW56" s="278">
        <f t="shared" si="22"/>
        <v>1.8783682998990175E-2</v>
      </c>
      <c r="BX56" s="281">
        <f t="shared" si="22"/>
        <v>1.845670309765585E-2</v>
      </c>
      <c r="BY56" s="591">
        <f t="shared" si="22"/>
        <v>1.8748025165923145E-2</v>
      </c>
      <c r="BZ56" s="592">
        <f t="shared" si="22"/>
        <v>1.7833355449692719E-2</v>
      </c>
      <c r="CA56" s="591">
        <f t="shared" si="22"/>
        <v>1.7758057192097679E-2</v>
      </c>
      <c r="CB56" s="591">
        <f t="shared" si="22"/>
        <v>1.8672019708737511E-2</v>
      </c>
      <c r="CC56" s="591">
        <f t="shared" si="22"/>
        <v>1.7420777902370042E-2</v>
      </c>
      <c r="CD56" s="591">
        <f t="shared" si="22"/>
        <v>1.8641851335902911E-2</v>
      </c>
      <c r="CE56" s="591">
        <f t="shared" si="22"/>
        <v>1.8173710075771198E-2</v>
      </c>
      <c r="CF56" s="281">
        <f t="shared" si="22"/>
        <v>1.8717479253681266E-2</v>
      </c>
      <c r="CG56" s="86"/>
      <c r="CH56" s="13"/>
      <c r="CJ56" s="83"/>
      <c r="CK56" s="96"/>
      <c r="CL56" s="14"/>
      <c r="CM56" s="84"/>
      <c r="CN56" s="86"/>
      <c r="CO56" s="85"/>
      <c r="CP56" s="86"/>
      <c r="CQ56" s="86"/>
      <c r="CR56" s="86"/>
      <c r="CS56" s="86"/>
      <c r="CT56" s="86"/>
      <c r="CU56" s="86"/>
      <c r="CV56" s="86"/>
      <c r="CW56" s="99"/>
      <c r="CY56" s="91"/>
      <c r="CZ56" s="96"/>
      <c r="DA56" s="14"/>
      <c r="DB56" s="84"/>
      <c r="DC56" s="86"/>
      <c r="DD56" s="85"/>
      <c r="DE56" s="86"/>
      <c r="DF56" s="85"/>
      <c r="DG56" s="85"/>
      <c r="DH56" s="85"/>
      <c r="DI56" s="85"/>
      <c r="DJ56" s="93"/>
      <c r="DK56" s="94"/>
    </row>
    <row r="57" spans="1:115" ht="14.45" customHeight="1">
      <c r="A57" s="12"/>
      <c r="B57" s="139"/>
      <c r="C57" s="140"/>
      <c r="D57" s="91"/>
      <c r="E57" s="96"/>
      <c r="F57" s="14"/>
      <c r="G57" s="84"/>
      <c r="H57" s="86"/>
      <c r="I57" s="85"/>
      <c r="J57" s="86"/>
      <c r="K57" s="86"/>
      <c r="L57" s="86"/>
      <c r="M57" s="86"/>
      <c r="N57" s="86"/>
      <c r="O57" s="84"/>
      <c r="P57" s="97"/>
      <c r="Q57" s="98"/>
      <c r="R57" s="89"/>
      <c r="S57" s="89"/>
      <c r="T57" s="89"/>
      <c r="U57" s="89"/>
      <c r="V57" s="90"/>
      <c r="W57" s="3"/>
      <c r="X57" s="91"/>
      <c r="Y57" s="96"/>
      <c r="Z57" s="14"/>
      <c r="AA57" s="84"/>
      <c r="AB57" s="86"/>
      <c r="AC57" s="85"/>
      <c r="AD57" s="86"/>
      <c r="AE57" s="86"/>
      <c r="AF57" s="86"/>
      <c r="AG57" s="86"/>
      <c r="AH57" s="86"/>
      <c r="AI57" s="84"/>
      <c r="AJ57" s="87"/>
      <c r="AK57" s="88"/>
      <c r="AL57" s="89"/>
      <c r="AM57" s="90"/>
      <c r="AN57" s="3"/>
      <c r="AO57" s="91"/>
      <c r="AP57" s="96"/>
      <c r="AQ57" s="14"/>
      <c r="AR57" s="84"/>
      <c r="AS57" s="86"/>
      <c r="AT57" s="85"/>
      <c r="AU57" s="86"/>
      <c r="AV57" s="86"/>
      <c r="AW57" s="86"/>
      <c r="AX57" s="86"/>
      <c r="AY57" s="86"/>
      <c r="AZ57" s="86"/>
      <c r="BA57" s="84"/>
      <c r="BB57" s="89"/>
      <c r="BC57" s="89"/>
      <c r="BD57" s="90"/>
      <c r="BF57" s="91"/>
      <c r="BG57" s="96"/>
      <c r="BH57" s="14"/>
      <c r="BI57" s="84"/>
      <c r="BJ57" s="86"/>
      <c r="BK57" s="85"/>
      <c r="BL57" s="85"/>
      <c r="BM57" s="85"/>
      <c r="BN57" s="85"/>
      <c r="BO57" s="85"/>
      <c r="BP57" s="85"/>
      <c r="BQ57" s="93"/>
      <c r="BR57" s="93"/>
      <c r="BS57" s="94"/>
      <c r="BU57" s="83"/>
      <c r="BV57" s="96"/>
      <c r="BW57" s="14"/>
      <c r="BX57" s="84"/>
      <c r="BY57" s="86"/>
      <c r="BZ57" s="85"/>
      <c r="CA57" s="86"/>
      <c r="CB57" s="86"/>
      <c r="CC57" s="86"/>
      <c r="CD57" s="86"/>
      <c r="CE57" s="86"/>
      <c r="CF57" s="84"/>
      <c r="CG57" s="86"/>
      <c r="CH57" s="13"/>
      <c r="CJ57" s="83"/>
      <c r="CK57" s="96"/>
      <c r="CL57" s="14"/>
      <c r="CM57" s="84"/>
      <c r="CN57" s="86"/>
      <c r="CO57" s="85"/>
      <c r="CP57" s="86"/>
      <c r="CQ57" s="86"/>
      <c r="CR57" s="86"/>
      <c r="CS57" s="86"/>
      <c r="CT57" s="86"/>
      <c r="CU57" s="86"/>
      <c r="CV57" s="86"/>
      <c r="CW57" s="99"/>
      <c r="CY57" s="91"/>
      <c r="CZ57" s="96"/>
      <c r="DA57" s="14"/>
      <c r="DB57" s="84"/>
      <c r="DC57" s="86"/>
      <c r="DD57" s="85"/>
      <c r="DE57" s="85"/>
      <c r="DF57" s="85"/>
      <c r="DG57" s="85"/>
      <c r="DH57" s="85"/>
      <c r="DI57" s="85"/>
      <c r="DJ57" s="93"/>
      <c r="DK57" s="94"/>
    </row>
    <row r="58" spans="1:115" ht="14.45" customHeight="1">
      <c r="A58" s="12"/>
      <c r="B58" s="139"/>
      <c r="C58" s="140"/>
      <c r="D58" s="91"/>
      <c r="E58" s="96"/>
      <c r="F58" s="14"/>
      <c r="G58" s="84"/>
      <c r="H58" s="86"/>
      <c r="I58" s="85"/>
      <c r="J58" s="86"/>
      <c r="K58" s="86"/>
      <c r="L58" s="86"/>
      <c r="M58" s="86"/>
      <c r="N58" s="86"/>
      <c r="O58" s="84"/>
      <c r="P58" s="97"/>
      <c r="Q58" s="98"/>
      <c r="R58" s="89"/>
      <c r="S58" s="89"/>
      <c r="T58" s="89"/>
      <c r="U58" s="89"/>
      <c r="V58" s="90"/>
      <c r="W58" s="3"/>
      <c r="X58" s="91"/>
      <c r="Y58" s="96"/>
      <c r="Z58" s="14"/>
      <c r="AA58" s="84"/>
      <c r="AB58" s="86"/>
      <c r="AC58" s="85"/>
      <c r="AD58" s="86"/>
      <c r="AE58" s="86"/>
      <c r="AF58" s="86"/>
      <c r="AG58" s="86"/>
      <c r="AH58" s="86"/>
      <c r="AI58" s="84"/>
      <c r="AJ58" s="87"/>
      <c r="AK58" s="88"/>
      <c r="AL58" s="89"/>
      <c r="AM58" s="90"/>
      <c r="AN58" s="3"/>
      <c r="AO58" s="91"/>
      <c r="AP58" s="96"/>
      <c r="AQ58" s="14"/>
      <c r="AR58" s="84"/>
      <c r="AS58" s="86"/>
      <c r="AT58" s="85"/>
      <c r="AU58" s="86"/>
      <c r="AV58" s="86"/>
      <c r="AW58" s="86"/>
      <c r="AX58" s="86"/>
      <c r="AY58" s="86"/>
      <c r="AZ58" s="86"/>
      <c r="BA58" s="84"/>
      <c r="BB58" s="89"/>
      <c r="BC58" s="89"/>
      <c r="BD58" s="90"/>
      <c r="BF58" s="91"/>
      <c r="BG58" s="96"/>
      <c r="BH58" s="14"/>
      <c r="BI58" s="84"/>
      <c r="BJ58" s="86"/>
      <c r="BK58" s="85"/>
      <c r="BL58" s="85"/>
      <c r="BM58" s="85"/>
      <c r="BN58" s="85"/>
      <c r="BO58" s="85"/>
      <c r="BP58" s="85"/>
      <c r="BQ58" s="93"/>
      <c r="BR58" s="93"/>
      <c r="BS58" s="94"/>
      <c r="BU58" s="83"/>
      <c r="BV58" s="96"/>
      <c r="BW58" s="14"/>
      <c r="BX58" s="84"/>
      <c r="BY58" s="86"/>
      <c r="BZ58" s="85"/>
      <c r="CA58" s="86"/>
      <c r="CB58" s="86"/>
      <c r="CC58" s="86"/>
      <c r="CD58" s="86"/>
      <c r="CE58" s="86"/>
      <c r="CF58" s="84"/>
      <c r="CG58" s="86"/>
      <c r="CH58" s="13"/>
      <c r="CJ58" s="83"/>
      <c r="CK58" s="96"/>
      <c r="CL58" s="14"/>
      <c r="CM58" s="84"/>
      <c r="CN58" s="86"/>
      <c r="CO58" s="85"/>
      <c r="CP58" s="86"/>
      <c r="CQ58" s="86"/>
      <c r="CR58" s="86"/>
      <c r="CS58" s="86"/>
      <c r="CT58" s="86"/>
      <c r="CU58" s="86"/>
      <c r="CV58" s="86"/>
      <c r="CW58" s="99"/>
      <c r="CY58" s="91"/>
      <c r="CZ58" s="96"/>
      <c r="DA58" s="14"/>
      <c r="DB58" s="84"/>
      <c r="DC58" s="86"/>
      <c r="DD58" s="85"/>
      <c r="DE58" s="85"/>
      <c r="DF58" s="85"/>
      <c r="DG58" s="85"/>
      <c r="DH58" s="85"/>
      <c r="DI58" s="85"/>
      <c r="DJ58" s="93"/>
      <c r="DK58" s="94"/>
    </row>
    <row r="59" spans="1:115" ht="14.45" customHeight="1">
      <c r="A59" s="123" t="s">
        <v>85</v>
      </c>
      <c r="B59" s="13"/>
      <c r="C59" s="14"/>
      <c r="D59" s="91"/>
      <c r="E59" s="96"/>
      <c r="F59" s="14"/>
      <c r="G59" s="84"/>
      <c r="H59" s="86"/>
      <c r="I59" s="85"/>
      <c r="J59" s="86"/>
      <c r="K59" s="86"/>
      <c r="L59" s="86"/>
      <c r="M59" s="86"/>
      <c r="N59" s="86"/>
      <c r="O59" s="84"/>
      <c r="P59" s="97"/>
      <c r="Q59" s="98"/>
      <c r="R59" s="89"/>
      <c r="S59" s="89"/>
      <c r="T59" s="89"/>
      <c r="U59" s="89"/>
      <c r="V59" s="90"/>
      <c r="W59" s="3"/>
      <c r="X59" s="91"/>
      <c r="Y59" s="96"/>
      <c r="Z59" s="14"/>
      <c r="AA59" s="84"/>
      <c r="AB59" s="86"/>
      <c r="AC59" s="85"/>
      <c r="AD59" s="86"/>
      <c r="AE59" s="86"/>
      <c r="AF59" s="86"/>
      <c r="AG59" s="86"/>
      <c r="AH59" s="86"/>
      <c r="AI59" s="84"/>
      <c r="AJ59" s="87"/>
      <c r="AK59" s="88"/>
      <c r="AL59" s="89"/>
      <c r="AM59" s="90"/>
      <c r="AN59" s="3"/>
      <c r="AO59" s="91"/>
      <c r="AP59" s="96"/>
      <c r="AQ59" s="14"/>
      <c r="AR59" s="84"/>
      <c r="AS59" s="86"/>
      <c r="AT59" s="85"/>
      <c r="AU59" s="86"/>
      <c r="AV59" s="86"/>
      <c r="AW59" s="86"/>
      <c r="AX59" s="86"/>
      <c r="AY59" s="86"/>
      <c r="AZ59" s="86"/>
      <c r="BA59" s="84"/>
      <c r="BB59" s="89"/>
      <c r="BC59" s="89"/>
      <c r="BD59" s="90"/>
      <c r="BF59" s="91"/>
      <c r="BG59" s="96"/>
      <c r="BH59" s="84"/>
      <c r="BI59" s="84"/>
      <c r="BJ59" s="86"/>
      <c r="BK59" s="85"/>
      <c r="BL59" s="85"/>
      <c r="BM59" s="85"/>
      <c r="BN59" s="85"/>
      <c r="BO59" s="85"/>
      <c r="BP59" s="85"/>
      <c r="BQ59" s="93"/>
      <c r="BR59" s="93"/>
      <c r="BS59" s="94"/>
      <c r="BU59" s="83"/>
      <c r="BV59" s="96"/>
      <c r="BW59" s="14"/>
      <c r="BX59" s="84"/>
      <c r="BY59" s="86"/>
      <c r="BZ59" s="85"/>
      <c r="CA59" s="86"/>
      <c r="CB59" s="86"/>
      <c r="CC59" s="86"/>
      <c r="CD59" s="86"/>
      <c r="CE59" s="86"/>
      <c r="CF59" s="84"/>
      <c r="CG59" s="86"/>
      <c r="CH59" s="13"/>
      <c r="CJ59" s="83"/>
      <c r="CK59" s="96"/>
      <c r="CL59" s="14"/>
      <c r="CM59" s="84"/>
      <c r="CN59" s="86"/>
      <c r="CO59" s="85"/>
      <c r="CP59" s="86"/>
      <c r="CQ59" s="86"/>
      <c r="CR59" s="86"/>
      <c r="CS59" s="86"/>
      <c r="CT59" s="86"/>
      <c r="CU59" s="86"/>
      <c r="CV59" s="86"/>
      <c r="CW59" s="99"/>
      <c r="CY59" s="91"/>
      <c r="CZ59" s="96"/>
      <c r="DA59" s="84"/>
      <c r="DB59" s="84"/>
      <c r="DC59" s="86"/>
      <c r="DD59" s="85"/>
      <c r="DE59" s="85"/>
      <c r="DF59" s="85"/>
      <c r="DG59" s="85"/>
      <c r="DH59" s="85"/>
      <c r="DI59" s="85"/>
      <c r="DJ59" s="93"/>
      <c r="DK59" s="94"/>
    </row>
    <row r="60" spans="1:115" ht="14.45" customHeight="1">
      <c r="A60" s="141" t="s">
        <v>86</v>
      </c>
      <c r="B60" s="108"/>
      <c r="C60" s="109"/>
      <c r="D60" s="142">
        <f>[24]Mar!Q88</f>
        <v>92296.1</v>
      </c>
      <c r="E60" s="119">
        <f>[24]Apr!N88</f>
        <v>31006.1</v>
      </c>
      <c r="F60" s="119"/>
      <c r="G60" s="119"/>
      <c r="H60" s="120"/>
      <c r="I60" s="120"/>
      <c r="J60" s="120"/>
      <c r="K60" s="119"/>
      <c r="L60" s="119"/>
      <c r="M60" s="119"/>
      <c r="N60" s="119"/>
      <c r="O60" s="119"/>
      <c r="P60" s="114">
        <f>SUM(D60:O60)</f>
        <v>123302.20000000001</v>
      </c>
      <c r="Q60" s="114">
        <f>SUM(BS60)</f>
        <v>26276.09</v>
      </c>
      <c r="R60" s="115">
        <f>IF(ISERROR((($E60-$D60)/ABS($D60)+1)*100),0,(($E60-$D60)/ABS($D60)+1)*100)</f>
        <v>33.594160533326978</v>
      </c>
      <c r="S60" s="115">
        <f>IF(ISERROR((($E60-$BG60)/ABS($BG60)+1)*100),0,(($E60-$BG60)/ABS($BG60)+1)*100)</f>
        <v>451.94246009477263</v>
      </c>
      <c r="T60" s="115">
        <f>IF(ISERROR((($P60-$BG60)/ABS($BG60)+1)*100),0,(($P60-$BG60)/ABS($BG60)+1)*100)</f>
        <v>1797.2431103266028</v>
      </c>
      <c r="U60" s="119">
        <f>(+'[24]PF resc'!D65)*1000</f>
        <v>114747.26133361782</v>
      </c>
      <c r="V60" s="117">
        <f>IF(ISERROR((($E60-$U60)/ABS($U60)+1)*100),0,(($E60-$U60)/ABS($U60)+1)*100)</f>
        <v>27.021211347129615</v>
      </c>
      <c r="W60" s="3"/>
      <c r="X60" s="142">
        <f>D60*X$201</f>
        <v>82418.507402867079</v>
      </c>
      <c r="Y60" s="119">
        <f>E60*Y$201</f>
        <v>27871.539755320566</v>
      </c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>
        <f>SUM(X60:AI60)</f>
        <v>110290.04715818765</v>
      </c>
      <c r="AK60" s="116">
        <f>IF(ISERROR((($Y60-$X60)/ABS($X60)+1)*100),0,(($Y60-$X60)/ABS($X60)+1)*100)</f>
        <v>33.817088702034667</v>
      </c>
      <c r="AL60" s="119">
        <f>(+'[24]PF resc'!R65)*1000</f>
        <v>104247.88692159178</v>
      </c>
      <c r="AM60" s="117">
        <f>IF(ISERROR((($Y60-$AL60)/ABS($AL60)+1)*100),0,(($Y60-$AL60)/ABS($AL60)+1)*100)</f>
        <v>26.735831850753634</v>
      </c>
      <c r="AN60" s="3"/>
      <c r="AO60" s="142">
        <f>D60*AO$201</f>
        <v>9877.5925971329307</v>
      </c>
      <c r="AP60" s="119">
        <f>E60*AP$201</f>
        <v>3134.5602446794342</v>
      </c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20">
        <f>SUM(AO60:AZ60)</f>
        <v>13012.152841812365</v>
      </c>
      <c r="BB60" s="115">
        <f>IF(ISERROR((($AP60-$AO60)/ABS($AO60)+1)*100),0,(($AP60-$AO60)/ABS($AO60)+1)*100)</f>
        <v>31.734050719901852</v>
      </c>
      <c r="BC60" s="119">
        <f>(+'[24]PF resc'!AF65)*1000</f>
        <v>10499.374412026031</v>
      </c>
      <c r="BD60" s="117">
        <f>IF(ISERROR((($AP60-$BC60)/ABS($BC60)+1)*100),0,(($AP60-$BC60)/ABS($BC60)+1)*100)</f>
        <v>29.854733450491068</v>
      </c>
      <c r="BF60" s="143">
        <v>19415.46</v>
      </c>
      <c r="BG60" s="119">
        <v>6860.63</v>
      </c>
      <c r="BH60" s="120">
        <v>15610.35</v>
      </c>
      <c r="BI60" s="120">
        <v>10457.43</v>
      </c>
      <c r="BJ60" s="120">
        <v>14858.96</v>
      </c>
      <c r="BK60" s="120">
        <v>13910.13</v>
      </c>
      <c r="BL60" s="120">
        <v>7184.2</v>
      </c>
      <c r="BM60" s="120">
        <v>15186.65</v>
      </c>
      <c r="BN60" s="120">
        <v>37482.080000000002</v>
      </c>
      <c r="BO60" s="120">
        <v>48777.52</v>
      </c>
      <c r="BP60" s="120">
        <v>82646.64</v>
      </c>
      <c r="BQ60" s="120">
        <v>112564.17</v>
      </c>
      <c r="BR60" s="120">
        <v>80898.61</v>
      </c>
      <c r="BS60" s="121">
        <f>SUM(BF60:BG60)</f>
        <v>26276.09</v>
      </c>
      <c r="BU60" s="143">
        <v>18261.461960287437</v>
      </c>
      <c r="BV60" s="119">
        <v>6460.9505780100089</v>
      </c>
      <c r="BW60" s="119">
        <v>14696.303793789239</v>
      </c>
      <c r="BX60" s="119">
        <v>9846.1723852744854</v>
      </c>
      <c r="BY60" s="119">
        <v>14019.473117333077</v>
      </c>
      <c r="BZ60" s="119">
        <v>12828.794780054457</v>
      </c>
      <c r="CA60" s="119">
        <v>6599.4752809868723</v>
      </c>
      <c r="CB60" s="119">
        <v>13965.891382972784</v>
      </c>
      <c r="CC60" s="119">
        <v>34105.838470554074</v>
      </c>
      <c r="CD60" s="119">
        <v>43935.305577068495</v>
      </c>
      <c r="CE60" s="119">
        <v>73874.611800313112</v>
      </c>
      <c r="CF60" s="120">
        <v>99495.575444817194</v>
      </c>
      <c r="CG60" s="119">
        <v>71308.426363344843</v>
      </c>
      <c r="CH60" s="122">
        <v>419398.28093480604</v>
      </c>
      <c r="CJ60" s="143">
        <v>1153.9980397125614</v>
      </c>
      <c r="CK60" s="119">
        <v>399.67942198999037</v>
      </c>
      <c r="CL60" s="119">
        <v>914.0462062107606</v>
      </c>
      <c r="CM60" s="119">
        <v>611.25761472551505</v>
      </c>
      <c r="CN60" s="119">
        <v>839.48688266692284</v>
      </c>
      <c r="CO60" s="119">
        <v>1081.3352199455444</v>
      </c>
      <c r="CP60" s="119">
        <v>584.72471901312804</v>
      </c>
      <c r="CQ60" s="119">
        <v>1220.758617027217</v>
      </c>
      <c r="CR60" s="119">
        <v>3376.2415294459338</v>
      </c>
      <c r="CS60" s="119">
        <v>4842.2144229314999</v>
      </c>
      <c r="CT60" s="119">
        <v>8772.0281996868835</v>
      </c>
      <c r="CU60" s="119">
        <v>13068.594555182804</v>
      </c>
      <c r="CV60" s="119">
        <v>9590.1836366551543</v>
      </c>
      <c r="CW60" s="122">
        <v>46454.549065193918</v>
      </c>
      <c r="CY60" s="143">
        <v>41789.120000000003</v>
      </c>
      <c r="CZ60" s="119">
        <v>36852.58</v>
      </c>
      <c r="DA60" s="120">
        <v>62085.67</v>
      </c>
      <c r="DB60" s="120">
        <v>51634.400000000001</v>
      </c>
      <c r="DC60" s="120">
        <v>50339.99</v>
      </c>
      <c r="DD60" s="120">
        <v>54346.34</v>
      </c>
      <c r="DE60" s="120">
        <v>44436.92</v>
      </c>
      <c r="DF60" s="120">
        <v>188799.73</v>
      </c>
      <c r="DG60" s="120">
        <v>179654.85</v>
      </c>
      <c r="DH60" s="120">
        <v>184218.99</v>
      </c>
      <c r="DI60" s="120">
        <v>22063.52</v>
      </c>
      <c r="DJ60" s="120">
        <v>4079.15</v>
      </c>
      <c r="DK60" s="121">
        <f>SUM(CY60:DJ60)</f>
        <v>920301.26</v>
      </c>
    </row>
    <row r="61" spans="1:115" ht="14.45" customHeight="1">
      <c r="A61" s="141"/>
      <c r="B61" s="108"/>
      <c r="C61" s="109"/>
      <c r="D61" s="142"/>
      <c r="E61" s="119"/>
      <c r="F61" s="138"/>
      <c r="G61" s="120"/>
      <c r="H61" s="120"/>
      <c r="I61" s="120"/>
      <c r="J61" s="120"/>
      <c r="K61" s="119"/>
      <c r="L61" s="120"/>
      <c r="M61" s="120"/>
      <c r="N61" s="120"/>
      <c r="O61" s="120"/>
      <c r="P61" s="144"/>
      <c r="Q61" s="114"/>
      <c r="R61" s="145"/>
      <c r="S61" s="145"/>
      <c r="T61" s="145"/>
      <c r="U61" s="115"/>
      <c r="V61" s="90"/>
      <c r="W61" s="3"/>
      <c r="X61" s="142"/>
      <c r="Y61" s="119"/>
      <c r="Z61" s="138"/>
      <c r="AA61" s="120"/>
      <c r="AB61" s="120"/>
      <c r="AC61" s="120"/>
      <c r="AD61" s="119"/>
      <c r="AE61" s="119"/>
      <c r="AF61" s="120"/>
      <c r="AG61" s="120"/>
      <c r="AH61" s="120"/>
      <c r="AI61" s="120"/>
      <c r="AJ61" s="146"/>
      <c r="AK61" s="147"/>
      <c r="AL61" s="115"/>
      <c r="AM61" s="117"/>
      <c r="AN61" s="3"/>
      <c r="AO61" s="142"/>
      <c r="AP61" s="119"/>
      <c r="AQ61" s="138"/>
      <c r="AR61" s="120"/>
      <c r="AS61" s="120"/>
      <c r="AT61" s="120"/>
      <c r="AU61" s="119"/>
      <c r="AV61" s="119"/>
      <c r="AW61" s="120"/>
      <c r="AX61" s="120"/>
      <c r="AY61" s="120"/>
      <c r="AZ61" s="119"/>
      <c r="BA61" s="148"/>
      <c r="BB61" s="89"/>
      <c r="BC61" s="115"/>
      <c r="BD61" s="117"/>
      <c r="BF61" s="142"/>
      <c r="BG61" s="119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02"/>
      <c r="BS61" s="94"/>
      <c r="BU61" s="143"/>
      <c r="BV61" s="119"/>
      <c r="BW61" s="138"/>
      <c r="BX61" s="120"/>
      <c r="BY61" s="120"/>
      <c r="BZ61" s="120"/>
      <c r="CA61" s="119"/>
      <c r="CB61" s="119"/>
      <c r="CC61" s="120"/>
      <c r="CD61" s="120"/>
      <c r="CE61" s="120"/>
      <c r="CF61" s="120"/>
      <c r="CG61" s="119"/>
      <c r="CH61" s="149"/>
      <c r="CJ61" s="143"/>
      <c r="CK61" s="119"/>
      <c r="CL61" s="138"/>
      <c r="CM61" s="120"/>
      <c r="CN61" s="120"/>
      <c r="CO61" s="120"/>
      <c r="CP61" s="119"/>
      <c r="CQ61" s="119"/>
      <c r="CR61" s="120"/>
      <c r="CS61" s="120"/>
      <c r="CT61" s="120"/>
      <c r="CU61" s="119"/>
      <c r="CV61" s="119"/>
      <c r="CW61" s="150"/>
      <c r="CY61" s="142"/>
      <c r="CZ61" s="119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94"/>
    </row>
    <row r="62" spans="1:115" ht="14.45" customHeight="1">
      <c r="A62" s="141" t="s">
        <v>87</v>
      </c>
      <c r="B62" s="108"/>
      <c r="C62" s="109"/>
      <c r="D62" s="151">
        <f>+X62+AO62</f>
        <v>6456014.387617222</v>
      </c>
      <c r="E62" s="152">
        <f>+[24]Apr!N122</f>
        <v>8008555.7599999998</v>
      </c>
      <c r="F62" s="153"/>
      <c r="G62" s="154"/>
      <c r="H62" s="154"/>
      <c r="I62" s="154"/>
      <c r="J62" s="154"/>
      <c r="K62" s="155"/>
      <c r="L62" s="154"/>
      <c r="M62" s="154"/>
      <c r="N62" s="154"/>
      <c r="O62" s="154"/>
      <c r="P62" s="100">
        <f>SUM(D62:O62)</f>
        <v>14464570.147617221</v>
      </c>
      <c r="Q62" s="114">
        <f>SUM(BS62)</f>
        <v>11644048.0782094</v>
      </c>
      <c r="R62" s="89">
        <f>IF(ISERROR((($E62-$D62)/ABS($D62)+1)*100),0,(($E62-$D62)/ABS($D62)+1)*100)</f>
        <v>124.04798501317758</v>
      </c>
      <c r="S62" s="89">
        <f>IF(ISERROR((($E62-$BG62)/ABS($BG62)+1)*100),0,(($E62-$BG62)/ABS($BG62)+1)*100)</f>
        <v>125.22779795391492</v>
      </c>
      <c r="T62" s="89">
        <f>IF(ISERROR((($P62-$BG62)/ABS($BG62)+1)*100),0,(($P62-$BG62)/ABS($BG62)+1)*100)</f>
        <v>226.17889195242844</v>
      </c>
      <c r="U62" s="96">
        <f>(+'[24]PF resc'!D67)*1000</f>
        <v>5895939.0862944163</v>
      </c>
      <c r="V62" s="117">
        <f>IF(ISERROR((($E62-$U62)/ABS($U62)+1)*100),0,(($E62-$U62)/ABS($U62)+1)*100)</f>
        <v>135.83172490055961</v>
      </c>
      <c r="W62" s="3"/>
      <c r="X62" s="156">
        <v>2811929.7651293478</v>
      </c>
      <c r="Y62" s="157">
        <v>3841774.1687403051</v>
      </c>
      <c r="Z62" s="153"/>
      <c r="AA62" s="154"/>
      <c r="AB62" s="154"/>
      <c r="AC62" s="154"/>
      <c r="AD62" s="155"/>
      <c r="AE62" s="155"/>
      <c r="AF62" s="154"/>
      <c r="AG62" s="154"/>
      <c r="AH62" s="154"/>
      <c r="AI62" s="154"/>
      <c r="AJ62" s="103">
        <f>SUM(X62:AI62)</f>
        <v>6653703.9338696525</v>
      </c>
      <c r="AK62" s="88">
        <f>IF(ISERROR((($Y62-$X62)/ABS($X62)+1)*100),0,(($Y62-$X62)/ABS($X62)+1)*100)</f>
        <v>136.62411545202963</v>
      </c>
      <c r="AL62" s="119">
        <f>(+'[24]PF resc'!R67)*1000</f>
        <v>2053299.4923857872</v>
      </c>
      <c r="AM62" s="117">
        <f>IF(ISERROR((($Y62-$AL62)/ABS($AL62)+1)*100),0,(($Y62-$AL62)/ABS($AL62)+1)*100)</f>
        <v>187.10247496708035</v>
      </c>
      <c r="AN62" s="3"/>
      <c r="AO62" s="156">
        <v>3644084.6224878742</v>
      </c>
      <c r="AP62" s="157">
        <v>4166781.5900992663</v>
      </c>
      <c r="AQ62" s="153"/>
      <c r="AR62" s="154"/>
      <c r="AS62" s="154"/>
      <c r="AT62" s="154"/>
      <c r="AU62" s="155"/>
      <c r="AV62" s="155"/>
      <c r="AW62" s="154"/>
      <c r="AX62" s="154"/>
      <c r="AY62" s="154"/>
      <c r="AZ62" s="157"/>
      <c r="BA62" s="102">
        <f>SUM(AO62:AZ62)</f>
        <v>7810866.2125871405</v>
      </c>
      <c r="BB62" s="115">
        <f>IF(ISERROR((($AP62-$AO62)/ABS($AO62)+1)*100),0,(($AP62-$AO62)/ABS($AO62)+1)*100)</f>
        <v>114.34371102102834</v>
      </c>
      <c r="BC62" s="96">
        <f>(+'[24]PF resc'!AF67)*1000</f>
        <v>3842639.5939086294</v>
      </c>
      <c r="BD62" s="90">
        <f>IF(ISERROR((($AP62-$BC62)/ABS($BC62)+1)*100),0,(($AP62-$BC62)/ABS($BC62)+1)*100)</f>
        <v>108.4353993724644</v>
      </c>
      <c r="BF62" s="156">
        <v>5248857.96</v>
      </c>
      <c r="BG62" s="155">
        <v>6395190.1182094002</v>
      </c>
      <c r="BH62" s="154">
        <v>5121069.7188958004</v>
      </c>
      <c r="BI62" s="154">
        <v>6467652.5199999996</v>
      </c>
      <c r="BJ62" s="154">
        <v>4783859.91</v>
      </c>
      <c r="BK62" s="154">
        <v>6204287.0099999998</v>
      </c>
      <c r="BL62" s="154">
        <v>4877813.6193637177</v>
      </c>
      <c r="BM62" s="154">
        <v>4898606.0078109335</v>
      </c>
      <c r="BN62" s="154">
        <v>6865305.0052212104</v>
      </c>
      <c r="BO62" s="154">
        <v>4854569.59</v>
      </c>
      <c r="BP62" s="154">
        <v>4879773.49</v>
      </c>
      <c r="BQ62" s="154">
        <v>5440056.8600000003</v>
      </c>
      <c r="BR62" s="154">
        <v>-422260.47</v>
      </c>
      <c r="BS62" s="121">
        <f>SUM(BF62:BG62)</f>
        <v>11644048.0782094</v>
      </c>
      <c r="BU62" s="158">
        <v>4718330.08671364</v>
      </c>
      <c r="BV62" s="155">
        <v>4670817.1938961642</v>
      </c>
      <c r="BW62" s="153">
        <v>3763772.1869601686</v>
      </c>
      <c r="BX62" s="154">
        <v>4667453.9977338826</v>
      </c>
      <c r="BY62" s="154">
        <v>3084825.1912692911</v>
      </c>
      <c r="BZ62" s="154">
        <v>4027867.0021151295</v>
      </c>
      <c r="CA62" s="155">
        <v>3055911.9855420599</v>
      </c>
      <c r="CB62" s="155">
        <v>2716429.4713737299</v>
      </c>
      <c r="CC62" s="154">
        <v>3821540.0014900947</v>
      </c>
      <c r="CD62" s="152">
        <v>1908093.7116566077</v>
      </c>
      <c r="CE62" s="152">
        <v>2018119.5679708475</v>
      </c>
      <c r="CF62" s="152">
        <v>2355801.1201835866</v>
      </c>
      <c r="CG62" s="157">
        <v>-357485.43450303836</v>
      </c>
      <c r="CH62" s="159">
        <v>40451476.082402162</v>
      </c>
      <c r="CJ62" s="158">
        <v>530527.87105268124</v>
      </c>
      <c r="CK62" s="155">
        <v>1724372.924313237</v>
      </c>
      <c r="CL62" s="153">
        <v>1357297.531935632</v>
      </c>
      <c r="CM62" s="154">
        <v>1800198.524814398</v>
      </c>
      <c r="CN62" s="154">
        <v>1699034.7182702697</v>
      </c>
      <c r="CO62" s="154">
        <v>2176420.0080891242</v>
      </c>
      <c r="CP62" s="155">
        <v>1821901.6338216499</v>
      </c>
      <c r="CQ62" s="155">
        <v>2182176.5364371999</v>
      </c>
      <c r="CR62" s="154">
        <v>3043765.0037311157</v>
      </c>
      <c r="CS62" s="154">
        <v>2946475.8755594171</v>
      </c>
      <c r="CT62" s="154">
        <v>2861653.9242309681</v>
      </c>
      <c r="CU62" s="157">
        <v>3084255.7363287834</v>
      </c>
      <c r="CV62" s="157">
        <v>-64775.041583177728</v>
      </c>
      <c r="CW62" s="106">
        <v>25163305.247001298</v>
      </c>
      <c r="CY62" s="156">
        <v>2276581.7837507017</v>
      </c>
      <c r="CZ62" s="155">
        <v>2583557.4901122698</v>
      </c>
      <c r="DA62" s="154">
        <v>2652592.4886050401</v>
      </c>
      <c r="DB62" s="154">
        <v>3081957.1471095001</v>
      </c>
      <c r="DC62" s="154">
        <v>3277981.1554626897</v>
      </c>
      <c r="DD62" s="154">
        <v>3525767.99578838</v>
      </c>
      <c r="DE62" s="154">
        <v>4434352</v>
      </c>
      <c r="DF62" s="154">
        <v>4686200</v>
      </c>
      <c r="DG62" s="154">
        <v>5305527</v>
      </c>
      <c r="DH62" s="154">
        <v>3822575.5730493204</v>
      </c>
      <c r="DI62" s="154">
        <v>5296208.3358681099</v>
      </c>
      <c r="DJ62" s="154">
        <v>4141358.2409263798</v>
      </c>
      <c r="DK62" s="121">
        <f>SUM(CY62:DJ62)</f>
        <v>45084659.210672393</v>
      </c>
    </row>
    <row r="63" spans="1:115" ht="14.45" customHeight="1">
      <c r="A63" s="12"/>
      <c r="B63" s="13"/>
      <c r="C63" s="14"/>
      <c r="D63" s="160"/>
      <c r="E63" s="41"/>
      <c r="F63" s="39"/>
      <c r="G63" s="42"/>
      <c r="H63" s="42"/>
      <c r="I63" s="42"/>
      <c r="J63" s="42"/>
      <c r="K63" s="41"/>
      <c r="L63" s="42"/>
      <c r="M63" s="42"/>
      <c r="N63" s="42"/>
      <c r="O63" s="42"/>
      <c r="P63" s="161"/>
      <c r="Q63" s="162"/>
      <c r="R63" s="115"/>
      <c r="S63" s="115"/>
      <c r="T63" s="115"/>
      <c r="U63" s="115"/>
      <c r="V63" s="117"/>
      <c r="W63" s="3"/>
      <c r="X63" s="160"/>
      <c r="Y63" s="41"/>
      <c r="Z63" s="39"/>
      <c r="AA63" s="42"/>
      <c r="AB63" s="42"/>
      <c r="AC63" s="42"/>
      <c r="AD63" s="41"/>
      <c r="AE63" s="41"/>
      <c r="AF63" s="42"/>
      <c r="AG63" s="42"/>
      <c r="AH63" s="42"/>
      <c r="AI63" s="42"/>
      <c r="AJ63" s="163"/>
      <c r="AK63" s="116"/>
      <c r="AL63" s="115"/>
      <c r="AM63" s="117"/>
      <c r="AN63" s="3"/>
      <c r="AO63" s="160"/>
      <c r="AP63" s="41"/>
      <c r="AQ63" s="39"/>
      <c r="AR63" s="42"/>
      <c r="AS63" s="42"/>
      <c r="AT63" s="42"/>
      <c r="AU63" s="41"/>
      <c r="AV63" s="41"/>
      <c r="AW63" s="42"/>
      <c r="AX63" s="42"/>
      <c r="AY63" s="42"/>
      <c r="AZ63" s="41"/>
      <c r="BA63" s="164"/>
      <c r="BB63" s="145"/>
      <c r="BC63" s="115"/>
      <c r="BD63" s="117"/>
      <c r="BF63" s="165"/>
      <c r="BG63" s="51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166"/>
      <c r="BU63" s="37"/>
      <c r="BV63" s="41"/>
      <c r="BW63" s="39"/>
      <c r="BX63" s="42"/>
      <c r="BY63" s="42"/>
      <c r="BZ63" s="42"/>
      <c r="CA63" s="41"/>
      <c r="CB63" s="41"/>
      <c r="CC63" s="42"/>
      <c r="CD63" s="42"/>
      <c r="CE63" s="42"/>
      <c r="CF63" s="42"/>
      <c r="CG63" s="41"/>
      <c r="CH63" s="167"/>
      <c r="CJ63" s="37"/>
      <c r="CK63" s="41"/>
      <c r="CL63" s="39"/>
      <c r="CM63" s="42"/>
      <c r="CN63" s="42"/>
      <c r="CO63" s="42"/>
      <c r="CP63" s="41"/>
      <c r="CQ63" s="41"/>
      <c r="CR63" s="42"/>
      <c r="CS63" s="42"/>
      <c r="CT63" s="42"/>
      <c r="CU63" s="41"/>
      <c r="CV63" s="41"/>
      <c r="CW63" s="168"/>
      <c r="CY63" s="165"/>
      <c r="CZ63" s="51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166"/>
    </row>
    <row r="64" spans="1:115" ht="14.45" customHeight="1" outlineLevel="1">
      <c r="A64" s="169"/>
      <c r="B64" s="170" t="s">
        <v>88</v>
      </c>
      <c r="C64" s="171"/>
      <c r="D64" s="172">
        <f>SUM([24]Mar!Q70:Q77)</f>
        <v>625029.85800000001</v>
      </c>
      <c r="E64" s="173">
        <f>SUM([24]Apr!N70:N77)</f>
        <v>611060.04200000002</v>
      </c>
      <c r="F64" s="173"/>
      <c r="G64" s="173"/>
      <c r="H64" s="174"/>
      <c r="I64" s="174"/>
      <c r="J64" s="174"/>
      <c r="K64" s="173"/>
      <c r="L64" s="173"/>
      <c r="M64" s="173"/>
      <c r="N64" s="173"/>
      <c r="O64" s="173"/>
      <c r="P64" s="100">
        <f>SUM(D64:O64)</f>
        <v>1236089.8999999999</v>
      </c>
      <c r="Q64" s="101">
        <f>SUM(BS64)</f>
        <v>308975.11000000004</v>
      </c>
      <c r="R64" s="89">
        <f t="shared" ref="R64:R68" si="23">IF(ISERROR((($E64-$D64)/ABS($D64)+1)*100),0,(($E64-$D64)/ABS($D64)+1)*100)</f>
        <v>97.764936215255176</v>
      </c>
      <c r="S64" s="89">
        <f t="shared" ref="S64:S68" si="24">IF(ISERROR((($E64-$BG64)/ABS($BG64)+1)*100),0,(($E64-$BG64)/ABS($BG64)+1)*100)</f>
        <v>408.58517047092738</v>
      </c>
      <c r="T64" s="89">
        <f>IF(ISERROR((($P64-$BG64)/ABS($BG64)+1)*100),0,(($P64-$BG64)/ABS($BG64)+1)*100)</f>
        <v>826.5112555156918</v>
      </c>
      <c r="U64" s="96">
        <f>(+'[24]PF resc'!D69)*1000</f>
        <v>670793.81624014396</v>
      </c>
      <c r="V64" s="90">
        <f>IF(ISERROR((($E64-$U64)/ABS($U64)+1)*100),0,(($E64-$U64)/ABS($U64)+1)*100)</f>
        <v>91.095061881315971</v>
      </c>
      <c r="W64" s="3"/>
      <c r="X64" s="172">
        <f t="shared" ref="X64:Y67" si="25">D64*X$201</f>
        <v>558138.72935677622</v>
      </c>
      <c r="Y64" s="173">
        <f t="shared" si="25"/>
        <v>549284.95533107535</v>
      </c>
      <c r="Z64" s="173"/>
      <c r="AA64" s="173"/>
      <c r="AB64" s="173"/>
      <c r="AC64" s="173"/>
      <c r="AD64" s="173"/>
      <c r="AE64" s="173"/>
      <c r="AF64" s="173"/>
      <c r="AG64" s="173"/>
      <c r="AH64" s="173"/>
      <c r="AI64" s="174"/>
      <c r="AJ64" s="103">
        <f>SUM(X64:AI64)</f>
        <v>1107423.6846878515</v>
      </c>
      <c r="AK64" s="88">
        <f t="shared" ref="AK64:AK68" si="26">IF(ISERROR((($Y64-$X64)/ABS($X64)+1)*100),0,(($Y64-$X64)/ABS($X64)+1)*100)</f>
        <v>98.413696530985334</v>
      </c>
      <c r="AL64" s="96">
        <f>(+'[24]PF resc'!R69)*1000</f>
        <v>609416.18205417076</v>
      </c>
      <c r="AM64" s="90">
        <f t="shared" ref="AM64:AM68" si="27">IF(ISERROR((($Y64-$AL64)/ABS($AL64)+1)*100),0,(($Y64-$AL64)/ABS($AL64)+1)*100)</f>
        <v>90.132978333392799</v>
      </c>
      <c r="AN64" s="3"/>
      <c r="AO64" s="172">
        <f t="shared" ref="AO64:AP67" si="28">D64*AO$201</f>
        <v>66891.128643223783</v>
      </c>
      <c r="AP64" s="173">
        <f t="shared" si="28"/>
        <v>61775.086668924676</v>
      </c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02">
        <f>SUM(AO64:AZ64)</f>
        <v>128666.21531214846</v>
      </c>
      <c r="BB64" s="89">
        <f t="shared" ref="BB64:BB68" si="29">IF(ISERROR((($AP64-$AO64)/ABS($AO64)+1)*100),0,(($AP64-$AO64)/ABS($AO64)+1)*100)</f>
        <v>92.351688365752565</v>
      </c>
      <c r="BC64" s="96">
        <f>(+'[24]PF resc'!AF69)*1000</f>
        <v>61377.634185973169</v>
      </c>
      <c r="BD64" s="90">
        <f t="shared" ref="BD64:BD68" si="30">IF(ISERROR((($AP64-$BC64)/ABS($BC64)+1)*100),0,(($AP64-$BC64)/ABS($BC64)+1)*100)</f>
        <v>100.64755262763508</v>
      </c>
      <c r="BF64" s="172">
        <v>159419.99000000002</v>
      </c>
      <c r="BG64" s="174">
        <v>149555.12000000002</v>
      </c>
      <c r="BH64" s="174">
        <v>217443.11000000002</v>
      </c>
      <c r="BI64" s="174">
        <v>208223.54000000004</v>
      </c>
      <c r="BJ64" s="174">
        <v>507268.66000000003</v>
      </c>
      <c r="BK64" s="174">
        <v>605790.88199999998</v>
      </c>
      <c r="BL64" s="174">
        <v>606261.88599999994</v>
      </c>
      <c r="BM64" s="174">
        <v>602461.48600000015</v>
      </c>
      <c r="BN64" s="174">
        <v>619658.348</v>
      </c>
      <c r="BO64" s="174">
        <v>551055.93200000003</v>
      </c>
      <c r="BP64" s="174">
        <v>574109.82400000002</v>
      </c>
      <c r="BQ64" s="174">
        <v>572577.34600000002</v>
      </c>
      <c r="BR64" s="174">
        <v>139568.72200000001</v>
      </c>
      <c r="BS64" s="94">
        <f t="shared" ref="BS64:BS68" si="31">SUM(BF64:BG64)</f>
        <v>308975.11000000004</v>
      </c>
      <c r="BU64" s="175">
        <v>149944.53302133476</v>
      </c>
      <c r="BV64" s="173">
        <v>140842.49391212707</v>
      </c>
      <c r="BW64" s="173">
        <v>204710.97716747739</v>
      </c>
      <c r="BX64" s="173">
        <v>196052.45930521147</v>
      </c>
      <c r="BY64" s="173">
        <v>478609.49502088793</v>
      </c>
      <c r="BZ64" s="173">
        <v>558698.36621269432</v>
      </c>
      <c r="CA64" s="173">
        <v>556918.00485252088</v>
      </c>
      <c r="CB64" s="173">
        <v>554033.42250597605</v>
      </c>
      <c r="CC64" s="173">
        <v>563841.90855519171</v>
      </c>
      <c r="CD64" s="173">
        <v>496351.81867541198</v>
      </c>
      <c r="CE64" s="173">
        <v>513174.40586509125</v>
      </c>
      <c r="CF64" s="174">
        <v>506101.65318978683</v>
      </c>
      <c r="CG64" s="173">
        <v>123023.44793517649</v>
      </c>
      <c r="CH64" s="105">
        <v>5042302.9862188874</v>
      </c>
      <c r="CJ64" s="175">
        <v>9475.4569786652592</v>
      </c>
      <c r="CK64" s="173">
        <v>8712.6260878729299</v>
      </c>
      <c r="CL64" s="173">
        <v>12732.132832522597</v>
      </c>
      <c r="CM64" s="173">
        <v>12171.080694788574</v>
      </c>
      <c r="CN64" s="173">
        <v>28659.16497911208</v>
      </c>
      <c r="CO64" s="173">
        <v>47092.515787305747</v>
      </c>
      <c r="CP64" s="173">
        <v>49343.881147479056</v>
      </c>
      <c r="CQ64" s="173">
        <v>48428.06349402418</v>
      </c>
      <c r="CR64" s="173">
        <v>55816.439444808304</v>
      </c>
      <c r="CS64" s="173">
        <v>54704.113324588056</v>
      </c>
      <c r="CT64" s="173">
        <v>60935.418134908738</v>
      </c>
      <c r="CU64" s="173">
        <v>66475.692810213237</v>
      </c>
      <c r="CV64" s="173">
        <v>16545.274064823516</v>
      </c>
      <c r="CW64" s="106">
        <v>471091.85978111229</v>
      </c>
      <c r="CY64" s="172">
        <v>165744.62999999998</v>
      </c>
      <c r="CZ64" s="174">
        <v>164787.31</v>
      </c>
      <c r="DA64" s="174">
        <v>174964.87</v>
      </c>
      <c r="DB64" s="174">
        <v>147253.07999999999</v>
      </c>
      <c r="DC64" s="174">
        <v>149272.72</v>
      </c>
      <c r="DD64" s="174">
        <v>156349.04</v>
      </c>
      <c r="DE64" s="174">
        <v>155255.28000000003</v>
      </c>
      <c r="DF64" s="174">
        <v>160485.46000000002</v>
      </c>
      <c r="DG64" s="174">
        <v>165954.89000000001</v>
      </c>
      <c r="DH64" s="174">
        <v>174575.88000000003</v>
      </c>
      <c r="DI64" s="174">
        <v>176470.17</v>
      </c>
      <c r="DJ64" s="174">
        <v>154202.37</v>
      </c>
      <c r="DK64" s="94">
        <f t="shared" ref="DK64:DK68" si="32">SUM(CY64:DJ64)</f>
        <v>1945315.6999999997</v>
      </c>
    </row>
    <row r="65" spans="1:115" ht="14.45" customHeight="1" outlineLevel="1">
      <c r="A65" s="12"/>
      <c r="B65" s="13" t="s">
        <v>89</v>
      </c>
      <c r="C65" s="14"/>
      <c r="D65" s="91">
        <f>SUM([24]Mar!Q81:Q84)</f>
        <v>0</v>
      </c>
      <c r="E65" s="96">
        <f>SUM([24]Apr!N81:N84)</f>
        <v>0</v>
      </c>
      <c r="F65" s="96"/>
      <c r="G65" s="96"/>
      <c r="H65" s="102"/>
      <c r="I65" s="102"/>
      <c r="J65" s="102"/>
      <c r="K65" s="96"/>
      <c r="L65" s="96"/>
      <c r="M65" s="96"/>
      <c r="N65" s="96"/>
      <c r="O65" s="96"/>
      <c r="P65" s="100">
        <f>SUM(D65:O65)</f>
        <v>0</v>
      </c>
      <c r="Q65" s="101">
        <f>SUM(BS65)</f>
        <v>339</v>
      </c>
      <c r="R65" s="89">
        <f t="shared" si="23"/>
        <v>0</v>
      </c>
      <c r="S65" s="89">
        <f t="shared" si="24"/>
        <v>0</v>
      </c>
      <c r="T65" s="89">
        <f>IF(ISERROR((($P65-$BG65)/ABS($BG65)+1)*100),0,(($P65-$BG65)/ABS($BG65)+1)*100)</f>
        <v>0</v>
      </c>
      <c r="U65" s="96">
        <f>(+'[24]PF resc'!D70)*1000</f>
        <v>354.20427432759715</v>
      </c>
      <c r="V65" s="90">
        <f>IF(ISERROR((($E65-$U65)/ABS($U65)+1)*100),0,(($E65-$U65)/ABS($U65)+1)*100)</f>
        <v>0</v>
      </c>
      <c r="W65" s="3"/>
      <c r="X65" s="91">
        <f t="shared" si="25"/>
        <v>0</v>
      </c>
      <c r="Y65" s="96">
        <f t="shared" si="25"/>
        <v>0</v>
      </c>
      <c r="Z65" s="96"/>
      <c r="AA65" s="96"/>
      <c r="AB65" s="96"/>
      <c r="AC65" s="96"/>
      <c r="AD65" s="96"/>
      <c r="AE65" s="96"/>
      <c r="AF65" s="96"/>
      <c r="AG65" s="96"/>
      <c r="AH65" s="96"/>
      <c r="AI65" s="102"/>
      <c r="AJ65" s="103">
        <f>SUM(X65:AI65)</f>
        <v>0</v>
      </c>
      <c r="AK65" s="88">
        <f t="shared" si="26"/>
        <v>0</v>
      </c>
      <c r="AL65" s="96">
        <f>(+'[24]PF resc'!R70)*1000</f>
        <v>321.79458322662202</v>
      </c>
      <c r="AM65" s="90">
        <f t="shared" si="27"/>
        <v>0</v>
      </c>
      <c r="AN65" s="3"/>
      <c r="AO65" s="91">
        <f t="shared" si="28"/>
        <v>0</v>
      </c>
      <c r="AP65" s="96">
        <f t="shared" si="28"/>
        <v>0</v>
      </c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102">
        <f>SUM(AO65:AZ65)</f>
        <v>0</v>
      </c>
      <c r="BB65" s="89">
        <f t="shared" si="29"/>
        <v>0</v>
      </c>
      <c r="BC65" s="96">
        <f>(+'[24]PF resc'!AF70)*1000</f>
        <v>32.409691100975145</v>
      </c>
      <c r="BD65" s="90">
        <f t="shared" si="30"/>
        <v>0</v>
      </c>
      <c r="BF65" s="91">
        <v>50</v>
      </c>
      <c r="BG65" s="102">
        <v>289</v>
      </c>
      <c r="BH65" s="102">
        <v>0</v>
      </c>
      <c r="BI65" s="102">
        <v>0</v>
      </c>
      <c r="BJ65" s="102">
        <v>0</v>
      </c>
      <c r="BK65" s="102">
        <v>337</v>
      </c>
      <c r="BL65" s="102">
        <v>186</v>
      </c>
      <c r="BM65" s="102">
        <v>0</v>
      </c>
      <c r="BN65" s="102">
        <v>715.94</v>
      </c>
      <c r="BO65" s="102">
        <v>517.33000000000004</v>
      </c>
      <c r="BP65" s="102">
        <v>669.75</v>
      </c>
      <c r="BQ65" s="102">
        <v>623.85</v>
      </c>
      <c r="BR65" s="102">
        <v>337.05</v>
      </c>
      <c r="BS65" s="94">
        <f t="shared" si="31"/>
        <v>339</v>
      </c>
      <c r="BU65" s="83">
        <v>47.028146539632431</v>
      </c>
      <c r="BV65" s="96">
        <v>272.16373963395381</v>
      </c>
      <c r="BW65" s="96">
        <v>0</v>
      </c>
      <c r="BX65" s="96">
        <v>0</v>
      </c>
      <c r="BY65" s="96">
        <v>0</v>
      </c>
      <c r="BZ65" s="96">
        <v>310.80254755910636</v>
      </c>
      <c r="CA65" s="96">
        <v>170.8613905881738</v>
      </c>
      <c r="CB65" s="96">
        <v>0</v>
      </c>
      <c r="CC65" s="96">
        <v>651.45087985001055</v>
      </c>
      <c r="CD65" s="96">
        <v>465.97390835337359</v>
      </c>
      <c r="CE65" s="96">
        <v>598.66343330182212</v>
      </c>
      <c r="CF65" s="102">
        <v>551.42160015259924</v>
      </c>
      <c r="CG65" s="96">
        <v>297.09416646052858</v>
      </c>
      <c r="CH65" s="105">
        <v>3365.4598124392</v>
      </c>
      <c r="CJ65" s="83">
        <v>2.9718534603675666</v>
      </c>
      <c r="CK65" s="96">
        <v>16.836260366046155</v>
      </c>
      <c r="CL65" s="96">
        <v>0</v>
      </c>
      <c r="CM65" s="96">
        <v>0</v>
      </c>
      <c r="CN65" s="96">
        <v>0</v>
      </c>
      <c r="CO65" s="96">
        <v>26.197452440893684</v>
      </c>
      <c r="CP65" s="96">
        <v>15.138609411826206</v>
      </c>
      <c r="CQ65" s="96">
        <v>0</v>
      </c>
      <c r="CR65" s="96">
        <v>64.489120149989589</v>
      </c>
      <c r="CS65" s="96">
        <v>51.356091646626425</v>
      </c>
      <c r="CT65" s="96">
        <v>71.086566698177805</v>
      </c>
      <c r="CU65" s="96">
        <v>72.428399847400755</v>
      </c>
      <c r="CV65" s="96">
        <v>39.955833539471442</v>
      </c>
      <c r="CW65" s="106">
        <v>360.46018756079957</v>
      </c>
      <c r="CY65" s="91">
        <v>2583.02</v>
      </c>
      <c r="CZ65" s="102">
        <v>378.04</v>
      </c>
      <c r="DA65" s="102">
        <v>557.36</v>
      </c>
      <c r="DB65" s="102">
        <v>0</v>
      </c>
      <c r="DC65" s="102">
        <v>332.29</v>
      </c>
      <c r="DD65" s="102">
        <v>2684</v>
      </c>
      <c r="DE65" s="102">
        <v>0</v>
      </c>
      <c r="DF65" s="102">
        <v>1760</v>
      </c>
      <c r="DG65" s="102">
        <v>0</v>
      </c>
      <c r="DH65" s="102">
        <v>0</v>
      </c>
      <c r="DI65" s="102">
        <v>16.260000000000002</v>
      </c>
      <c r="DJ65" s="102">
        <v>1950</v>
      </c>
      <c r="DK65" s="94">
        <f t="shared" si="32"/>
        <v>10260.969999999999</v>
      </c>
    </row>
    <row r="66" spans="1:115" ht="14.45" customHeight="1" outlineLevel="1">
      <c r="A66" s="12"/>
      <c r="B66" s="13" t="s">
        <v>90</v>
      </c>
      <c r="C66" s="14"/>
      <c r="D66" s="91">
        <f>SUM([24]Mar!Q78:Q80)</f>
        <v>277824.65999999997</v>
      </c>
      <c r="E66" s="96">
        <f>SUM([24]Apr!N78:N80)</f>
        <v>276270.52999999997</v>
      </c>
      <c r="F66" s="96"/>
      <c r="G66" s="96"/>
      <c r="H66" s="102"/>
      <c r="I66" s="102"/>
      <c r="J66" s="102"/>
      <c r="K66" s="96"/>
      <c r="L66" s="96"/>
      <c r="M66" s="96"/>
      <c r="N66" s="96"/>
      <c r="O66" s="96"/>
      <c r="P66" s="100">
        <f>SUM(D66:O66)</f>
        <v>554095.18999999994</v>
      </c>
      <c r="Q66" s="101">
        <f>SUM(BS66)</f>
        <v>559944.12</v>
      </c>
      <c r="R66" s="89">
        <f t="shared" si="23"/>
        <v>99.440607612009671</v>
      </c>
      <c r="S66" s="89">
        <f t="shared" si="24"/>
        <v>90.218008638601859</v>
      </c>
      <c r="T66" s="89">
        <f>IF(ISERROR((($P66-$BG66)/ABS($BG66)+1)*100),0,(($P66-$BG66)/ABS($BG66)+1)*100)</f>
        <v>180.94352893168787</v>
      </c>
      <c r="U66" s="96">
        <f>(+'[24]PF resc'!D71)*1000</f>
        <v>314799.6430348237</v>
      </c>
      <c r="V66" s="90">
        <f>IF(ISERROR((($E66-$U66)/ABS($U66)+1)*100),0,(($E66-$U66)/ABS($U66)+1)*100)</f>
        <v>87.760750722782248</v>
      </c>
      <c r="W66" s="3"/>
      <c r="X66" s="91">
        <f t="shared" si="25"/>
        <v>248091.67231236232</v>
      </c>
      <c r="Y66" s="96">
        <f t="shared" si="25"/>
        <v>248340.97355418713</v>
      </c>
      <c r="Z66" s="96"/>
      <c r="AA66" s="96"/>
      <c r="AB66" s="96"/>
      <c r="AC66" s="96"/>
      <c r="AD66" s="96"/>
      <c r="AE66" s="96"/>
      <c r="AF66" s="96"/>
      <c r="AG66" s="96"/>
      <c r="AH66" s="96"/>
      <c r="AI66" s="102"/>
      <c r="AJ66" s="103">
        <f>SUM(X66:AI66)</f>
        <v>496432.64586654946</v>
      </c>
      <c r="AK66" s="88">
        <f t="shared" si="26"/>
        <v>100.10048754942122</v>
      </c>
      <c r="AL66" s="96">
        <f>(+'[24]PF resc'!R71)*1000</f>
        <v>285995.47569713736</v>
      </c>
      <c r="AM66" s="90">
        <f t="shared" si="27"/>
        <v>86.833881881814975</v>
      </c>
      <c r="AN66" s="3"/>
      <c r="AO66" s="91">
        <f t="shared" si="28"/>
        <v>29732.987687637644</v>
      </c>
      <c r="AP66" s="96">
        <f t="shared" si="28"/>
        <v>27929.556445812821</v>
      </c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102">
        <f>SUM(AO66:AZ66)</f>
        <v>57662.544133450465</v>
      </c>
      <c r="BB66" s="89">
        <f t="shared" si="29"/>
        <v>93.93457778017158</v>
      </c>
      <c r="BC66" s="96">
        <f>(+'[24]PF resc'!AF71)*1000</f>
        <v>28804.167337686369</v>
      </c>
      <c r="BD66" s="90">
        <f t="shared" si="30"/>
        <v>96.963595990746668</v>
      </c>
      <c r="BF66" s="91">
        <v>253718.64</v>
      </c>
      <c r="BG66" s="102">
        <v>306225.48</v>
      </c>
      <c r="BH66" s="102">
        <v>259216.41</v>
      </c>
      <c r="BI66" s="102">
        <v>211975.86</v>
      </c>
      <c r="BJ66" s="102">
        <v>288180.24</v>
      </c>
      <c r="BK66" s="102">
        <v>425164.66000000003</v>
      </c>
      <c r="BL66" s="102">
        <v>366077.44</v>
      </c>
      <c r="BM66" s="102">
        <v>352331.32</v>
      </c>
      <c r="BN66" s="102">
        <v>349368.58</v>
      </c>
      <c r="BO66" s="102">
        <v>306356.56</v>
      </c>
      <c r="BP66" s="102">
        <v>293688.32000000001</v>
      </c>
      <c r="BQ66" s="102">
        <v>292195.90999999997</v>
      </c>
      <c r="BR66" s="102">
        <v>40254.410000000003</v>
      </c>
      <c r="BS66" s="94">
        <f t="shared" si="31"/>
        <v>559944.12</v>
      </c>
      <c r="BU66" s="83">
        <v>238638.34763512496</v>
      </c>
      <c r="BV66" s="96">
        <v>288385.71559862467</v>
      </c>
      <c r="BW66" s="96">
        <v>244038.28932057429</v>
      </c>
      <c r="BX66" s="96">
        <v>199585.448726581</v>
      </c>
      <c r="BY66" s="96">
        <v>271898.91672274465</v>
      </c>
      <c r="BZ66" s="96">
        <v>392113.5295551967</v>
      </c>
      <c r="CA66" s="96">
        <v>336282.26054493955</v>
      </c>
      <c r="CB66" s="96">
        <v>324009.63648595486</v>
      </c>
      <c r="CC66" s="96">
        <v>317898.80273898481</v>
      </c>
      <c r="CD66" s="96">
        <v>275944.10456168168</v>
      </c>
      <c r="CE66" s="96">
        <v>262516.54792361957</v>
      </c>
      <c r="CF66" s="102">
        <v>258272.2389200046</v>
      </c>
      <c r="CG66" s="96">
        <v>35482.422148970087</v>
      </c>
      <c r="CH66" s="105">
        <v>3445066.2608830007</v>
      </c>
      <c r="CJ66" s="83">
        <v>15080.292364875058</v>
      </c>
      <c r="CK66" s="96">
        <v>17839.764401375291</v>
      </c>
      <c r="CL66" s="96">
        <v>15178.120679425707</v>
      </c>
      <c r="CM66" s="96">
        <v>12390.411273418966</v>
      </c>
      <c r="CN66" s="96">
        <v>16281.323277255318</v>
      </c>
      <c r="CO66" s="96">
        <v>33051.130444803362</v>
      </c>
      <c r="CP66" s="96">
        <v>29795.179455060446</v>
      </c>
      <c r="CQ66" s="96">
        <v>28321.683514045159</v>
      </c>
      <c r="CR66" s="96">
        <v>31469.777261015239</v>
      </c>
      <c r="CS66" s="96">
        <v>30412.455438318299</v>
      </c>
      <c r="CT66" s="96">
        <v>31171.772076380425</v>
      </c>
      <c r="CU66" s="96">
        <v>33923.671079995387</v>
      </c>
      <c r="CV66" s="96">
        <v>4771.9878510299204</v>
      </c>
      <c r="CW66" s="106">
        <v>299687.56911699858</v>
      </c>
      <c r="CY66" s="91">
        <v>109854.20999999999</v>
      </c>
      <c r="CZ66" s="102">
        <v>147061.9</v>
      </c>
      <c r="DA66" s="102">
        <v>179280.8</v>
      </c>
      <c r="DB66" s="102">
        <v>154393.85999999999</v>
      </c>
      <c r="DC66" s="102">
        <v>208449.47</v>
      </c>
      <c r="DD66" s="102">
        <v>218091.1</v>
      </c>
      <c r="DE66" s="102">
        <v>184256.28</v>
      </c>
      <c r="DF66" s="102">
        <v>252302.7</v>
      </c>
      <c r="DG66" s="102">
        <v>245986.08000000002</v>
      </c>
      <c r="DH66" s="102">
        <v>241924.67</v>
      </c>
      <c r="DI66" s="102">
        <v>275556.28000000003</v>
      </c>
      <c r="DJ66" s="102">
        <v>297867.54000000004</v>
      </c>
      <c r="DK66" s="94">
        <f t="shared" si="32"/>
        <v>2515024.8899999997</v>
      </c>
    </row>
    <row r="67" spans="1:115" ht="14.45" customHeight="1" outlineLevel="1">
      <c r="A67" s="176"/>
      <c r="B67" s="177" t="s">
        <v>91</v>
      </c>
      <c r="C67" s="178"/>
      <c r="D67" s="179">
        <f>SUM([24]Mar!Q85:Q87)</f>
        <v>5320</v>
      </c>
      <c r="E67" s="180">
        <f>SUM([24]Apr!N85:N87)</f>
        <v>200.9</v>
      </c>
      <c r="F67" s="180"/>
      <c r="G67" s="180"/>
      <c r="H67" s="148"/>
      <c r="I67" s="148"/>
      <c r="J67" s="148"/>
      <c r="K67" s="180"/>
      <c r="L67" s="180"/>
      <c r="M67" s="180"/>
      <c r="N67" s="180"/>
      <c r="O67" s="180"/>
      <c r="P67" s="100">
        <f>SUM(D67:O67)</f>
        <v>5520.9</v>
      </c>
      <c r="Q67" s="101">
        <f>SUM(BS67)</f>
        <v>18995.97</v>
      </c>
      <c r="R67" s="89">
        <f t="shared" si="23"/>
        <v>3.7763157894736721</v>
      </c>
      <c r="S67" s="89">
        <f t="shared" si="24"/>
        <v>2.0090703174611035</v>
      </c>
      <c r="T67" s="89">
        <f>IF(ISERROR((($P67-$BG67)/ABS($BG67)+1)*100),0,(($P67-$BG67)/ABS($BG67)+1)*100)</f>
        <v>55.210932382633395</v>
      </c>
      <c r="U67" s="96">
        <f>(+'[24]PF resc'!D72)*1000</f>
        <v>7092.0025630991067</v>
      </c>
      <c r="V67" s="90">
        <f>IF(ISERROR((($E67-$U67)/ABS($U67)+1)*100),0,(($E67-$U67)/ABS($U67)+1)*100)</f>
        <v>2.8327682937583254</v>
      </c>
      <c r="W67" s="3"/>
      <c r="X67" s="179">
        <f t="shared" si="25"/>
        <v>4750.6499124367419</v>
      </c>
      <c r="Y67" s="180">
        <f t="shared" si="25"/>
        <v>180.59002379673359</v>
      </c>
      <c r="Z67" s="180"/>
      <c r="AA67" s="180"/>
      <c r="AB67" s="180"/>
      <c r="AC67" s="180"/>
      <c r="AD67" s="180"/>
      <c r="AE67" s="180"/>
      <c r="AF67" s="180"/>
      <c r="AG67" s="180"/>
      <c r="AH67" s="180"/>
      <c r="AI67" s="148"/>
      <c r="AJ67" s="103">
        <f>SUM(X67:AI67)</f>
        <v>4931.2399362334754</v>
      </c>
      <c r="AK67" s="88">
        <f t="shared" si="26"/>
        <v>3.8013751197276457</v>
      </c>
      <c r="AL67" s="96">
        <f>(+'[24]PF resc'!R72)*1000</f>
        <v>6443.0843285755391</v>
      </c>
      <c r="AM67" s="90">
        <f t="shared" si="27"/>
        <v>2.8028505384572355</v>
      </c>
      <c r="AN67" s="3"/>
      <c r="AO67" s="179">
        <f t="shared" si="28"/>
        <v>569.3500875632576</v>
      </c>
      <c r="AP67" s="180">
        <f t="shared" si="28"/>
        <v>20.309976203266402</v>
      </c>
      <c r="AQ67" s="180"/>
      <c r="AR67" s="180"/>
      <c r="AS67" s="180"/>
      <c r="AT67" s="180"/>
      <c r="AU67" s="180"/>
      <c r="AV67" s="180"/>
      <c r="AW67" s="180"/>
      <c r="AX67" s="180"/>
      <c r="AY67" s="180"/>
      <c r="AZ67" s="180"/>
      <c r="BA67" s="102">
        <f>SUM(AO67:AZ67)</f>
        <v>589.66006376652399</v>
      </c>
      <c r="BB67" s="89">
        <f t="shared" si="29"/>
        <v>3.5672210555355077</v>
      </c>
      <c r="BC67" s="96">
        <f>(+'[24]PF resc'!AF72)*1000</f>
        <v>648.91823452356823</v>
      </c>
      <c r="BD67" s="90">
        <f t="shared" si="30"/>
        <v>3.1298205417478853</v>
      </c>
      <c r="BF67" s="179">
        <v>8996.32</v>
      </c>
      <c r="BG67" s="148">
        <v>9999.65</v>
      </c>
      <c r="BH67" s="148">
        <v>2416</v>
      </c>
      <c r="BI67" s="148">
        <v>3843.8</v>
      </c>
      <c r="BJ67" s="148">
        <v>0</v>
      </c>
      <c r="BK67" s="148">
        <v>17440.3</v>
      </c>
      <c r="BL67" s="148">
        <v>4277.5</v>
      </c>
      <c r="BM67" s="148">
        <v>1938.07</v>
      </c>
      <c r="BN67" s="148">
        <v>495.5</v>
      </c>
      <c r="BO67" s="148">
        <v>2270.5</v>
      </c>
      <c r="BP67" s="148">
        <v>5269.52</v>
      </c>
      <c r="BQ67" s="148">
        <v>1719.34</v>
      </c>
      <c r="BR67" s="148">
        <v>58.8</v>
      </c>
      <c r="BS67" s="94">
        <f t="shared" si="31"/>
        <v>18995.97</v>
      </c>
      <c r="BU67" s="181">
        <v>8461.6051055485204</v>
      </c>
      <c r="BV67" s="180">
        <v>9417.10082709573</v>
      </c>
      <c r="BW67" s="180">
        <v>2274.5338807774842</v>
      </c>
      <c r="BX67" s="180">
        <v>3619.1222331412273</v>
      </c>
      <c r="BY67" s="180">
        <v>0</v>
      </c>
      <c r="BZ67" s="180">
        <v>16084.539080697574</v>
      </c>
      <c r="CA67" s="180">
        <v>3929.3526787145884</v>
      </c>
      <c r="CB67" s="180">
        <v>1782.2808264230796</v>
      </c>
      <c r="CC67" s="180">
        <v>450.86726676213118</v>
      </c>
      <c r="CD67" s="180">
        <v>2045.1042060509437</v>
      </c>
      <c r="CE67" s="180">
        <v>4710.218641362625</v>
      </c>
      <c r="CF67" s="148">
        <v>1519.7262386893804</v>
      </c>
      <c r="CG67" s="180">
        <v>51.829511905886598</v>
      </c>
      <c r="CH67" s="105">
        <v>54346.280497169173</v>
      </c>
      <c r="CJ67" s="181">
        <v>534.71489445147893</v>
      </c>
      <c r="CK67" s="180">
        <v>582.54917290426783</v>
      </c>
      <c r="CL67" s="180">
        <v>141.46611922251569</v>
      </c>
      <c r="CM67" s="180">
        <v>224.67776685877263</v>
      </c>
      <c r="CN67" s="180">
        <v>0</v>
      </c>
      <c r="CO67" s="180">
        <v>1355.7609193024275</v>
      </c>
      <c r="CP67" s="180">
        <v>348.14732128541181</v>
      </c>
      <c r="CQ67" s="180">
        <v>155.78917357692043</v>
      </c>
      <c r="CR67" s="180">
        <v>44.632733237868869</v>
      </c>
      <c r="CS67" s="180">
        <v>225.39579394905627</v>
      </c>
      <c r="CT67" s="180">
        <v>559.30135863737507</v>
      </c>
      <c r="CU67" s="180">
        <v>199.61376131061954</v>
      </c>
      <c r="CV67" s="180">
        <v>6.9704880941133966</v>
      </c>
      <c r="CW67" s="106">
        <v>4379.0195028308281</v>
      </c>
      <c r="CY67" s="179">
        <v>0</v>
      </c>
      <c r="CZ67" s="148">
        <v>626</v>
      </c>
      <c r="DA67" s="148">
        <v>5381.57</v>
      </c>
      <c r="DB67" s="148">
        <v>0</v>
      </c>
      <c r="DC67" s="148">
        <v>3475.94</v>
      </c>
      <c r="DD67" s="148">
        <v>4328.1399999999994</v>
      </c>
      <c r="DE67" s="148">
        <v>12143.78</v>
      </c>
      <c r="DF67" s="148">
        <v>450</v>
      </c>
      <c r="DG67" s="148">
        <v>6603.03</v>
      </c>
      <c r="DH67" s="148">
        <v>864</v>
      </c>
      <c r="DI67" s="148">
        <v>2156.94</v>
      </c>
      <c r="DJ67" s="148">
        <v>7081.75</v>
      </c>
      <c r="DK67" s="94">
        <f t="shared" si="32"/>
        <v>43111.15</v>
      </c>
    </row>
    <row r="68" spans="1:115" ht="14.45" customHeight="1">
      <c r="A68" s="107" t="s">
        <v>92</v>
      </c>
      <c r="B68" s="136"/>
      <c r="C68" s="137"/>
      <c r="D68" s="118">
        <f t="shared" ref="D68:O68" si="33">SUM(D64:D67)</f>
        <v>908174.51799999992</v>
      </c>
      <c r="E68" s="111">
        <f t="shared" si="33"/>
        <v>887531.47199999995</v>
      </c>
      <c r="F68" s="112">
        <f t="shared" si="33"/>
        <v>0</v>
      </c>
      <c r="G68" s="113">
        <f t="shared" si="33"/>
        <v>0</v>
      </c>
      <c r="H68" s="113">
        <f>SUM(H64:H67)</f>
        <v>0</v>
      </c>
      <c r="I68" s="113">
        <f>SUM(I64:I67)</f>
        <v>0</v>
      </c>
      <c r="J68" s="113">
        <f t="shared" si="33"/>
        <v>0</v>
      </c>
      <c r="K68" s="111">
        <f t="shared" si="33"/>
        <v>0</v>
      </c>
      <c r="L68" s="113">
        <f t="shared" si="33"/>
        <v>0</v>
      </c>
      <c r="M68" s="113">
        <f t="shared" si="33"/>
        <v>0</v>
      </c>
      <c r="N68" s="113">
        <f t="shared" si="33"/>
        <v>0</v>
      </c>
      <c r="O68" s="113">
        <f t="shared" si="33"/>
        <v>0</v>
      </c>
      <c r="P68" s="114">
        <f>SUM(D68:O68)</f>
        <v>1795705.9899999998</v>
      </c>
      <c r="Q68" s="114">
        <f>SUM(BS68)</f>
        <v>888254.2</v>
      </c>
      <c r="R68" s="115">
        <f t="shared" si="23"/>
        <v>97.726973660804688</v>
      </c>
      <c r="S68" s="115">
        <f t="shared" si="24"/>
        <v>190.42909868007811</v>
      </c>
      <c r="T68" s="115">
        <f>IF(ISERROR((($P68-$BG68)/ABS($BG68)+1)*100),0,(($P68-$BG68)/ABS($BG68)+1)*100)</f>
        <v>385.28737735862205</v>
      </c>
      <c r="U68" s="111">
        <f t="shared" ref="U68" si="34">SUM(U64:U67)</f>
        <v>993039.66611239442</v>
      </c>
      <c r="V68" s="117">
        <f>IF(ISERROR((($E68-$U68)/ABS($U68)+1)*100),0,(($E68-$U68)/ABS($U68)+1)*100)</f>
        <v>89.375228632563733</v>
      </c>
      <c r="W68" s="3"/>
      <c r="X68" s="118">
        <f t="shared" ref="X68:AI68" si="35">SUM(X64:X67)</f>
        <v>810981.0515815753</v>
      </c>
      <c r="Y68" s="111">
        <f t="shared" ref="Y68" si="36">SUM(Y64:Y67)</f>
        <v>797806.51890905923</v>
      </c>
      <c r="Z68" s="111">
        <f t="shared" si="35"/>
        <v>0</v>
      </c>
      <c r="AA68" s="111">
        <f t="shared" si="35"/>
        <v>0</v>
      </c>
      <c r="AB68" s="111">
        <f t="shared" si="35"/>
        <v>0</v>
      </c>
      <c r="AC68" s="111">
        <f t="shared" si="35"/>
        <v>0</v>
      </c>
      <c r="AD68" s="111">
        <f t="shared" si="35"/>
        <v>0</v>
      </c>
      <c r="AE68" s="111">
        <f t="shared" si="35"/>
        <v>0</v>
      </c>
      <c r="AF68" s="111">
        <f t="shared" si="35"/>
        <v>0</v>
      </c>
      <c r="AG68" s="113">
        <f t="shared" si="35"/>
        <v>0</v>
      </c>
      <c r="AH68" s="113">
        <f t="shared" ref="AH68" si="37">SUM(AH64:AH67)</f>
        <v>0</v>
      </c>
      <c r="AI68" s="113">
        <f t="shared" si="35"/>
        <v>0</v>
      </c>
      <c r="AJ68" s="119">
        <f>SUM(X68:AI68)</f>
        <v>1608787.5704906345</v>
      </c>
      <c r="AK68" s="116">
        <f t="shared" si="26"/>
        <v>98.37548206005269</v>
      </c>
      <c r="AL68" s="111">
        <f t="shared" ref="AL68" si="38">SUM(AL64:AL67)</f>
        <v>902176.53666311037</v>
      </c>
      <c r="AM68" s="117">
        <f t="shared" si="27"/>
        <v>88.431308783524159</v>
      </c>
      <c r="AN68" s="3"/>
      <c r="AO68" s="118">
        <f t="shared" ref="AO68:AZ68" si="39">SUM(AO64:AO67)</f>
        <v>97193.466418424694</v>
      </c>
      <c r="AP68" s="111">
        <f t="shared" si="39"/>
        <v>89724.953090940762</v>
      </c>
      <c r="AQ68" s="111">
        <f t="shared" si="39"/>
        <v>0</v>
      </c>
      <c r="AR68" s="111">
        <f t="shared" si="39"/>
        <v>0</v>
      </c>
      <c r="AS68" s="111">
        <f t="shared" si="39"/>
        <v>0</v>
      </c>
      <c r="AT68" s="111">
        <f t="shared" si="39"/>
        <v>0</v>
      </c>
      <c r="AU68" s="111">
        <f t="shared" si="39"/>
        <v>0</v>
      </c>
      <c r="AV68" s="111">
        <f t="shared" si="39"/>
        <v>0</v>
      </c>
      <c r="AW68" s="111">
        <f t="shared" si="39"/>
        <v>0</v>
      </c>
      <c r="AX68" s="113">
        <f t="shared" si="39"/>
        <v>0</v>
      </c>
      <c r="AY68" s="113">
        <f t="shared" si="39"/>
        <v>0</v>
      </c>
      <c r="AZ68" s="111">
        <f t="shared" si="39"/>
        <v>0</v>
      </c>
      <c r="BA68" s="120">
        <f>SUM(AO68:AZ68)</f>
        <v>186918.41950936546</v>
      </c>
      <c r="BB68" s="115">
        <f t="shared" si="29"/>
        <v>92.315827799235535</v>
      </c>
      <c r="BC68" s="111">
        <f t="shared" ref="BC68" si="40">SUM(BC64:BC67)</f>
        <v>90863.129449284097</v>
      </c>
      <c r="BD68" s="117">
        <f t="shared" si="30"/>
        <v>98.747372707453778</v>
      </c>
      <c r="BF68" s="118">
        <v>422184.95</v>
      </c>
      <c r="BG68" s="113">
        <v>466069.25</v>
      </c>
      <c r="BH68" s="113">
        <v>479075.52</v>
      </c>
      <c r="BI68" s="113">
        <v>424043.2</v>
      </c>
      <c r="BJ68" s="113">
        <v>795448.9</v>
      </c>
      <c r="BK68" s="113">
        <v>1048732.8419999999</v>
      </c>
      <c r="BL68" s="113">
        <v>976802.82599999988</v>
      </c>
      <c r="BM68" s="113">
        <v>956730.87600000005</v>
      </c>
      <c r="BN68" s="113">
        <v>970238.36800000002</v>
      </c>
      <c r="BO68" s="113">
        <v>860200.32199999993</v>
      </c>
      <c r="BP68" s="113">
        <v>873737.41400000011</v>
      </c>
      <c r="BQ68" s="113">
        <v>867116.44599999988</v>
      </c>
      <c r="BR68" s="182">
        <v>180218.98199999999</v>
      </c>
      <c r="BS68" s="121">
        <f t="shared" si="31"/>
        <v>888254.2</v>
      </c>
      <c r="BU68" s="110">
        <v>397091.51390854787</v>
      </c>
      <c r="BV68" s="111">
        <v>438917.47407748143</v>
      </c>
      <c r="BW68" s="111">
        <v>451023.80036882916</v>
      </c>
      <c r="BX68" s="111">
        <v>399257.03026493371</v>
      </c>
      <c r="BY68" s="111">
        <v>750508.41174363252</v>
      </c>
      <c r="BZ68" s="111">
        <v>967207.2373961478</v>
      </c>
      <c r="CA68" s="111">
        <v>897300.47946676321</v>
      </c>
      <c r="CB68" s="111">
        <v>879825.339818354</v>
      </c>
      <c r="CC68" s="111">
        <v>882843.02944078867</v>
      </c>
      <c r="CD68" s="113">
        <v>774807.00135149807</v>
      </c>
      <c r="CE68" s="113">
        <v>780999.83586337534</v>
      </c>
      <c r="CF68" s="113">
        <v>766445.03994863341</v>
      </c>
      <c r="CG68" s="111">
        <v>158854.793762513</v>
      </c>
      <c r="CH68" s="122">
        <v>8545080.9874114972</v>
      </c>
      <c r="CJ68" s="110">
        <v>25093.43609145216</v>
      </c>
      <c r="CK68" s="111">
        <v>27151.775922518536</v>
      </c>
      <c r="CL68" s="111">
        <v>28051.719631170818</v>
      </c>
      <c r="CM68" s="111">
        <v>24786.169735066313</v>
      </c>
      <c r="CN68" s="111">
        <v>44940.488256367396</v>
      </c>
      <c r="CO68" s="111">
        <v>81525.604603852422</v>
      </c>
      <c r="CP68" s="111">
        <v>79502.346533236749</v>
      </c>
      <c r="CQ68" s="111">
        <v>76905.536181646254</v>
      </c>
      <c r="CR68" s="111">
        <v>87395.338559211406</v>
      </c>
      <c r="CS68" s="113">
        <v>85393.320648502035</v>
      </c>
      <c r="CT68" s="113">
        <v>92737.57813662471</v>
      </c>
      <c r="CU68" s="111">
        <v>100671.40605136665</v>
      </c>
      <c r="CV68" s="111">
        <v>21364.188237487022</v>
      </c>
      <c r="CW68" s="122">
        <v>775518.90858850244</v>
      </c>
      <c r="CY68" s="118">
        <v>278181.86</v>
      </c>
      <c r="CZ68" s="113">
        <v>312853.25</v>
      </c>
      <c r="DA68" s="113">
        <v>360184.6</v>
      </c>
      <c r="DB68" s="113">
        <v>301646.93999999994</v>
      </c>
      <c r="DC68" s="113">
        <v>361530.42</v>
      </c>
      <c r="DD68" s="113">
        <v>381452.28</v>
      </c>
      <c r="DE68" s="113">
        <v>351655.34000000008</v>
      </c>
      <c r="DF68" s="113">
        <v>414998.16000000003</v>
      </c>
      <c r="DG68" s="113">
        <v>418544.00000000006</v>
      </c>
      <c r="DH68" s="113">
        <v>417364.55000000005</v>
      </c>
      <c r="DI68" s="113">
        <v>454199.65000000008</v>
      </c>
      <c r="DJ68" s="113">
        <v>461101.66000000003</v>
      </c>
      <c r="DK68" s="121">
        <f t="shared" si="32"/>
        <v>4513712.71</v>
      </c>
    </row>
    <row r="69" spans="1:115" ht="14.45" customHeight="1" outlineLevel="1">
      <c r="A69" s="134"/>
      <c r="B69" s="13"/>
      <c r="C69" s="14"/>
      <c r="D69" s="91"/>
      <c r="E69" s="96"/>
      <c r="F69" s="104"/>
      <c r="G69" s="102"/>
      <c r="H69" s="102"/>
      <c r="I69" s="102"/>
      <c r="J69" s="102"/>
      <c r="K69" s="96"/>
      <c r="L69" s="102"/>
      <c r="M69" s="102"/>
      <c r="N69" s="102"/>
      <c r="O69" s="102"/>
      <c r="P69" s="100"/>
      <c r="Q69" s="101"/>
      <c r="R69" s="89"/>
      <c r="S69" s="89"/>
      <c r="T69" s="89"/>
      <c r="U69" s="89"/>
      <c r="V69" s="90"/>
      <c r="W69" s="3"/>
      <c r="X69" s="91"/>
      <c r="Y69" s="96"/>
      <c r="Z69" s="96"/>
      <c r="AA69" s="96"/>
      <c r="AB69" s="96"/>
      <c r="AC69" s="96"/>
      <c r="AD69" s="96"/>
      <c r="AE69" s="96"/>
      <c r="AF69" s="96"/>
      <c r="AG69" s="102"/>
      <c r="AH69" s="102"/>
      <c r="AI69" s="102"/>
      <c r="AJ69" s="103"/>
      <c r="AK69" s="88">
        <f>IF(ISERROR((($AH69-$AG69)/ABS($AG69)+1)*100),0,(($AH69-$AG69)/ABS($AG69)+1)*100)</f>
        <v>0</v>
      </c>
      <c r="AL69" s="89"/>
      <c r="AM69" s="90"/>
      <c r="AN69" s="3"/>
      <c r="AO69" s="91"/>
      <c r="AP69" s="96"/>
      <c r="AQ69" s="96"/>
      <c r="AR69" s="96"/>
      <c r="AS69" s="96"/>
      <c r="AT69" s="96"/>
      <c r="AU69" s="96"/>
      <c r="AV69" s="96"/>
      <c r="AW69" s="96"/>
      <c r="AX69" s="102"/>
      <c r="AY69" s="102"/>
      <c r="AZ69" s="96"/>
      <c r="BA69" s="102"/>
      <c r="BB69" s="89">
        <f t="shared" ref="BB69" si="41">IF(ISERROR((($AO69-$CU69)/ABS($CU69)+1)*100),0,(($AO69-$CU69)/ABS($CU69)+1)*100)</f>
        <v>0</v>
      </c>
      <c r="BC69" s="89"/>
      <c r="BD69" s="90"/>
      <c r="BF69" s="91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94"/>
      <c r="BU69" s="83"/>
      <c r="BV69" s="96"/>
      <c r="BW69" s="96"/>
      <c r="BX69" s="96"/>
      <c r="BY69" s="96"/>
      <c r="BZ69" s="96"/>
      <c r="CA69" s="96"/>
      <c r="CB69" s="96"/>
      <c r="CC69" s="96"/>
      <c r="CD69" s="102"/>
      <c r="CE69" s="102"/>
      <c r="CF69" s="102"/>
      <c r="CG69" s="96"/>
      <c r="CH69" s="105"/>
      <c r="CJ69" s="83"/>
      <c r="CK69" s="96"/>
      <c r="CL69" s="96"/>
      <c r="CM69" s="96"/>
      <c r="CN69" s="96"/>
      <c r="CO69" s="96"/>
      <c r="CP69" s="96"/>
      <c r="CQ69" s="96"/>
      <c r="CR69" s="96"/>
      <c r="CS69" s="102"/>
      <c r="CT69" s="102"/>
      <c r="CU69" s="96"/>
      <c r="CV69" s="96"/>
      <c r="CW69" s="106"/>
      <c r="CY69" s="91"/>
      <c r="CZ69" s="102"/>
      <c r="DA69" s="102"/>
      <c r="DB69" s="102"/>
      <c r="DC69" s="102"/>
      <c r="DD69" s="102"/>
      <c r="DE69" s="102"/>
      <c r="DF69" s="102"/>
      <c r="DG69" s="102"/>
      <c r="DH69" s="102"/>
      <c r="DI69" s="102"/>
      <c r="DJ69" s="102"/>
      <c r="DK69" s="94"/>
    </row>
    <row r="70" spans="1:115" ht="14.45" customHeight="1" outlineLevel="1">
      <c r="A70" s="123"/>
      <c r="B70" s="13" t="s">
        <v>93</v>
      </c>
      <c r="C70" s="14"/>
      <c r="D70" s="91">
        <f>[24]Mar!Q96</f>
        <v>27199.919999999998</v>
      </c>
      <c r="E70" s="96">
        <f>[24]Apr!N96</f>
        <v>38967.040000000001</v>
      </c>
      <c r="F70" s="96"/>
      <c r="G70" s="96"/>
      <c r="H70" s="102"/>
      <c r="I70" s="102"/>
      <c r="J70" s="102"/>
      <c r="K70" s="96"/>
      <c r="L70" s="96"/>
      <c r="M70" s="96"/>
      <c r="N70" s="96"/>
      <c r="O70" s="96"/>
      <c r="P70" s="100">
        <f t="shared" ref="P70:P80" si="42">SUM(D70:O70)</f>
        <v>66166.959999999992</v>
      </c>
      <c r="Q70" s="101">
        <f t="shared" ref="Q70:Q80" si="43">SUM(BS70)</f>
        <v>137773.78</v>
      </c>
      <c r="R70" s="89">
        <f t="shared" ref="R70:R80" si="44">IF(ISERROR((($E70-$D70)/ABS($D70)+1)*100),0,(($E70-$D70)/ABS($D70)+1)*100)</f>
        <v>143.2615978282289</v>
      </c>
      <c r="S70" s="89">
        <f t="shared" ref="S70:S80" si="45">IF(ISERROR((($E70-$BG70)/ABS($BG70)+1)*100),0,(($E70-$BG70)/ABS($BG70)+1)*100)</f>
        <v>539.85624906484315</v>
      </c>
      <c r="T70" s="89">
        <f t="shared" ref="T70:T80" si="46">IF(ISERROR((($P70-$BG70)/ABS($BG70)+1)*100),0,(($P70-$BG70)/ABS($BG70)+1)*100)</f>
        <v>916.68874098785795</v>
      </c>
      <c r="U70" s="96">
        <f>(+'[24]PF resc'!D75)*1000</f>
        <v>40424.084249975109</v>
      </c>
      <c r="V70" s="90">
        <f t="shared" ref="V70:V80" si="47">IF(ISERROR((($E70-$U70)/ABS($U70)+1)*100),0,(($E70-$U70)/ABS($U70)+1)*100)</f>
        <v>96.39560356898869</v>
      </c>
      <c r="W70" s="3"/>
      <c r="X70" s="91">
        <f t="shared" ref="X70:Y79" si="48">D70*X$201</f>
        <v>24288.96570794857</v>
      </c>
      <c r="Y70" s="96">
        <f t="shared" si="48"/>
        <v>35027.668894416478</v>
      </c>
      <c r="Z70" s="96"/>
      <c r="AA70" s="96"/>
      <c r="AB70" s="96"/>
      <c r="AC70" s="96"/>
      <c r="AD70" s="96"/>
      <c r="AE70" s="96"/>
      <c r="AF70" s="96"/>
      <c r="AG70" s="96"/>
      <c r="AH70" s="96"/>
      <c r="AI70" s="102"/>
      <c r="AJ70" s="103">
        <f t="shared" ref="AJ70:AJ80" si="49">SUM(X70:AI70)</f>
        <v>59316.634602365048</v>
      </c>
      <c r="AK70" s="88">
        <f t="shared" ref="AK70:AK80" si="50">IF(ISERROR((($Y70-$X70)/ABS($X70)+1)*100),0,(($Y70-$X70)/ABS($X70)+1)*100)</f>
        <v>144.21227036009057</v>
      </c>
      <c r="AL70" s="96">
        <f>(+'[24]PF resc'!R75)*1000</f>
        <v>36725.280541102387</v>
      </c>
      <c r="AM70" s="90">
        <f t="shared" ref="AM70:AM80" si="51">IF(ISERROR((($Y70-$AL70)/ABS($AL70)+1)*100),0,(($Y70-$AL70)/ABS($AL70)+1)*100)</f>
        <v>95.377539336191134</v>
      </c>
      <c r="AN70" s="3"/>
      <c r="AO70" s="91">
        <f t="shared" ref="AO70:AP79" si="52">D70*AO$201</f>
        <v>2910.9542920514291</v>
      </c>
      <c r="AP70" s="96">
        <f t="shared" si="52"/>
        <v>3939.3711055835242</v>
      </c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102">
        <f t="shared" ref="BA70:BA80" si="53">SUM(AO70:AZ70)</f>
        <v>6850.3253976349533</v>
      </c>
      <c r="BB70" s="89">
        <f t="shared" ref="BB70:BB80" si="54">IF(ISERROR((($AP70-$AO70)/ABS($AO70)+1)*100),0,(($AP70-$AO70)/ABS($AO70)+1)*100)</f>
        <v>135.32919827495272</v>
      </c>
      <c r="BC70" s="96">
        <f>(+'[24]PF resc'!AF75)*1000</f>
        <v>3698.8037088727224</v>
      </c>
      <c r="BD70" s="90">
        <f t="shared" ref="BD70:BD80" si="55">IF(ISERROR((($AP70-$BC70)/ABS($BC70)+1)*100),0,(($AP70-$BC70)/ABS($BC70)+1)*100)</f>
        <v>106.50392439408792</v>
      </c>
      <c r="BF70" s="91">
        <v>130555.74</v>
      </c>
      <c r="BG70" s="102">
        <v>7218.04</v>
      </c>
      <c r="BH70" s="102">
        <v>222.59</v>
      </c>
      <c r="BI70" s="102">
        <v>28324.554444444446</v>
      </c>
      <c r="BJ70" s="102">
        <v>20257.64</v>
      </c>
      <c r="BK70" s="102">
        <v>14715.19</v>
      </c>
      <c r="BL70" s="102">
        <v>21319.1</v>
      </c>
      <c r="BM70" s="102">
        <v>21955.91</v>
      </c>
      <c r="BN70" s="102">
        <v>76879.759999999995</v>
      </c>
      <c r="BO70" s="102">
        <v>28336.19</v>
      </c>
      <c r="BP70" s="102">
        <v>49159.25</v>
      </c>
      <c r="BQ70" s="102">
        <v>43257.83</v>
      </c>
      <c r="BR70" s="102">
        <v>10</v>
      </c>
      <c r="BS70" s="94">
        <f t="shared" ref="BS70:BS80" si="56">SUM(BF70:BG70)</f>
        <v>137773.78</v>
      </c>
      <c r="BU70" s="83">
        <v>122795.88944620303</v>
      </c>
      <c r="BV70" s="96">
        <v>6797.5389592645815</v>
      </c>
      <c r="BW70" s="96">
        <v>209.55649690490904</v>
      </c>
      <c r="BX70" s="96">
        <v>26668.927814586623</v>
      </c>
      <c r="BY70" s="96">
        <v>19113.143813605475</v>
      </c>
      <c r="BZ70" s="96">
        <v>13571.271631502334</v>
      </c>
      <c r="CA70" s="96">
        <v>19583.930495098579</v>
      </c>
      <c r="CB70" s="96">
        <v>20191.013441037092</v>
      </c>
      <c r="CC70" s="96">
        <v>69954.727064638981</v>
      </c>
      <c r="CD70" s="96">
        <v>25523.215746513404</v>
      </c>
      <c r="CE70" s="96">
        <v>43941.538459936695</v>
      </c>
      <c r="CF70" s="102">
        <v>38235.636511547833</v>
      </c>
      <c r="CG70" s="96">
        <v>8.8145428411371771</v>
      </c>
      <c r="CH70" s="105">
        <v>406595.20442368067</v>
      </c>
      <c r="CJ70" s="83">
        <v>7759.8505537969668</v>
      </c>
      <c r="CK70" s="96">
        <v>420.50104073541792</v>
      </c>
      <c r="CL70" s="96">
        <v>13.033503095090962</v>
      </c>
      <c r="CM70" s="96">
        <v>1655.6266298578232</v>
      </c>
      <c r="CN70" s="96">
        <v>1144.4961863945232</v>
      </c>
      <c r="CO70" s="96">
        <v>1143.9183684976688</v>
      </c>
      <c r="CP70" s="96">
        <v>1735.1695049014195</v>
      </c>
      <c r="CQ70" s="96">
        <v>1764.8965589629081</v>
      </c>
      <c r="CR70" s="96">
        <v>6925.0329353610123</v>
      </c>
      <c r="CS70" s="96">
        <v>2812.9742534865927</v>
      </c>
      <c r="CT70" s="96">
        <v>5217.7115400633038</v>
      </c>
      <c r="CU70" s="96">
        <v>5022.1934884521725</v>
      </c>
      <c r="CV70" s="96">
        <v>1.1854571588628227</v>
      </c>
      <c r="CW70" s="106">
        <v>35616.590020763761</v>
      </c>
      <c r="CY70" s="91">
        <v>0</v>
      </c>
      <c r="CZ70" s="102">
        <v>1157.4000000000001</v>
      </c>
      <c r="DA70" s="102">
        <v>837.14</v>
      </c>
      <c r="DB70" s="102">
        <v>10759.03</v>
      </c>
      <c r="DC70" s="102">
        <v>8304.66</v>
      </c>
      <c r="DD70" s="102">
        <v>16472.7</v>
      </c>
      <c r="DE70" s="102">
        <v>15845.35</v>
      </c>
      <c r="DF70" s="102">
        <v>12486.27</v>
      </c>
      <c r="DG70" s="102">
        <v>14828.36</v>
      </c>
      <c r="DH70" s="102">
        <v>7738.94</v>
      </c>
      <c r="DI70" s="102">
        <v>15831.78</v>
      </c>
      <c r="DJ70" s="102">
        <v>18240.41</v>
      </c>
      <c r="DK70" s="94">
        <f t="shared" ref="DK70:DK80" si="57">SUM(CY70:DJ70)</f>
        <v>122502.04000000001</v>
      </c>
    </row>
    <row r="71" spans="1:115" ht="14.45" customHeight="1" outlineLevel="1">
      <c r="A71" s="12"/>
      <c r="B71" s="13" t="s">
        <v>94</v>
      </c>
      <c r="C71" s="14"/>
      <c r="D71" s="91">
        <f>[24]Mar!Q98</f>
        <v>173568.53</v>
      </c>
      <c r="E71" s="96">
        <f>[24]Apr!N98</f>
        <v>26410.3</v>
      </c>
      <c r="F71" s="96"/>
      <c r="G71" s="96"/>
      <c r="H71" s="102"/>
      <c r="I71" s="102"/>
      <c r="J71" s="102"/>
      <c r="K71" s="96"/>
      <c r="L71" s="96"/>
      <c r="M71" s="96"/>
      <c r="N71" s="96"/>
      <c r="O71" s="96"/>
      <c r="P71" s="100">
        <f t="shared" si="42"/>
        <v>199978.83</v>
      </c>
      <c r="Q71" s="101">
        <f t="shared" si="43"/>
        <v>73656.86</v>
      </c>
      <c r="R71" s="89">
        <f t="shared" si="44"/>
        <v>15.216064801608898</v>
      </c>
      <c r="S71" s="89">
        <f t="shared" si="45"/>
        <v>1112.4013865898396</v>
      </c>
      <c r="T71" s="89">
        <f t="shared" si="46"/>
        <v>8423.1049166656121</v>
      </c>
      <c r="U71" s="96">
        <f>(+'[24]PF resc'!D76)*1000</f>
        <v>25774.959492666974</v>
      </c>
      <c r="V71" s="90">
        <f t="shared" si="47"/>
        <v>102.46495249590511</v>
      </c>
      <c r="W71" s="3"/>
      <c r="X71" s="91">
        <f t="shared" si="48"/>
        <v>154993.10561020189</v>
      </c>
      <c r="Y71" s="96">
        <f t="shared" si="48"/>
        <v>23740.351943647951</v>
      </c>
      <c r="Z71" s="96"/>
      <c r="AA71" s="96"/>
      <c r="AB71" s="96"/>
      <c r="AC71" s="96"/>
      <c r="AD71" s="96"/>
      <c r="AE71" s="96"/>
      <c r="AF71" s="96"/>
      <c r="AG71" s="96"/>
      <c r="AH71" s="96"/>
      <c r="AI71" s="102"/>
      <c r="AJ71" s="103">
        <f t="shared" si="49"/>
        <v>178733.45755384985</v>
      </c>
      <c r="AK71" s="88">
        <f t="shared" si="50"/>
        <v>15.317037393491217</v>
      </c>
      <c r="AL71" s="96">
        <f>(+'[24]PF resc'!R76)*1000</f>
        <v>23416.550699087944</v>
      </c>
      <c r="AM71" s="90">
        <f t="shared" si="51"/>
        <v>101.38278796361165</v>
      </c>
      <c r="AN71" s="3"/>
      <c r="AO71" s="91">
        <f t="shared" si="52"/>
        <v>18575.424389798103</v>
      </c>
      <c r="AP71" s="96">
        <f t="shared" si="52"/>
        <v>2669.9480563520488</v>
      </c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102">
        <f t="shared" si="53"/>
        <v>21245.372446150152</v>
      </c>
      <c r="BB71" s="89">
        <f t="shared" si="54"/>
        <v>14.373550775068288</v>
      </c>
      <c r="BC71" s="96">
        <f>(+'[24]PF resc'!AF76)*1000</f>
        <v>2358.408793579028</v>
      </c>
      <c r="BD71" s="90">
        <f t="shared" si="55"/>
        <v>113.20972274277527</v>
      </c>
      <c r="BF71" s="91">
        <v>71282.69</v>
      </c>
      <c r="BG71" s="102">
        <v>2374.17</v>
      </c>
      <c r="BH71" s="102">
        <v>34498.89</v>
      </c>
      <c r="BI71" s="102">
        <v>10929.64</v>
      </c>
      <c r="BJ71" s="102">
        <v>13784.13</v>
      </c>
      <c r="BK71" s="102">
        <v>14530.03</v>
      </c>
      <c r="BL71" s="102">
        <v>19046.759999999998</v>
      </c>
      <c r="BM71" s="102">
        <v>17621</v>
      </c>
      <c r="BN71" s="102">
        <v>18217.8</v>
      </c>
      <c r="BO71" s="102">
        <v>16480.93</v>
      </c>
      <c r="BP71" s="102">
        <v>24630.45</v>
      </c>
      <c r="BQ71" s="102">
        <v>9603.6299999999992</v>
      </c>
      <c r="BR71" s="102">
        <v>0</v>
      </c>
      <c r="BS71" s="94">
        <f t="shared" si="56"/>
        <v>73656.86</v>
      </c>
      <c r="BU71" s="83">
        <v>67045.855821183824</v>
      </c>
      <c r="BV71" s="96">
        <v>2235.8580820994607</v>
      </c>
      <c r="BW71" s="96">
        <v>32478.846918135572</v>
      </c>
      <c r="BX71" s="96">
        <v>10290.780770131038</v>
      </c>
      <c r="BY71" s="96">
        <v>13005.367803724108</v>
      </c>
      <c r="BZ71" s="96">
        <v>13400.505460267781</v>
      </c>
      <c r="CA71" s="96">
        <v>17496.53709569465</v>
      </c>
      <c r="CB71" s="96">
        <v>16204.559403118095</v>
      </c>
      <c r="CC71" s="96">
        <v>16576.81068096701</v>
      </c>
      <c r="CD71" s="96">
        <v>14844.844423092351</v>
      </c>
      <c r="CE71" s="96">
        <v>22016.199717460047</v>
      </c>
      <c r="CF71" s="102">
        <v>8488.6575649170572</v>
      </c>
      <c r="CG71" s="96">
        <v>0</v>
      </c>
      <c r="CH71" s="105">
        <v>234084.82374079098</v>
      </c>
      <c r="CJ71" s="83">
        <v>4236.8341788161706</v>
      </c>
      <c r="CK71" s="96">
        <v>138.3119179005391</v>
      </c>
      <c r="CL71" s="96">
        <v>2020.0430818644263</v>
      </c>
      <c r="CM71" s="96">
        <v>638.85922986896185</v>
      </c>
      <c r="CN71" s="96">
        <v>778.76219627589091</v>
      </c>
      <c r="CO71" s="96">
        <v>1129.524539732221</v>
      </c>
      <c r="CP71" s="96">
        <v>1550.2229043053487</v>
      </c>
      <c r="CQ71" s="96">
        <v>1416.4405968819058</v>
      </c>
      <c r="CR71" s="96">
        <v>1640.9893190329919</v>
      </c>
      <c r="CS71" s="96">
        <v>1636.0855769076504</v>
      </c>
      <c r="CT71" s="96">
        <v>2614.2502825399533</v>
      </c>
      <c r="CU71" s="96">
        <v>1114.9724350829417</v>
      </c>
      <c r="CV71" s="96">
        <v>0</v>
      </c>
      <c r="CW71" s="106">
        <v>18915.296259209001</v>
      </c>
      <c r="CY71" s="91">
        <v>0</v>
      </c>
      <c r="CZ71" s="102">
        <v>0</v>
      </c>
      <c r="DA71" s="102">
        <v>5327</v>
      </c>
      <c r="DB71" s="102">
        <v>0</v>
      </c>
      <c r="DC71" s="102">
        <v>0</v>
      </c>
      <c r="DD71" s="102">
        <v>919.85</v>
      </c>
      <c r="DE71" s="102">
        <v>0</v>
      </c>
      <c r="DF71" s="102">
        <v>0</v>
      </c>
      <c r="DG71" s="102">
        <v>0</v>
      </c>
      <c r="DH71" s="102">
        <v>19911.66</v>
      </c>
      <c r="DI71" s="102">
        <v>0</v>
      </c>
      <c r="DJ71" s="102">
        <v>1870.84</v>
      </c>
      <c r="DK71" s="94">
        <f t="shared" si="57"/>
        <v>28029.350000000002</v>
      </c>
    </row>
    <row r="72" spans="1:115" ht="14.45" customHeight="1" outlineLevel="1">
      <c r="A72" s="12"/>
      <c r="B72" s="13" t="s">
        <v>95</v>
      </c>
      <c r="C72" s="14"/>
      <c r="D72" s="91">
        <f>SUM([24]Mar!Q99:Q100)</f>
        <v>0</v>
      </c>
      <c r="E72" s="96">
        <f>SUM([24]Apr!N99:N100)</f>
        <v>0</v>
      </c>
      <c r="F72" s="96"/>
      <c r="G72" s="96"/>
      <c r="H72" s="102"/>
      <c r="I72" s="102"/>
      <c r="J72" s="102"/>
      <c r="K72" s="96"/>
      <c r="L72" s="96"/>
      <c r="M72" s="96"/>
      <c r="N72" s="96"/>
      <c r="O72" s="96"/>
      <c r="P72" s="100">
        <f t="shared" si="42"/>
        <v>0</v>
      </c>
      <c r="Q72" s="101">
        <f t="shared" si="43"/>
        <v>0</v>
      </c>
      <c r="R72" s="89">
        <f t="shared" si="44"/>
        <v>0</v>
      </c>
      <c r="S72" s="89">
        <f t="shared" si="45"/>
        <v>0</v>
      </c>
      <c r="T72" s="89">
        <f t="shared" si="46"/>
        <v>0</v>
      </c>
      <c r="U72" s="96">
        <f>(+'[24]PF resc'!D77)*1000</f>
        <v>77.573427314563361</v>
      </c>
      <c r="V72" s="90">
        <f t="shared" si="47"/>
        <v>0</v>
      </c>
      <c r="W72" s="3"/>
      <c r="X72" s="91">
        <f t="shared" si="48"/>
        <v>0</v>
      </c>
      <c r="Y72" s="96">
        <f t="shared" si="48"/>
        <v>0</v>
      </c>
      <c r="Z72" s="96"/>
      <c r="AA72" s="96"/>
      <c r="AB72" s="96"/>
      <c r="AC72" s="96"/>
      <c r="AD72" s="96"/>
      <c r="AE72" s="96"/>
      <c r="AF72" s="96"/>
      <c r="AG72" s="96"/>
      <c r="AH72" s="96"/>
      <c r="AI72" s="102"/>
      <c r="AJ72" s="103">
        <f t="shared" si="49"/>
        <v>0</v>
      </c>
      <c r="AK72" s="88">
        <f t="shared" si="50"/>
        <v>0</v>
      </c>
      <c r="AL72" s="96">
        <f>(+'[24]PF resc'!R77)*1000</f>
        <v>70.475458715280809</v>
      </c>
      <c r="AM72" s="90">
        <f t="shared" si="51"/>
        <v>0</v>
      </c>
      <c r="AN72" s="3"/>
      <c r="AO72" s="91">
        <f t="shared" si="52"/>
        <v>0</v>
      </c>
      <c r="AP72" s="96">
        <f t="shared" si="52"/>
        <v>0</v>
      </c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102">
        <f t="shared" si="53"/>
        <v>0</v>
      </c>
      <c r="BB72" s="89">
        <f t="shared" si="54"/>
        <v>0</v>
      </c>
      <c r="BC72" s="96">
        <f>(+'[24]PF resc'!AF77)*1000</f>
        <v>7.0979685992825479</v>
      </c>
      <c r="BD72" s="90">
        <f t="shared" si="55"/>
        <v>0</v>
      </c>
      <c r="BF72" s="91">
        <v>0</v>
      </c>
      <c r="BG72" s="102">
        <v>0</v>
      </c>
      <c r="BH72" s="102">
        <v>0</v>
      </c>
      <c r="BI72" s="102">
        <v>0</v>
      </c>
      <c r="BJ72" s="102">
        <v>0</v>
      </c>
      <c r="BK72" s="102">
        <v>0</v>
      </c>
      <c r="BL72" s="102">
        <v>0</v>
      </c>
      <c r="BM72" s="102">
        <v>0</v>
      </c>
      <c r="BN72" s="102">
        <v>0</v>
      </c>
      <c r="BO72" s="102">
        <v>765</v>
      </c>
      <c r="BP72" s="102">
        <v>0</v>
      </c>
      <c r="BQ72" s="102">
        <v>0</v>
      </c>
      <c r="BR72" s="102">
        <v>0</v>
      </c>
      <c r="BS72" s="94">
        <f t="shared" si="56"/>
        <v>0</v>
      </c>
      <c r="BU72" s="83">
        <v>0</v>
      </c>
      <c r="BV72" s="96">
        <v>0</v>
      </c>
      <c r="BW72" s="96">
        <v>0</v>
      </c>
      <c r="BX72" s="96">
        <v>0</v>
      </c>
      <c r="BY72" s="96">
        <v>0</v>
      </c>
      <c r="BZ72" s="96">
        <v>0</v>
      </c>
      <c r="CA72" s="96">
        <v>0</v>
      </c>
      <c r="CB72" s="96">
        <v>0</v>
      </c>
      <c r="CC72" s="96">
        <v>0</v>
      </c>
      <c r="CD72" s="96">
        <v>689.05735196167007</v>
      </c>
      <c r="CE72" s="96">
        <v>0</v>
      </c>
      <c r="CF72" s="102">
        <v>0</v>
      </c>
      <c r="CG72" s="96">
        <v>0</v>
      </c>
      <c r="CH72" s="105">
        <v>689.05735196167007</v>
      </c>
      <c r="CJ72" s="83">
        <v>0</v>
      </c>
      <c r="CK72" s="96">
        <v>0</v>
      </c>
      <c r="CL72" s="96">
        <v>0</v>
      </c>
      <c r="CM72" s="96">
        <v>0</v>
      </c>
      <c r="CN72" s="96">
        <v>0</v>
      </c>
      <c r="CO72" s="96">
        <v>0</v>
      </c>
      <c r="CP72" s="96">
        <v>0</v>
      </c>
      <c r="CQ72" s="96">
        <v>0</v>
      </c>
      <c r="CR72" s="96">
        <v>0</v>
      </c>
      <c r="CS72" s="96">
        <v>75.942648038329907</v>
      </c>
      <c r="CT72" s="96">
        <v>0</v>
      </c>
      <c r="CU72" s="96">
        <v>0</v>
      </c>
      <c r="CV72" s="96">
        <v>0</v>
      </c>
      <c r="CW72" s="106">
        <v>75.942648038329907</v>
      </c>
      <c r="CY72" s="91">
        <v>0</v>
      </c>
      <c r="CZ72" s="102">
        <v>0</v>
      </c>
      <c r="DA72" s="102">
        <v>0</v>
      </c>
      <c r="DB72" s="102">
        <v>0</v>
      </c>
      <c r="DC72" s="102">
        <v>0</v>
      </c>
      <c r="DD72" s="102">
        <v>0</v>
      </c>
      <c r="DE72" s="102">
        <v>0</v>
      </c>
      <c r="DF72" s="102">
        <v>0</v>
      </c>
      <c r="DG72" s="102">
        <v>0</v>
      </c>
      <c r="DH72" s="102">
        <v>0</v>
      </c>
      <c r="DI72" s="102">
        <v>0</v>
      </c>
      <c r="DJ72" s="102">
        <v>0</v>
      </c>
      <c r="DK72" s="94">
        <f t="shared" si="57"/>
        <v>0</v>
      </c>
    </row>
    <row r="73" spans="1:115" ht="14.45" customHeight="1" outlineLevel="1">
      <c r="A73" s="12"/>
      <c r="B73" s="13" t="s">
        <v>96</v>
      </c>
      <c r="C73" s="14"/>
      <c r="D73" s="91">
        <f>[24]Mar!Q102</f>
        <v>64236.37</v>
      </c>
      <c r="E73" s="96">
        <f>[24]Apr!N102</f>
        <v>78886.7</v>
      </c>
      <c r="F73" s="96"/>
      <c r="G73" s="96"/>
      <c r="H73" s="102"/>
      <c r="I73" s="102"/>
      <c r="J73" s="102"/>
      <c r="K73" s="96"/>
      <c r="L73" s="96"/>
      <c r="M73" s="96"/>
      <c r="N73" s="96"/>
      <c r="O73" s="96"/>
      <c r="P73" s="100">
        <f t="shared" si="42"/>
        <v>143123.07</v>
      </c>
      <c r="Q73" s="101">
        <f t="shared" si="43"/>
        <v>162014.41999999998</v>
      </c>
      <c r="R73" s="89">
        <f t="shared" si="44"/>
        <v>122.80690829821172</v>
      </c>
      <c r="S73" s="89">
        <f t="shared" si="45"/>
        <v>92.454802899187001</v>
      </c>
      <c r="T73" s="89">
        <f t="shared" si="46"/>
        <v>167.73949508822835</v>
      </c>
      <c r="U73" s="96">
        <f>(+'[24]PF resc'!D78)*1000</f>
        <v>80972.707293952612</v>
      </c>
      <c r="V73" s="90">
        <f t="shared" si="47"/>
        <v>97.423814315137264</v>
      </c>
      <c r="W73" s="3"/>
      <c r="X73" s="91">
        <f t="shared" si="48"/>
        <v>57361.749157096652</v>
      </c>
      <c r="Y73" s="96">
        <f t="shared" si="48"/>
        <v>70911.652714015843</v>
      </c>
      <c r="Z73" s="96"/>
      <c r="AA73" s="96"/>
      <c r="AB73" s="96"/>
      <c r="AC73" s="96"/>
      <c r="AD73" s="96"/>
      <c r="AE73" s="96"/>
      <c r="AF73" s="96"/>
      <c r="AG73" s="96"/>
      <c r="AH73" s="96"/>
      <c r="AI73" s="102"/>
      <c r="AJ73" s="103">
        <f t="shared" si="49"/>
        <v>128273.4018711125</v>
      </c>
      <c r="AK73" s="88">
        <f t="shared" si="50"/>
        <v>123.6218451425009</v>
      </c>
      <c r="AL73" s="96">
        <f>(+'[24]PF resc'!R78)*1000</f>
        <v>73563.704576555945</v>
      </c>
      <c r="AM73" s="90">
        <f t="shared" si="51"/>
        <v>96.394890825841742</v>
      </c>
      <c r="AN73" s="3"/>
      <c r="AO73" s="91">
        <f t="shared" si="52"/>
        <v>6874.6208429033495</v>
      </c>
      <c r="AP73" s="96">
        <f t="shared" si="52"/>
        <v>7975.0472859841493</v>
      </c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102">
        <f t="shared" si="53"/>
        <v>14849.668128887499</v>
      </c>
      <c r="BB73" s="89">
        <f t="shared" si="54"/>
        <v>116.00708560119016</v>
      </c>
      <c r="BC73" s="96">
        <f>(+'[24]PF resc'!AF78)*1000</f>
        <v>7409.0027173966637</v>
      </c>
      <c r="BD73" s="90">
        <f t="shared" si="55"/>
        <v>107.63995628262342</v>
      </c>
      <c r="BF73" s="91">
        <v>76689.81</v>
      </c>
      <c r="BG73" s="102">
        <v>85324.61</v>
      </c>
      <c r="BH73" s="102">
        <v>94154.41</v>
      </c>
      <c r="BI73" s="102">
        <v>76630.200000000012</v>
      </c>
      <c r="BJ73" s="102">
        <v>87520.99</v>
      </c>
      <c r="BK73" s="102">
        <v>84819.94</v>
      </c>
      <c r="BL73" s="102">
        <v>80301.240000000005</v>
      </c>
      <c r="BM73" s="102">
        <v>87014.48</v>
      </c>
      <c r="BN73" s="102">
        <v>75335.38</v>
      </c>
      <c r="BO73" s="102">
        <v>73916.429999999993</v>
      </c>
      <c r="BP73" s="102">
        <v>75193.78</v>
      </c>
      <c r="BQ73" s="102">
        <v>77497.3</v>
      </c>
      <c r="BR73" s="102">
        <v>0</v>
      </c>
      <c r="BS73" s="94">
        <f t="shared" si="56"/>
        <v>162014.41999999998</v>
      </c>
      <c r="BU73" s="83">
        <v>72131.592455531369</v>
      </c>
      <c r="BV73" s="96">
        <v>80353.857925289456</v>
      </c>
      <c r="BW73" s="96">
        <v>88641.306113250976</v>
      </c>
      <c r="BX73" s="96">
        <v>72151.012162458748</v>
      </c>
      <c r="BY73" s="96">
        <v>82576.315334813276</v>
      </c>
      <c r="BZ73" s="96">
        <v>78226.271322879969</v>
      </c>
      <c r="CA73" s="96">
        <v>73765.492109433806</v>
      </c>
      <c r="CB73" s="96">
        <v>80019.937012169088</v>
      </c>
      <c r="CC73" s="96">
        <v>68549.458872021234</v>
      </c>
      <c r="CD73" s="96">
        <v>66578.639898379275</v>
      </c>
      <c r="CE73" s="96">
        <v>67212.79059013346</v>
      </c>
      <c r="CF73" s="102">
        <v>68499.936160144323</v>
      </c>
      <c r="CG73" s="96">
        <v>0</v>
      </c>
      <c r="CH73" s="105">
        <v>898706.60995650489</v>
      </c>
      <c r="CJ73" s="83">
        <v>4558.2175444686245</v>
      </c>
      <c r="CK73" s="96">
        <v>4970.7520747105373</v>
      </c>
      <c r="CL73" s="96">
        <v>5513.1038867490161</v>
      </c>
      <c r="CM73" s="96">
        <v>4479.1878375412662</v>
      </c>
      <c r="CN73" s="96">
        <v>4944.6746651867252</v>
      </c>
      <c r="CO73" s="96">
        <v>6593.6686771200475</v>
      </c>
      <c r="CP73" s="96">
        <v>6535.7478905662101</v>
      </c>
      <c r="CQ73" s="96">
        <v>6994.5429878309196</v>
      </c>
      <c r="CR73" s="96">
        <v>6785.9211279787733</v>
      </c>
      <c r="CS73" s="96">
        <v>7337.7901016207179</v>
      </c>
      <c r="CT73" s="96">
        <v>7980.98940986653</v>
      </c>
      <c r="CU73" s="96">
        <v>8997.3638398556868</v>
      </c>
      <c r="CV73" s="96">
        <v>0</v>
      </c>
      <c r="CW73" s="106">
        <v>75691.960043495055</v>
      </c>
      <c r="CY73" s="91">
        <v>103671.61</v>
      </c>
      <c r="CZ73" s="102">
        <v>110077.23</v>
      </c>
      <c r="DA73" s="102">
        <v>122459.44</v>
      </c>
      <c r="DB73" s="102">
        <v>119535.42</v>
      </c>
      <c r="DC73" s="102">
        <v>92248.320000000007</v>
      </c>
      <c r="DD73" s="102">
        <v>110917.77</v>
      </c>
      <c r="DE73" s="102">
        <v>64826.81</v>
      </c>
      <c r="DF73" s="102">
        <v>74496.81</v>
      </c>
      <c r="DG73" s="102">
        <v>71921.78</v>
      </c>
      <c r="DH73" s="102">
        <v>104113.05</v>
      </c>
      <c r="DI73" s="102">
        <v>66047.89</v>
      </c>
      <c r="DJ73" s="102">
        <v>68230.789999999994</v>
      </c>
      <c r="DK73" s="94">
        <f t="shared" si="57"/>
        <v>1108546.9200000002</v>
      </c>
    </row>
    <row r="74" spans="1:115" ht="14.45" customHeight="1" outlineLevel="1">
      <c r="A74" s="12"/>
      <c r="B74" s="13" t="s">
        <v>97</v>
      </c>
      <c r="C74" s="14"/>
      <c r="D74" s="91">
        <f>SUM([24]Mar!Q104:'[24]Mar'!Q103)</f>
        <v>20778.189999999999</v>
      </c>
      <c r="E74" s="96">
        <f>SUM([24]Apr!N104:'[24]Apr'!N103)</f>
        <v>72445.41</v>
      </c>
      <c r="F74" s="96"/>
      <c r="G74" s="96"/>
      <c r="H74" s="102"/>
      <c r="I74" s="102"/>
      <c r="J74" s="102"/>
      <c r="K74" s="96"/>
      <c r="L74" s="96"/>
      <c r="M74" s="96"/>
      <c r="N74" s="96"/>
      <c r="O74" s="96"/>
      <c r="P74" s="100">
        <f t="shared" si="42"/>
        <v>93223.6</v>
      </c>
      <c r="Q74" s="101">
        <f t="shared" si="43"/>
        <v>67781.97</v>
      </c>
      <c r="R74" s="89">
        <f t="shared" si="44"/>
        <v>348.66083138136673</v>
      </c>
      <c r="S74" s="89">
        <f t="shared" si="45"/>
        <v>121.32767514746978</v>
      </c>
      <c r="T74" s="89">
        <f t="shared" si="46"/>
        <v>156.12586990504525</v>
      </c>
      <c r="U74" s="96">
        <f>(+'[24]PF resc'!D79)*1000</f>
        <v>19917.691229292457</v>
      </c>
      <c r="V74" s="90">
        <f t="shared" si="47"/>
        <v>363.72393349213252</v>
      </c>
      <c r="W74" s="3"/>
      <c r="X74" s="91">
        <f t="shared" si="48"/>
        <v>18554.493703777065</v>
      </c>
      <c r="Y74" s="96">
        <f t="shared" si="48"/>
        <v>65121.544628492396</v>
      </c>
      <c r="Z74" s="96"/>
      <c r="AA74" s="96"/>
      <c r="AB74" s="96"/>
      <c r="AC74" s="96"/>
      <c r="AD74" s="96"/>
      <c r="AE74" s="96"/>
      <c r="AF74" s="96"/>
      <c r="AG74" s="96"/>
      <c r="AH74" s="96"/>
      <c r="AI74" s="102"/>
      <c r="AJ74" s="103">
        <f t="shared" si="49"/>
        <v>83676.038332269469</v>
      </c>
      <c r="AK74" s="88">
        <f t="shared" si="50"/>
        <v>350.97451683758885</v>
      </c>
      <c r="AL74" s="96">
        <f>(+'[24]PF resc'!R79)*1000</f>
        <v>18095.222481812198</v>
      </c>
      <c r="AM74" s="90">
        <f t="shared" si="51"/>
        <v>359.88253083899423</v>
      </c>
      <c r="AN74" s="3"/>
      <c r="AO74" s="91">
        <f t="shared" si="52"/>
        <v>2223.6962962229331</v>
      </c>
      <c r="AP74" s="96">
        <f t="shared" si="52"/>
        <v>7323.8653715076052</v>
      </c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102">
        <f t="shared" si="53"/>
        <v>9547.5616677305388</v>
      </c>
      <c r="BB74" s="89">
        <f t="shared" si="54"/>
        <v>329.35546926743461</v>
      </c>
      <c r="BC74" s="96">
        <f>(+'[24]PF resc'!AF79)*1000</f>
        <v>1822.4687474802599</v>
      </c>
      <c r="BD74" s="90">
        <f t="shared" si="55"/>
        <v>401.86507349624299</v>
      </c>
      <c r="BF74" s="91">
        <v>8071.43</v>
      </c>
      <c r="BG74" s="102">
        <v>59710.54</v>
      </c>
      <c r="BH74" s="102">
        <v>14408.49</v>
      </c>
      <c r="BI74" s="102">
        <v>3461.61</v>
      </c>
      <c r="BJ74" s="102">
        <v>13496.54</v>
      </c>
      <c r="BK74" s="102">
        <v>14316.68</v>
      </c>
      <c r="BL74" s="102">
        <v>5841.06</v>
      </c>
      <c r="BM74" s="102">
        <v>45491.73</v>
      </c>
      <c r="BN74" s="102">
        <v>45750.7</v>
      </c>
      <c r="BO74" s="102">
        <v>6512.38</v>
      </c>
      <c r="BP74" s="102">
        <v>3957.46</v>
      </c>
      <c r="BQ74" s="102">
        <v>36417.870000000003</v>
      </c>
      <c r="BR74" s="102">
        <v>0</v>
      </c>
      <c r="BS74" s="94">
        <f t="shared" si="56"/>
        <v>67781.97</v>
      </c>
      <c r="BU74" s="83">
        <v>7591.6878564877079</v>
      </c>
      <c r="BV74" s="96">
        <v>56231.985681532125</v>
      </c>
      <c r="BW74" s="96">
        <v>13564.81733271671</v>
      </c>
      <c r="BX74" s="96">
        <v>3259.2719999646192</v>
      </c>
      <c r="BY74" s="96">
        <v>12734.025780203365</v>
      </c>
      <c r="BZ74" s="96">
        <v>13203.740702043047</v>
      </c>
      <c r="CA74" s="96">
        <v>5365.6539468223582</v>
      </c>
      <c r="CB74" s="96">
        <v>41834.937922683712</v>
      </c>
      <c r="CC74" s="96">
        <v>41629.652999907637</v>
      </c>
      <c r="CD74" s="96">
        <v>5865.8866898929946</v>
      </c>
      <c r="CE74" s="96">
        <v>3537.419321768763</v>
      </c>
      <c r="CF74" s="102">
        <v>32189.789451870387</v>
      </c>
      <c r="CG74" s="96">
        <v>0</v>
      </c>
      <c r="CH74" s="105">
        <v>237008.86968589347</v>
      </c>
      <c r="CJ74" s="83">
        <v>479.74214351229176</v>
      </c>
      <c r="CK74" s="96">
        <v>3478.5543184678668</v>
      </c>
      <c r="CL74" s="96">
        <v>843.67266728328843</v>
      </c>
      <c r="CM74" s="96">
        <v>202.33800003538059</v>
      </c>
      <c r="CN74" s="96">
        <v>762.51421979663667</v>
      </c>
      <c r="CO74" s="96">
        <v>1112.939297956955</v>
      </c>
      <c r="CP74" s="96">
        <v>475.40605317764289</v>
      </c>
      <c r="CQ74" s="96">
        <v>3656.7920773162987</v>
      </c>
      <c r="CR74" s="96">
        <v>4121.047000092366</v>
      </c>
      <c r="CS74" s="96">
        <v>646.49331010700519</v>
      </c>
      <c r="CT74" s="96">
        <v>420.04067823123665</v>
      </c>
      <c r="CU74" s="96">
        <v>4228.0805481296156</v>
      </c>
      <c r="CV74" s="96">
        <v>0</v>
      </c>
      <c r="CW74" s="106">
        <v>20427.620314106585</v>
      </c>
      <c r="CY74" s="91">
        <v>312</v>
      </c>
      <c r="CZ74" s="102">
        <v>0</v>
      </c>
      <c r="DA74" s="102">
        <v>33523.339999999997</v>
      </c>
      <c r="DB74" s="102">
        <v>26</v>
      </c>
      <c r="DC74" s="102">
        <v>0</v>
      </c>
      <c r="DD74" s="102">
        <v>1557.53</v>
      </c>
      <c r="DE74" s="102">
        <v>0</v>
      </c>
      <c r="DF74" s="102">
        <v>4091.17</v>
      </c>
      <c r="DG74" s="102">
        <v>5216.59</v>
      </c>
      <c r="DH74" s="102">
        <v>2720.59</v>
      </c>
      <c r="DI74" s="102">
        <v>12310.22</v>
      </c>
      <c r="DJ74" s="102">
        <v>11716.67</v>
      </c>
      <c r="DK74" s="94">
        <f t="shared" si="57"/>
        <v>71474.109999999986</v>
      </c>
    </row>
    <row r="75" spans="1:115" ht="14.45" customHeight="1" outlineLevel="1">
      <c r="A75" s="12"/>
      <c r="B75" s="13" t="s">
        <v>98</v>
      </c>
      <c r="C75" s="14"/>
      <c r="D75" s="91">
        <f>[24]Mar!Q105+[24]Mar!Q106</f>
        <v>404.29</v>
      </c>
      <c r="E75" s="96">
        <f>[24]Apr!N105+[24]Apr!N106</f>
        <v>0</v>
      </c>
      <c r="F75" s="96"/>
      <c r="G75" s="96"/>
      <c r="H75" s="102"/>
      <c r="I75" s="102"/>
      <c r="J75" s="102"/>
      <c r="K75" s="96"/>
      <c r="L75" s="96"/>
      <c r="M75" s="96"/>
      <c r="N75" s="96"/>
      <c r="O75" s="96"/>
      <c r="P75" s="100">
        <f t="shared" si="42"/>
        <v>404.29</v>
      </c>
      <c r="Q75" s="101">
        <f t="shared" si="43"/>
        <v>0</v>
      </c>
      <c r="R75" s="89">
        <f t="shared" si="44"/>
        <v>0</v>
      </c>
      <c r="S75" s="89">
        <f t="shared" si="45"/>
        <v>0</v>
      </c>
      <c r="T75" s="89">
        <f t="shared" si="46"/>
        <v>0</v>
      </c>
      <c r="U75" s="96">
        <f>(+'[24]PF resc'!D80)*1000</f>
        <v>0</v>
      </c>
      <c r="V75" s="90">
        <f t="shared" si="47"/>
        <v>0</v>
      </c>
      <c r="W75" s="3"/>
      <c r="X75" s="91">
        <f t="shared" si="48"/>
        <v>361.02260396598695</v>
      </c>
      <c r="Y75" s="96">
        <f t="shared" si="48"/>
        <v>0</v>
      </c>
      <c r="Z75" s="96"/>
      <c r="AA75" s="96"/>
      <c r="AB75" s="96"/>
      <c r="AC75" s="96"/>
      <c r="AD75" s="96"/>
      <c r="AE75" s="96"/>
      <c r="AF75" s="96"/>
      <c r="AG75" s="96"/>
      <c r="AH75" s="96"/>
      <c r="AI75" s="102"/>
      <c r="AJ75" s="103">
        <f t="shared" si="49"/>
        <v>361.02260396598695</v>
      </c>
      <c r="AK75" s="88">
        <f t="shared" si="50"/>
        <v>0</v>
      </c>
      <c r="AL75" s="96">
        <f>(+'[24]PF resc'!R80)*1000</f>
        <v>0</v>
      </c>
      <c r="AM75" s="90">
        <f t="shared" si="51"/>
        <v>0</v>
      </c>
      <c r="AN75" s="3"/>
      <c r="AO75" s="91">
        <f t="shared" si="52"/>
        <v>43.267396034013053</v>
      </c>
      <c r="AP75" s="96">
        <f t="shared" si="52"/>
        <v>0</v>
      </c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102">
        <f t="shared" si="53"/>
        <v>43.267396034013053</v>
      </c>
      <c r="BB75" s="89">
        <f t="shared" si="54"/>
        <v>0</v>
      </c>
      <c r="BC75" s="96">
        <f>(+'[24]PF resc'!AF80)*1000</f>
        <v>0</v>
      </c>
      <c r="BD75" s="90">
        <f t="shared" si="55"/>
        <v>0</v>
      </c>
      <c r="BF75" s="91">
        <v>0</v>
      </c>
      <c r="BG75" s="102">
        <v>0</v>
      </c>
      <c r="BH75" s="102">
        <v>0</v>
      </c>
      <c r="BI75" s="102">
        <v>0</v>
      </c>
      <c r="BJ75" s="102">
        <v>1793.5</v>
      </c>
      <c r="BK75" s="102">
        <v>1426.69</v>
      </c>
      <c r="BL75" s="102">
        <v>1421.26</v>
      </c>
      <c r="BM75" s="102">
        <v>1419.07</v>
      </c>
      <c r="BN75" s="102">
        <v>1571.57</v>
      </c>
      <c r="BO75" s="102">
        <v>1324.36</v>
      </c>
      <c r="BP75" s="102">
        <v>1340.72</v>
      </c>
      <c r="BQ75" s="102">
        <v>1429.05</v>
      </c>
      <c r="BR75" s="102">
        <v>0</v>
      </c>
      <c r="BS75" s="94">
        <f t="shared" si="56"/>
        <v>0</v>
      </c>
      <c r="BU75" s="83">
        <v>0</v>
      </c>
      <c r="BV75" s="96">
        <v>0</v>
      </c>
      <c r="BW75" s="96">
        <v>0</v>
      </c>
      <c r="BX75" s="96">
        <v>0</v>
      </c>
      <c r="BY75" s="96">
        <v>1692.1726040003387</v>
      </c>
      <c r="BZ75" s="96">
        <v>1315.783046222853</v>
      </c>
      <c r="CA75" s="96">
        <v>1305.5831182115478</v>
      </c>
      <c r="CB75" s="96">
        <v>1304.999949615958</v>
      </c>
      <c r="CC75" s="96">
        <v>1430.0090220491675</v>
      </c>
      <c r="CD75" s="96">
        <v>1192.8888818875259</v>
      </c>
      <c r="CE75" s="96">
        <v>1198.4173770756536</v>
      </c>
      <c r="CF75" s="102">
        <v>1263.1386354060623</v>
      </c>
      <c r="CG75" s="96">
        <v>0</v>
      </c>
      <c r="CH75" s="105">
        <v>10702.992634469108</v>
      </c>
      <c r="CJ75" s="83">
        <v>0</v>
      </c>
      <c r="CK75" s="96">
        <v>0</v>
      </c>
      <c r="CL75" s="96">
        <v>0</v>
      </c>
      <c r="CM75" s="96">
        <v>0</v>
      </c>
      <c r="CN75" s="96">
        <v>101.32739599966123</v>
      </c>
      <c r="CO75" s="96">
        <v>110.90695377714721</v>
      </c>
      <c r="CP75" s="96">
        <v>115.67688178845222</v>
      </c>
      <c r="CQ75" s="96">
        <v>114.0700503840421</v>
      </c>
      <c r="CR75" s="96">
        <v>141.56097795083267</v>
      </c>
      <c r="CS75" s="96">
        <v>131.47111811247396</v>
      </c>
      <c r="CT75" s="96">
        <v>142.30262292434634</v>
      </c>
      <c r="CU75" s="96">
        <v>165.91136459393772</v>
      </c>
      <c r="CV75" s="96">
        <v>0</v>
      </c>
      <c r="CW75" s="106">
        <v>1023.2273655308935</v>
      </c>
      <c r="CY75" s="91">
        <v>0</v>
      </c>
      <c r="CZ75" s="102">
        <v>0</v>
      </c>
      <c r="DA75" s="102">
        <v>0</v>
      </c>
      <c r="DB75" s="102">
        <v>0</v>
      </c>
      <c r="DC75" s="102">
        <v>0</v>
      </c>
      <c r="DD75" s="102">
        <v>0</v>
      </c>
      <c r="DE75" s="102">
        <v>0</v>
      </c>
      <c r="DF75" s="102">
        <v>0</v>
      </c>
      <c r="DG75" s="102">
        <v>0</v>
      </c>
      <c r="DH75" s="102">
        <v>0</v>
      </c>
      <c r="DI75" s="102">
        <v>0</v>
      </c>
      <c r="DJ75" s="102">
        <v>0</v>
      </c>
      <c r="DK75" s="94">
        <f t="shared" si="57"/>
        <v>0</v>
      </c>
    </row>
    <row r="76" spans="1:115" ht="14.45" customHeight="1" outlineLevel="1">
      <c r="A76" s="12"/>
      <c r="B76" s="13" t="s">
        <v>99</v>
      </c>
      <c r="C76" s="14"/>
      <c r="D76" s="91">
        <f>[24]Mar!Q107+[24]Mar!Q108</f>
        <v>0</v>
      </c>
      <c r="E76" s="96">
        <f>[24]Apr!N107+[24]Apr!N108</f>
        <v>0</v>
      </c>
      <c r="F76" s="96"/>
      <c r="G76" s="96"/>
      <c r="H76" s="102"/>
      <c r="I76" s="102"/>
      <c r="J76" s="102"/>
      <c r="K76" s="96"/>
      <c r="L76" s="96"/>
      <c r="M76" s="96"/>
      <c r="N76" s="96"/>
      <c r="O76" s="96"/>
      <c r="P76" s="100">
        <f t="shared" si="42"/>
        <v>0</v>
      </c>
      <c r="Q76" s="101">
        <f t="shared" si="43"/>
        <v>0</v>
      </c>
      <c r="R76" s="89">
        <f t="shared" si="44"/>
        <v>0</v>
      </c>
      <c r="S76" s="89">
        <f t="shared" si="45"/>
        <v>0</v>
      </c>
      <c r="T76" s="89">
        <f t="shared" si="46"/>
        <v>0</v>
      </c>
      <c r="U76" s="96">
        <f>(+'[24]PF resc'!D81)*1000</f>
        <v>2.729496099828792</v>
      </c>
      <c r="V76" s="90">
        <f t="shared" si="47"/>
        <v>0</v>
      </c>
      <c r="W76" s="3"/>
      <c r="X76" s="91">
        <f t="shared" si="48"/>
        <v>0</v>
      </c>
      <c r="Y76" s="96">
        <f t="shared" si="48"/>
        <v>0</v>
      </c>
      <c r="Z76" s="96"/>
      <c r="AA76" s="96"/>
      <c r="AB76" s="96"/>
      <c r="AC76" s="96"/>
      <c r="AD76" s="96"/>
      <c r="AE76" s="96"/>
      <c r="AF76" s="96"/>
      <c r="AG76" s="96"/>
      <c r="AH76" s="96"/>
      <c r="AI76" s="102"/>
      <c r="AJ76" s="103">
        <f t="shared" si="49"/>
        <v>0</v>
      </c>
      <c r="AK76" s="88">
        <f t="shared" si="50"/>
        <v>0</v>
      </c>
      <c r="AL76" s="96">
        <f>(+'[24]PF resc'!R81)*1000</f>
        <v>2.4797472066944577</v>
      </c>
      <c r="AM76" s="90">
        <f t="shared" si="51"/>
        <v>0</v>
      </c>
      <c r="AN76" s="3"/>
      <c r="AO76" s="91">
        <f t="shared" si="52"/>
        <v>0</v>
      </c>
      <c r="AP76" s="96">
        <f t="shared" si="52"/>
        <v>0</v>
      </c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102">
        <f t="shared" si="53"/>
        <v>0</v>
      </c>
      <c r="BB76" s="89">
        <f t="shared" si="54"/>
        <v>0</v>
      </c>
      <c r="BC76" s="96">
        <f>(+'[24]PF resc'!AF81)*1000</f>
        <v>0.24974889313433443</v>
      </c>
      <c r="BD76" s="90">
        <f t="shared" si="55"/>
        <v>0</v>
      </c>
      <c r="BF76" s="91">
        <v>0</v>
      </c>
      <c r="BG76" s="102">
        <v>0</v>
      </c>
      <c r="BH76" s="102">
        <v>0</v>
      </c>
      <c r="BI76" s="102">
        <v>0</v>
      </c>
      <c r="BJ76" s="102">
        <v>32</v>
      </c>
      <c r="BK76" s="102">
        <v>0</v>
      </c>
      <c r="BL76" s="102">
        <v>0</v>
      </c>
      <c r="BM76" s="102">
        <v>0</v>
      </c>
      <c r="BN76" s="102">
        <v>0</v>
      </c>
      <c r="BO76" s="102">
        <v>0</v>
      </c>
      <c r="BP76" s="102">
        <v>0</v>
      </c>
      <c r="BQ76" s="102">
        <v>0</v>
      </c>
      <c r="BR76" s="102">
        <v>0</v>
      </c>
      <c r="BS76" s="94">
        <f t="shared" si="56"/>
        <v>0</v>
      </c>
      <c r="BU76" s="83">
        <v>0</v>
      </c>
      <c r="BV76" s="96">
        <v>0</v>
      </c>
      <c r="BW76" s="96">
        <v>0</v>
      </c>
      <c r="BX76" s="96">
        <v>0</v>
      </c>
      <c r="BY76" s="96">
        <v>30.192095527187533</v>
      </c>
      <c r="BZ76" s="96">
        <v>0</v>
      </c>
      <c r="CA76" s="96">
        <v>0</v>
      </c>
      <c r="CB76" s="96">
        <v>0</v>
      </c>
      <c r="CC76" s="96">
        <v>0</v>
      </c>
      <c r="CD76" s="96">
        <v>0</v>
      </c>
      <c r="CE76" s="96">
        <v>0</v>
      </c>
      <c r="CF76" s="102">
        <v>0</v>
      </c>
      <c r="CG76" s="96">
        <v>0</v>
      </c>
      <c r="CH76" s="105">
        <v>30.192095527187533</v>
      </c>
      <c r="CJ76" s="83">
        <v>0</v>
      </c>
      <c r="CK76" s="96">
        <v>0</v>
      </c>
      <c r="CL76" s="96">
        <v>0</v>
      </c>
      <c r="CM76" s="96">
        <v>0</v>
      </c>
      <c r="CN76" s="96">
        <v>1.8079044728124669</v>
      </c>
      <c r="CO76" s="96">
        <v>0</v>
      </c>
      <c r="CP76" s="96">
        <v>0</v>
      </c>
      <c r="CQ76" s="96">
        <v>0</v>
      </c>
      <c r="CR76" s="96">
        <v>0</v>
      </c>
      <c r="CS76" s="96">
        <v>0</v>
      </c>
      <c r="CT76" s="96">
        <v>0</v>
      </c>
      <c r="CU76" s="96">
        <v>0</v>
      </c>
      <c r="CV76" s="96">
        <v>0</v>
      </c>
      <c r="CW76" s="106">
        <v>1.8079044728124669</v>
      </c>
      <c r="CY76" s="91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64</v>
      </c>
      <c r="DF76" s="102">
        <v>0</v>
      </c>
      <c r="DG76" s="102">
        <v>0</v>
      </c>
      <c r="DH76" s="102">
        <v>223</v>
      </c>
      <c r="DI76" s="102">
        <v>0</v>
      </c>
      <c r="DJ76" s="102">
        <v>1360</v>
      </c>
      <c r="DK76" s="94">
        <f t="shared" si="57"/>
        <v>1647</v>
      </c>
    </row>
    <row r="77" spans="1:115" ht="14.45" customHeight="1" outlineLevel="1">
      <c r="A77" s="12"/>
      <c r="B77" s="13" t="s">
        <v>100</v>
      </c>
      <c r="C77" s="14"/>
      <c r="D77" s="91">
        <f>[24]Mar!Q109+[24]Mar!Q110</f>
        <v>276372.8</v>
      </c>
      <c r="E77" s="96">
        <f>[24]Apr!N109+[24]Apr!N110</f>
        <v>323611.56</v>
      </c>
      <c r="F77" s="96"/>
      <c r="G77" s="96"/>
      <c r="H77" s="102"/>
      <c r="I77" s="102"/>
      <c r="J77" s="102"/>
      <c r="K77" s="96"/>
      <c r="L77" s="96"/>
      <c r="M77" s="96"/>
      <c r="N77" s="96"/>
      <c r="O77" s="96"/>
      <c r="P77" s="100">
        <f t="shared" si="42"/>
        <v>599984.36</v>
      </c>
      <c r="Q77" s="101">
        <f t="shared" si="43"/>
        <v>229568.58000000002</v>
      </c>
      <c r="R77" s="89">
        <f t="shared" si="44"/>
        <v>117.0924056202347</v>
      </c>
      <c r="S77" s="89">
        <f t="shared" si="45"/>
        <v>265.24731092193832</v>
      </c>
      <c r="T77" s="89">
        <f t="shared" si="46"/>
        <v>491.77550420392942</v>
      </c>
      <c r="U77" s="96">
        <f>(+'[24]PF resc'!D82)*1000</f>
        <v>192870.84492344549</v>
      </c>
      <c r="V77" s="90">
        <f t="shared" si="47"/>
        <v>167.78666580138034</v>
      </c>
      <c r="W77" s="3"/>
      <c r="X77" s="91">
        <f t="shared" si="48"/>
        <v>246795.19137592055</v>
      </c>
      <c r="Y77" s="96">
        <f t="shared" si="48"/>
        <v>290896.0643170636</v>
      </c>
      <c r="Z77" s="96"/>
      <c r="AA77" s="96"/>
      <c r="AB77" s="96"/>
      <c r="AC77" s="96"/>
      <c r="AD77" s="96"/>
      <c r="AE77" s="96"/>
      <c r="AF77" s="96"/>
      <c r="AG77" s="96"/>
      <c r="AH77" s="96"/>
      <c r="AI77" s="102"/>
      <c r="AJ77" s="103">
        <f t="shared" si="49"/>
        <v>537691.25569298421</v>
      </c>
      <c r="AK77" s="88">
        <f t="shared" si="50"/>
        <v>117.86942148073227</v>
      </c>
      <c r="AL77" s="96">
        <f>(+'[24]PF resc'!R82)*1000</f>
        <v>175223.1626129502</v>
      </c>
      <c r="AM77" s="90">
        <f t="shared" si="51"/>
        <v>166.01461814704422</v>
      </c>
      <c r="AN77" s="3"/>
      <c r="AO77" s="91">
        <f t="shared" si="52"/>
        <v>29577.60862407945</v>
      </c>
      <c r="AP77" s="96">
        <f t="shared" si="52"/>
        <v>32715.495682936373</v>
      </c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102">
        <f t="shared" si="53"/>
        <v>62293.104307015819</v>
      </c>
      <c r="BB77" s="89">
        <f t="shared" si="54"/>
        <v>110.60899513120994</v>
      </c>
      <c r="BC77" s="96">
        <f>(+'[24]PF resc'!AF82)*1000</f>
        <v>17647.68231049526</v>
      </c>
      <c r="BD77" s="90">
        <f t="shared" si="55"/>
        <v>185.38125917804021</v>
      </c>
      <c r="BF77" s="91">
        <v>107564.87</v>
      </c>
      <c r="BG77" s="102">
        <v>122003.71</v>
      </c>
      <c r="BH77" s="102">
        <v>147879.5</v>
      </c>
      <c r="BI77" s="102">
        <v>121013.18</v>
      </c>
      <c r="BJ77" s="102">
        <v>159182.19</v>
      </c>
      <c r="BK77" s="102">
        <v>131760.35999999999</v>
      </c>
      <c r="BL77" s="102">
        <v>132492.26999999999</v>
      </c>
      <c r="BM77" s="102">
        <v>135589.26999999999</v>
      </c>
      <c r="BN77" s="102">
        <v>158599.5</v>
      </c>
      <c r="BO77" s="102">
        <v>195993.11</v>
      </c>
      <c r="BP77" s="102">
        <v>171512</v>
      </c>
      <c r="BQ77" s="102">
        <v>331825.81</v>
      </c>
      <c r="BR77" s="102">
        <v>0</v>
      </c>
      <c r="BS77" s="94">
        <f t="shared" si="56"/>
        <v>229568.58000000002</v>
      </c>
      <c r="BU77" s="83">
        <v>101171.52937753024</v>
      </c>
      <c r="BV77" s="96">
        <v>114896.14520005678</v>
      </c>
      <c r="BW77" s="96">
        <v>139220.58486027896</v>
      </c>
      <c r="BX77" s="96">
        <v>113939.71857045665</v>
      </c>
      <c r="BY77" s="96">
        <v>150188.87145959112</v>
      </c>
      <c r="BZ77" s="96">
        <v>121517.67227093462</v>
      </c>
      <c r="CA77" s="96">
        <v>121708.67470098806</v>
      </c>
      <c r="CB77" s="96">
        <v>124690.10726635368</v>
      </c>
      <c r="CC77" s="96">
        <v>144313.4673558842</v>
      </c>
      <c r="CD77" s="96">
        <v>176536.59265272197</v>
      </c>
      <c r="CE77" s="96">
        <v>153307.89514365379</v>
      </c>
      <c r="CF77" s="102">
        <v>293301.14470166288</v>
      </c>
      <c r="CG77" s="96">
        <v>0</v>
      </c>
      <c r="CH77" s="105">
        <v>1754792.4035601132</v>
      </c>
      <c r="CJ77" s="83">
        <v>6393.3406224697492</v>
      </c>
      <c r="CK77" s="96">
        <v>7107.564799943214</v>
      </c>
      <c r="CL77" s="96">
        <v>8658.9151397210298</v>
      </c>
      <c r="CM77" s="96">
        <v>7073.4614295433385</v>
      </c>
      <c r="CN77" s="96">
        <v>8993.3185404088727</v>
      </c>
      <c r="CO77" s="96">
        <v>10242.687729065372</v>
      </c>
      <c r="CP77" s="96">
        <v>10783.595299011928</v>
      </c>
      <c r="CQ77" s="96">
        <v>10899.162733646323</v>
      </c>
      <c r="CR77" s="96">
        <v>14286.03264411581</v>
      </c>
      <c r="CS77" s="96">
        <v>19456.517347278008</v>
      </c>
      <c r="CT77" s="96">
        <v>18204.104856346206</v>
      </c>
      <c r="CU77" s="96">
        <v>38524.665298337146</v>
      </c>
      <c r="CV77" s="96">
        <v>0</v>
      </c>
      <c r="CW77" s="106">
        <v>160623.366439887</v>
      </c>
      <c r="CY77" s="91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52291.69</v>
      </c>
      <c r="DF77" s="102">
        <v>27307.74</v>
      </c>
      <c r="DG77" s="102">
        <v>53656.86</v>
      </c>
      <c r="DH77" s="102">
        <v>49854.13</v>
      </c>
      <c r="DI77" s="102">
        <v>62287.85</v>
      </c>
      <c r="DJ77" s="102">
        <v>87601.69</v>
      </c>
      <c r="DK77" s="94">
        <f t="shared" si="57"/>
        <v>332999.96000000002</v>
      </c>
    </row>
    <row r="78" spans="1:115" ht="14.45" customHeight="1" outlineLevel="1">
      <c r="A78" s="12"/>
      <c r="B78" s="13" t="s">
        <v>101</v>
      </c>
      <c r="C78" s="14"/>
      <c r="D78" s="91">
        <f>SUM([24]Mar!Q112:Q120)</f>
        <v>0</v>
      </c>
      <c r="E78" s="96">
        <f>SUM([24]Apr!N112:N120)</f>
        <v>0</v>
      </c>
      <c r="F78" s="96"/>
      <c r="G78" s="96"/>
      <c r="H78" s="102"/>
      <c r="I78" s="102"/>
      <c r="J78" s="102"/>
      <c r="K78" s="96"/>
      <c r="L78" s="96"/>
      <c r="M78" s="96"/>
      <c r="N78" s="96"/>
      <c r="O78" s="96"/>
      <c r="P78" s="100">
        <f t="shared" si="42"/>
        <v>0</v>
      </c>
      <c r="Q78" s="101">
        <f t="shared" si="43"/>
        <v>0</v>
      </c>
      <c r="R78" s="89">
        <f t="shared" si="44"/>
        <v>0</v>
      </c>
      <c r="S78" s="89">
        <f t="shared" si="45"/>
        <v>0</v>
      </c>
      <c r="T78" s="89">
        <f t="shared" si="46"/>
        <v>0</v>
      </c>
      <c r="U78" s="96">
        <f>(+'[24]PF resc'!D83)*1000</f>
        <v>0</v>
      </c>
      <c r="V78" s="90">
        <f t="shared" si="47"/>
        <v>0</v>
      </c>
      <c r="W78" s="3"/>
      <c r="X78" s="91">
        <f t="shared" si="48"/>
        <v>0</v>
      </c>
      <c r="Y78" s="96">
        <f t="shared" si="48"/>
        <v>0</v>
      </c>
      <c r="Z78" s="96"/>
      <c r="AA78" s="96"/>
      <c r="AB78" s="96"/>
      <c r="AC78" s="96"/>
      <c r="AD78" s="96"/>
      <c r="AE78" s="96"/>
      <c r="AF78" s="96"/>
      <c r="AG78" s="96"/>
      <c r="AH78" s="96"/>
      <c r="AI78" s="102"/>
      <c r="AJ78" s="103">
        <f t="shared" si="49"/>
        <v>0</v>
      </c>
      <c r="AK78" s="88">
        <f t="shared" si="50"/>
        <v>0</v>
      </c>
      <c r="AL78" s="96">
        <f>(+'[24]PF resc'!R83)*1000</f>
        <v>0</v>
      </c>
      <c r="AM78" s="90">
        <f t="shared" si="51"/>
        <v>0</v>
      </c>
      <c r="AN78" s="3"/>
      <c r="AO78" s="91">
        <f t="shared" si="52"/>
        <v>0</v>
      </c>
      <c r="AP78" s="96">
        <f t="shared" si="52"/>
        <v>0</v>
      </c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102">
        <f t="shared" si="53"/>
        <v>0</v>
      </c>
      <c r="BB78" s="89">
        <f t="shared" si="54"/>
        <v>0</v>
      </c>
      <c r="BC78" s="96">
        <f>(+'[24]PF resc'!AF83)*1000</f>
        <v>0</v>
      </c>
      <c r="BD78" s="90">
        <f t="shared" si="55"/>
        <v>0</v>
      </c>
      <c r="BF78" s="91">
        <v>0</v>
      </c>
      <c r="BG78" s="102">
        <v>0</v>
      </c>
      <c r="BH78" s="102">
        <v>0</v>
      </c>
      <c r="BI78" s="102">
        <v>0</v>
      </c>
      <c r="BJ78" s="102">
        <v>0</v>
      </c>
      <c r="BK78" s="102">
        <v>0</v>
      </c>
      <c r="BL78" s="102">
        <v>0</v>
      </c>
      <c r="BM78" s="102">
        <v>0</v>
      </c>
      <c r="BN78" s="102">
        <v>0</v>
      </c>
      <c r="BO78" s="102">
        <v>0</v>
      </c>
      <c r="BP78" s="102">
        <v>0</v>
      </c>
      <c r="BQ78" s="102">
        <v>0</v>
      </c>
      <c r="BR78" s="102">
        <v>0</v>
      </c>
      <c r="BS78" s="94">
        <f t="shared" si="56"/>
        <v>0</v>
      </c>
      <c r="BU78" s="83">
        <v>0</v>
      </c>
      <c r="BV78" s="96">
        <v>0</v>
      </c>
      <c r="BW78" s="96">
        <v>0</v>
      </c>
      <c r="BX78" s="96">
        <v>0</v>
      </c>
      <c r="BY78" s="96">
        <v>0</v>
      </c>
      <c r="BZ78" s="96">
        <v>0</v>
      </c>
      <c r="CA78" s="96">
        <v>0</v>
      </c>
      <c r="CB78" s="96">
        <v>0</v>
      </c>
      <c r="CC78" s="96">
        <v>0</v>
      </c>
      <c r="CD78" s="96">
        <v>0</v>
      </c>
      <c r="CE78" s="96">
        <v>0</v>
      </c>
      <c r="CF78" s="102">
        <v>0</v>
      </c>
      <c r="CG78" s="96">
        <v>0</v>
      </c>
      <c r="CH78" s="105">
        <v>0</v>
      </c>
      <c r="CJ78" s="83">
        <v>0</v>
      </c>
      <c r="CK78" s="96">
        <v>0</v>
      </c>
      <c r="CL78" s="96">
        <v>0</v>
      </c>
      <c r="CM78" s="96">
        <v>0</v>
      </c>
      <c r="CN78" s="96">
        <v>0</v>
      </c>
      <c r="CO78" s="96">
        <v>0</v>
      </c>
      <c r="CP78" s="96">
        <v>0</v>
      </c>
      <c r="CQ78" s="96">
        <v>0</v>
      </c>
      <c r="CR78" s="96">
        <v>0</v>
      </c>
      <c r="CS78" s="96">
        <v>0</v>
      </c>
      <c r="CT78" s="96">
        <v>0</v>
      </c>
      <c r="CU78" s="96">
        <v>0</v>
      </c>
      <c r="CV78" s="96">
        <v>0</v>
      </c>
      <c r="CW78" s="106">
        <v>0</v>
      </c>
      <c r="CY78" s="91">
        <v>0</v>
      </c>
      <c r="CZ78" s="102">
        <v>0</v>
      </c>
      <c r="DA78" s="102">
        <v>0</v>
      </c>
      <c r="DB78" s="102">
        <v>0</v>
      </c>
      <c r="DC78" s="102">
        <v>0</v>
      </c>
      <c r="DD78" s="102">
        <v>0</v>
      </c>
      <c r="DE78" s="102">
        <v>0</v>
      </c>
      <c r="DF78" s="102">
        <v>0</v>
      </c>
      <c r="DG78" s="102">
        <v>0</v>
      </c>
      <c r="DH78" s="102">
        <v>0</v>
      </c>
      <c r="DI78" s="102">
        <v>0</v>
      </c>
      <c r="DJ78" s="102">
        <v>0</v>
      </c>
      <c r="DK78" s="94">
        <f t="shared" si="57"/>
        <v>0</v>
      </c>
    </row>
    <row r="79" spans="1:115" ht="14.45" customHeight="1" outlineLevel="1">
      <c r="A79" s="176"/>
      <c r="B79" s="13" t="s">
        <v>91</v>
      </c>
      <c r="C79" s="14"/>
      <c r="D79" s="179">
        <f>[24]Mar!Q111+[24]Mar!Q121</f>
        <v>20328.68</v>
      </c>
      <c r="E79" s="180">
        <f>[24]Apr!N111+[24]Apr!N121</f>
        <v>13383</v>
      </c>
      <c r="F79" s="180"/>
      <c r="G79" s="180"/>
      <c r="H79" s="148"/>
      <c r="I79" s="148"/>
      <c r="J79" s="148"/>
      <c r="K79" s="180"/>
      <c r="L79" s="180"/>
      <c r="M79" s="180"/>
      <c r="N79" s="180"/>
      <c r="O79" s="180"/>
      <c r="P79" s="100">
        <f t="shared" si="42"/>
        <v>33711.68</v>
      </c>
      <c r="Q79" s="101">
        <f t="shared" si="43"/>
        <v>27208</v>
      </c>
      <c r="R79" s="89">
        <f t="shared" si="44"/>
        <v>65.833098853442522</v>
      </c>
      <c r="S79" s="89">
        <f t="shared" si="45"/>
        <v>95.157849829351534</v>
      </c>
      <c r="T79" s="89">
        <f t="shared" si="46"/>
        <v>239.70193401592718</v>
      </c>
      <c r="U79" s="96">
        <f>(+'[24]PF resc'!D84)*1000</f>
        <v>17646.563293888106</v>
      </c>
      <c r="V79" s="90">
        <f t="shared" si="47"/>
        <v>75.839129563744606</v>
      </c>
      <c r="W79" s="3"/>
      <c r="X79" s="179">
        <f t="shared" si="48"/>
        <v>18153.090575555369</v>
      </c>
      <c r="Y79" s="180">
        <f t="shared" si="48"/>
        <v>12030.04623430406</v>
      </c>
      <c r="Z79" s="180"/>
      <c r="AA79" s="180"/>
      <c r="AB79" s="180"/>
      <c r="AC79" s="180"/>
      <c r="AD79" s="180"/>
      <c r="AE79" s="180"/>
      <c r="AF79" s="180"/>
      <c r="AG79" s="180"/>
      <c r="AH79" s="180"/>
      <c r="AI79" s="148"/>
      <c r="AJ79" s="103">
        <f t="shared" si="49"/>
        <v>30183.136809859428</v>
      </c>
      <c r="AK79" s="88">
        <f t="shared" si="50"/>
        <v>66.269962044388777</v>
      </c>
      <c r="AL79" s="96">
        <f>(+'[24]PF resc'!R84)*1000</f>
        <v>16031.902752497344</v>
      </c>
      <c r="AM79" s="90">
        <f t="shared" si="51"/>
        <v>75.038168706643987</v>
      </c>
      <c r="AN79" s="3"/>
      <c r="AO79" s="179">
        <f t="shared" si="52"/>
        <v>2175.5894244446322</v>
      </c>
      <c r="AP79" s="180">
        <f t="shared" si="52"/>
        <v>1352.9537656959394</v>
      </c>
      <c r="AQ79" s="180"/>
      <c r="AR79" s="180"/>
      <c r="AS79" s="180"/>
      <c r="AT79" s="180"/>
      <c r="AU79" s="180"/>
      <c r="AV79" s="180"/>
      <c r="AW79" s="180"/>
      <c r="AX79" s="180"/>
      <c r="AY79" s="180"/>
      <c r="AZ79" s="180"/>
      <c r="BA79" s="102">
        <f t="shared" si="53"/>
        <v>3528.5431901405718</v>
      </c>
      <c r="BB79" s="89">
        <f t="shared" si="54"/>
        <v>62.18791792671594</v>
      </c>
      <c r="BC79" s="96">
        <f>(+'[24]PF resc'!AF84)*1000</f>
        <v>1614.6605413907619</v>
      </c>
      <c r="BD79" s="90">
        <f t="shared" si="55"/>
        <v>83.7918392760496</v>
      </c>
      <c r="BF79" s="179">
        <v>13144</v>
      </c>
      <c r="BG79" s="148">
        <v>14064</v>
      </c>
      <c r="BH79" s="148">
        <v>14760</v>
      </c>
      <c r="BI79" s="148">
        <v>14000</v>
      </c>
      <c r="BJ79" s="148">
        <v>14752</v>
      </c>
      <c r="BK79" s="148">
        <v>23048</v>
      </c>
      <c r="BL79" s="148">
        <v>18392</v>
      </c>
      <c r="BM79" s="148">
        <v>18392</v>
      </c>
      <c r="BN79" s="148">
        <v>13584</v>
      </c>
      <c r="BO79" s="148">
        <v>14336</v>
      </c>
      <c r="BP79" s="148">
        <v>14304</v>
      </c>
      <c r="BQ79" s="148">
        <v>14721.28</v>
      </c>
      <c r="BR79" s="102">
        <v>0</v>
      </c>
      <c r="BS79" s="94">
        <f t="shared" si="56"/>
        <v>27208</v>
      </c>
      <c r="BU79" s="181">
        <v>12362.759162338574</v>
      </c>
      <c r="BV79" s="180">
        <v>13244.674166823275</v>
      </c>
      <c r="BW79" s="180">
        <v>13895.745066339266</v>
      </c>
      <c r="BX79" s="180">
        <v>13181.672111966591</v>
      </c>
      <c r="BY79" s="180">
        <v>13918.556038033452</v>
      </c>
      <c r="BZ79" s="180">
        <v>21256.311917336152</v>
      </c>
      <c r="CA79" s="180">
        <v>16895.068256439208</v>
      </c>
      <c r="CB79" s="180">
        <v>16913.583595831566</v>
      </c>
      <c r="CC79" s="180">
        <v>12360.405553373945</v>
      </c>
      <c r="CD79" s="180">
        <v>12912.844702905231</v>
      </c>
      <c r="CE79" s="180">
        <v>12785.788353787628</v>
      </c>
      <c r="CF79" s="148">
        <v>13012.15320011935</v>
      </c>
      <c r="CG79" s="180">
        <v>0</v>
      </c>
      <c r="CH79" s="105">
        <v>172739.56212529421</v>
      </c>
      <c r="CJ79" s="181">
        <v>781.24083766142587</v>
      </c>
      <c r="CK79" s="180">
        <v>819.32583317672356</v>
      </c>
      <c r="CL79" s="180">
        <v>864.25493366073317</v>
      </c>
      <c r="CM79" s="180">
        <v>818.32788803340884</v>
      </c>
      <c r="CN79" s="180">
        <v>833.44396196654725</v>
      </c>
      <c r="CO79" s="180">
        <v>1791.6880826638505</v>
      </c>
      <c r="CP79" s="180">
        <v>1496.9317435607934</v>
      </c>
      <c r="CQ79" s="180">
        <v>1478.416404168436</v>
      </c>
      <c r="CR79" s="180">
        <v>1223.594446626056</v>
      </c>
      <c r="CS79" s="180">
        <v>1423.155297094768</v>
      </c>
      <c r="CT79" s="180">
        <v>1518.2116462123709</v>
      </c>
      <c r="CU79" s="180">
        <v>1709.1267998806504</v>
      </c>
      <c r="CV79" s="180">
        <v>0</v>
      </c>
      <c r="CW79" s="106">
        <v>14757.717874705764</v>
      </c>
      <c r="CY79" s="179">
        <v>0</v>
      </c>
      <c r="CZ79" s="148">
        <v>7344</v>
      </c>
      <c r="DA79" s="148">
        <v>7272</v>
      </c>
      <c r="DB79" s="148">
        <v>8400</v>
      </c>
      <c r="DC79" s="148">
        <v>8704</v>
      </c>
      <c r="DD79" s="148">
        <v>10664</v>
      </c>
      <c r="DE79" s="148">
        <v>11000</v>
      </c>
      <c r="DF79" s="148">
        <v>10824</v>
      </c>
      <c r="DG79" s="148">
        <v>12776</v>
      </c>
      <c r="DH79" s="148">
        <v>15336</v>
      </c>
      <c r="DI79" s="148">
        <v>27656</v>
      </c>
      <c r="DJ79" s="148">
        <v>14048</v>
      </c>
      <c r="DK79" s="94">
        <f t="shared" si="57"/>
        <v>134024</v>
      </c>
    </row>
    <row r="80" spans="1:115" ht="14.45" customHeight="1">
      <c r="A80" s="107" t="s">
        <v>102</v>
      </c>
      <c r="B80" s="136"/>
      <c r="C80" s="137"/>
      <c r="D80" s="118">
        <f t="shared" ref="D80:O80" si="58">SUM(D70:D79)</f>
        <v>582888.78</v>
      </c>
      <c r="E80" s="111">
        <f t="shared" ref="E80" si="59">SUM(E70:E79)</f>
        <v>553704.01</v>
      </c>
      <c r="F80" s="112">
        <f t="shared" si="58"/>
        <v>0</v>
      </c>
      <c r="G80" s="113">
        <f t="shared" si="58"/>
        <v>0</v>
      </c>
      <c r="H80" s="113">
        <f>SUM(H70:H79)</f>
        <v>0</v>
      </c>
      <c r="I80" s="113">
        <f>SUM(I70:I79)</f>
        <v>0</v>
      </c>
      <c r="J80" s="113">
        <f t="shared" si="58"/>
        <v>0</v>
      </c>
      <c r="K80" s="111">
        <f>SUM(K70:K79)</f>
        <v>0</v>
      </c>
      <c r="L80" s="113">
        <f t="shared" si="58"/>
        <v>0</v>
      </c>
      <c r="M80" s="113">
        <f t="shared" si="58"/>
        <v>0</v>
      </c>
      <c r="N80" s="113">
        <f t="shared" si="58"/>
        <v>0</v>
      </c>
      <c r="O80" s="113">
        <f t="shared" si="58"/>
        <v>0</v>
      </c>
      <c r="P80" s="114">
        <f t="shared" si="42"/>
        <v>1136592.79</v>
      </c>
      <c r="Q80" s="114">
        <f t="shared" si="43"/>
        <v>698003.61</v>
      </c>
      <c r="R80" s="115">
        <f t="shared" si="44"/>
        <v>94.993080841254141</v>
      </c>
      <c r="S80" s="115">
        <f t="shared" si="45"/>
        <v>190.47588595155739</v>
      </c>
      <c r="T80" s="115">
        <f t="shared" si="46"/>
        <v>390.99142273035449</v>
      </c>
      <c r="U80" s="111">
        <f t="shared" ref="U80" si="60">SUM(U70:U79)</f>
        <v>377687.15340663516</v>
      </c>
      <c r="V80" s="117">
        <f t="shared" si="47"/>
        <v>146.60387704631751</v>
      </c>
      <c r="W80" s="3"/>
      <c r="X80" s="118">
        <f t="shared" ref="X80:AI80" si="61">SUM(X70:X79)</f>
        <v>520507.61873446603</v>
      </c>
      <c r="Y80" s="111">
        <f t="shared" si="61"/>
        <v>497727.32873194036</v>
      </c>
      <c r="Z80" s="111">
        <f t="shared" si="61"/>
        <v>0</v>
      </c>
      <c r="AA80" s="111">
        <f t="shared" si="61"/>
        <v>0</v>
      </c>
      <c r="AB80" s="111">
        <f t="shared" si="61"/>
        <v>0</v>
      </c>
      <c r="AC80" s="111">
        <f t="shared" si="61"/>
        <v>0</v>
      </c>
      <c r="AD80" s="111">
        <f t="shared" si="61"/>
        <v>0</v>
      </c>
      <c r="AE80" s="111">
        <f t="shared" si="61"/>
        <v>0</v>
      </c>
      <c r="AF80" s="111">
        <f t="shared" si="61"/>
        <v>0</v>
      </c>
      <c r="AG80" s="113">
        <f t="shared" si="61"/>
        <v>0</v>
      </c>
      <c r="AH80" s="113">
        <f t="shared" si="61"/>
        <v>0</v>
      </c>
      <c r="AI80" s="113">
        <f t="shared" si="61"/>
        <v>0</v>
      </c>
      <c r="AJ80" s="119">
        <f t="shared" si="49"/>
        <v>1018234.9474664064</v>
      </c>
      <c r="AK80" s="116">
        <f t="shared" si="50"/>
        <v>95.623447345898143</v>
      </c>
      <c r="AL80" s="111">
        <f t="shared" ref="AL80" si="62">SUM(AL70:AL79)</f>
        <v>343128.77886992798</v>
      </c>
      <c r="AM80" s="117">
        <f t="shared" si="51"/>
        <v>145.05554747438339</v>
      </c>
      <c r="AN80" s="3"/>
      <c r="AO80" s="118">
        <f t="shared" ref="AO80:AZ80" si="63">SUM(AO70:AO79)</f>
        <v>62381.161265533912</v>
      </c>
      <c r="AP80" s="111">
        <f t="shared" si="63"/>
        <v>55976.681268059634</v>
      </c>
      <c r="AQ80" s="111">
        <f t="shared" si="63"/>
        <v>0</v>
      </c>
      <c r="AR80" s="111">
        <f t="shared" si="63"/>
        <v>0</v>
      </c>
      <c r="AS80" s="111">
        <f t="shared" si="63"/>
        <v>0</v>
      </c>
      <c r="AT80" s="111">
        <f t="shared" si="63"/>
        <v>0</v>
      </c>
      <c r="AU80" s="111">
        <f t="shared" si="63"/>
        <v>0</v>
      </c>
      <c r="AV80" s="111">
        <f t="shared" si="63"/>
        <v>0</v>
      </c>
      <c r="AW80" s="111">
        <f t="shared" si="63"/>
        <v>0</v>
      </c>
      <c r="AX80" s="113">
        <f t="shared" si="63"/>
        <v>0</v>
      </c>
      <c r="AY80" s="113">
        <f t="shared" si="63"/>
        <v>0</v>
      </c>
      <c r="AZ80" s="111">
        <f t="shared" si="63"/>
        <v>0</v>
      </c>
      <c r="BA80" s="120">
        <f t="shared" si="53"/>
        <v>118357.84253359355</v>
      </c>
      <c r="BB80" s="115">
        <f t="shared" si="54"/>
        <v>89.733310718258778</v>
      </c>
      <c r="BC80" s="111">
        <f t="shared" ref="BC80" si="64">SUM(BC70:BC79)</f>
        <v>34558.37453670711</v>
      </c>
      <c r="BD80" s="117">
        <f t="shared" si="55"/>
        <v>161.9771821403304</v>
      </c>
      <c r="BF80" s="118">
        <v>407308.54</v>
      </c>
      <c r="BG80" s="113">
        <v>290695.07</v>
      </c>
      <c r="BH80" s="113">
        <v>305923.88</v>
      </c>
      <c r="BI80" s="113">
        <v>254359.18444444443</v>
      </c>
      <c r="BJ80" s="113">
        <v>310818.99</v>
      </c>
      <c r="BK80" s="113">
        <v>284616.89</v>
      </c>
      <c r="BL80" s="113">
        <v>278813.69</v>
      </c>
      <c r="BM80" s="113">
        <v>327483.45999999996</v>
      </c>
      <c r="BN80" s="113">
        <v>389938.71</v>
      </c>
      <c r="BO80" s="113">
        <v>337664.39999999997</v>
      </c>
      <c r="BP80" s="113">
        <v>340097.66</v>
      </c>
      <c r="BQ80" s="113">
        <v>514752.77</v>
      </c>
      <c r="BR80" s="113">
        <v>10</v>
      </c>
      <c r="BS80" s="121">
        <f t="shared" si="56"/>
        <v>698003.61</v>
      </c>
      <c r="BU80" s="110">
        <v>383099.31411927473</v>
      </c>
      <c r="BV80" s="111">
        <v>273760.06001506571</v>
      </c>
      <c r="BW80" s="111">
        <v>288010.8567876264</v>
      </c>
      <c r="BX80" s="111">
        <v>239491.38342956427</v>
      </c>
      <c r="BY80" s="111">
        <v>293258.64492949832</v>
      </c>
      <c r="BZ80" s="111">
        <v>262491.55635118677</v>
      </c>
      <c r="CA80" s="111">
        <v>256120.9397226882</v>
      </c>
      <c r="CB80" s="111">
        <v>301159.13859080919</v>
      </c>
      <c r="CC80" s="111">
        <v>354814.53154884221</v>
      </c>
      <c r="CD80" s="113">
        <v>304143.97034735442</v>
      </c>
      <c r="CE80" s="113">
        <v>304000.04896381602</v>
      </c>
      <c r="CF80" s="113">
        <v>454990.45622566791</v>
      </c>
      <c r="CG80" s="111">
        <v>8.8145428411371771</v>
      </c>
      <c r="CH80" s="122">
        <v>3715349.7155742357</v>
      </c>
      <c r="CJ80" s="110">
        <v>24209.225880725229</v>
      </c>
      <c r="CK80" s="111">
        <v>16935.009984934299</v>
      </c>
      <c r="CL80" s="111">
        <v>17913.023212373584</v>
      </c>
      <c r="CM80" s="111">
        <v>14867.801014880179</v>
      </c>
      <c r="CN80" s="111">
        <v>17560.345070501669</v>
      </c>
      <c r="CO80" s="111">
        <v>22125.333648813263</v>
      </c>
      <c r="CP80" s="111">
        <v>22692.750277311792</v>
      </c>
      <c r="CQ80" s="111">
        <v>26324.32140919083</v>
      </c>
      <c r="CR80" s="111">
        <v>35124.178451157844</v>
      </c>
      <c r="CS80" s="113">
        <v>33520.429652645544</v>
      </c>
      <c r="CT80" s="113">
        <v>36097.611036183946</v>
      </c>
      <c r="CU80" s="111">
        <v>59762.313774332149</v>
      </c>
      <c r="CV80" s="111">
        <v>1.1854571588628227</v>
      </c>
      <c r="CW80" s="122">
        <v>327133.52887020918</v>
      </c>
      <c r="CY80" s="118">
        <v>103983.61</v>
      </c>
      <c r="CZ80" s="113">
        <v>118578.62999999999</v>
      </c>
      <c r="DA80" s="113">
        <v>169418.91999999998</v>
      </c>
      <c r="DB80" s="113">
        <v>138720.45000000001</v>
      </c>
      <c r="DC80" s="113">
        <v>109256.98000000001</v>
      </c>
      <c r="DD80" s="113">
        <v>140531.85</v>
      </c>
      <c r="DE80" s="113">
        <v>144027.85</v>
      </c>
      <c r="DF80" s="113">
        <v>129205.99</v>
      </c>
      <c r="DG80" s="113">
        <v>158399.59</v>
      </c>
      <c r="DH80" s="113">
        <v>199897.37</v>
      </c>
      <c r="DI80" s="113">
        <v>184133.74</v>
      </c>
      <c r="DJ80" s="113">
        <v>203068.4</v>
      </c>
      <c r="DK80" s="121">
        <f t="shared" si="57"/>
        <v>1799223.3800000001</v>
      </c>
    </row>
    <row r="81" spans="1:115" ht="14.45" customHeight="1" outlineLevel="1">
      <c r="A81" s="123"/>
      <c r="B81" s="183"/>
      <c r="C81" s="184"/>
      <c r="D81" s="91"/>
      <c r="E81" s="96"/>
      <c r="F81" s="104"/>
      <c r="G81" s="102"/>
      <c r="H81" s="102"/>
      <c r="I81" s="102"/>
      <c r="J81" s="102"/>
      <c r="K81" s="96"/>
      <c r="L81" s="102"/>
      <c r="M81" s="102"/>
      <c r="N81" s="102"/>
      <c r="O81" s="102"/>
      <c r="P81" s="100"/>
      <c r="Q81" s="101"/>
      <c r="R81" s="89"/>
      <c r="S81" s="89"/>
      <c r="T81" s="89"/>
      <c r="U81" s="89"/>
      <c r="V81" s="90"/>
      <c r="W81" s="3"/>
      <c r="X81" s="91"/>
      <c r="Y81" s="96"/>
      <c r="Z81" s="96"/>
      <c r="AA81" s="96"/>
      <c r="AB81" s="96"/>
      <c r="AC81" s="96"/>
      <c r="AD81" s="96"/>
      <c r="AE81" s="96"/>
      <c r="AF81" s="102"/>
      <c r="AG81" s="102"/>
      <c r="AH81" s="102"/>
      <c r="AI81" s="102"/>
      <c r="AJ81" s="103"/>
      <c r="AK81" s="88">
        <f>IF(ISERROR((($AH81-$AG81)/ABS($AG81)+1)*100),0,(($AH81-$AG81)/ABS($AG81)+1)*100)</f>
        <v>0</v>
      </c>
      <c r="AL81" s="89"/>
      <c r="AM81" s="90"/>
      <c r="AN81" s="3"/>
      <c r="AO81" s="91"/>
      <c r="AP81" s="96"/>
      <c r="AQ81" s="96"/>
      <c r="AR81" s="96"/>
      <c r="AS81" s="96"/>
      <c r="AT81" s="96"/>
      <c r="AU81" s="96"/>
      <c r="AV81" s="96"/>
      <c r="AW81" s="96"/>
      <c r="AX81" s="102"/>
      <c r="AY81" s="102"/>
      <c r="AZ81" s="96"/>
      <c r="BA81" s="102"/>
      <c r="BB81" s="89">
        <f>IF(ISERROR((($CU81-$AX81)/ABS($AX81)+1)*100),0,(($CU81-$AX81)/ABS($AX81)+1)*100)</f>
        <v>0</v>
      </c>
      <c r="BC81" s="89"/>
      <c r="BD81" s="90"/>
      <c r="BF81" s="91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94"/>
      <c r="BU81" s="83"/>
      <c r="BV81" s="96"/>
      <c r="BW81" s="96"/>
      <c r="BX81" s="96"/>
      <c r="BY81" s="96"/>
      <c r="BZ81" s="96"/>
      <c r="CA81" s="96"/>
      <c r="CB81" s="96"/>
      <c r="CC81" s="102"/>
      <c r="CD81" s="102"/>
      <c r="CE81" s="102"/>
      <c r="CF81" s="102"/>
      <c r="CG81" s="96"/>
      <c r="CH81" s="105"/>
      <c r="CJ81" s="83"/>
      <c r="CK81" s="96"/>
      <c r="CL81" s="96"/>
      <c r="CM81" s="96"/>
      <c r="CN81" s="96"/>
      <c r="CO81" s="96"/>
      <c r="CP81" s="96"/>
      <c r="CQ81" s="96"/>
      <c r="CR81" s="96"/>
      <c r="CS81" s="102"/>
      <c r="CT81" s="102"/>
      <c r="CU81" s="96"/>
      <c r="CV81" s="96"/>
      <c r="CW81" s="106"/>
      <c r="CY81" s="91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94"/>
    </row>
    <row r="82" spans="1:115" ht="15" customHeight="1" outlineLevel="1">
      <c r="A82" s="123"/>
      <c r="B82" s="13" t="s">
        <v>103</v>
      </c>
      <c r="C82" s="14"/>
      <c r="D82" s="91">
        <f>[24]Mar!Q126</f>
        <v>15803.03</v>
      </c>
      <c r="E82" s="96">
        <f>[24]Apr!N126</f>
        <v>15803.03</v>
      </c>
      <c r="F82" s="96"/>
      <c r="G82" s="96"/>
      <c r="H82" s="102"/>
      <c r="I82" s="102"/>
      <c r="J82" s="102"/>
      <c r="K82" s="96"/>
      <c r="L82" s="96"/>
      <c r="M82" s="96"/>
      <c r="N82" s="96"/>
      <c r="O82" s="96"/>
      <c r="P82" s="100">
        <f>SUM(D82:O82)</f>
        <v>31606.06</v>
      </c>
      <c r="Q82" s="101">
        <f>SUM(BS82)</f>
        <v>29270.54</v>
      </c>
      <c r="R82" s="89">
        <f t="shared" ref="R82:R86" si="65">IF(ISERROR((($E82-$D82)/ABS($D82)+1)*100),0,(($E82-$D82)/ABS($D82)+1)*100)</f>
        <v>100</v>
      </c>
      <c r="S82" s="89">
        <f t="shared" ref="S82:S86" si="66">IF(ISERROR((($E82-$BG82)/ABS($BG82)+1)*100),0,(($E82-$BG82)/ABS($BG82)+1)*100)</f>
        <v>107.97908067292232</v>
      </c>
      <c r="T82" s="89">
        <f>IF(ISERROR((($P82-$BG82)/ABS($BG82)+1)*100),0,(($P82-$BG82)/ABS($BG82)+1)*100)</f>
        <v>215.9581613458447</v>
      </c>
      <c r="U82" s="96">
        <f>(+'[24]PF resc'!D88)*1000</f>
        <v>15803.03</v>
      </c>
      <c r="V82" s="90">
        <f>IF(ISERROR((($E82-$U82)/ABS($U82)+1)*100),0,(($E82-$U82)/ABS($U82)+1)*100)</f>
        <v>100</v>
      </c>
      <c r="W82" s="3"/>
      <c r="X82" s="91">
        <f t="shared" ref="X82:Y86" si="67">D82*X$201</f>
        <v>14111.778775514138</v>
      </c>
      <c r="Y82" s="96">
        <f t="shared" si="67"/>
        <v>14205.423413441986</v>
      </c>
      <c r="Z82" s="96"/>
      <c r="AA82" s="96"/>
      <c r="AB82" s="96"/>
      <c r="AC82" s="96"/>
      <c r="AD82" s="96"/>
      <c r="AE82" s="96"/>
      <c r="AF82" s="96"/>
      <c r="AG82" s="96"/>
      <c r="AH82" s="96"/>
      <c r="AI82" s="102"/>
      <c r="AJ82" s="103">
        <f>SUM(X82:AI82)</f>
        <v>28317.202188956122</v>
      </c>
      <c r="AK82" s="88">
        <f t="shared" ref="AK82:AK88" si="68">IF(ISERROR((($Y82-$X82)/ABS($X82)+1)*100),0,(($Y82-$X82)/ABS($X82)+1)*100)</f>
        <v>100.66359202066243</v>
      </c>
      <c r="AL82" s="96">
        <f>(+'[24]PF resc'!R88)*1000</f>
        <v>14357.052755000002</v>
      </c>
      <c r="AM82" s="90">
        <f t="shared" ref="AM82:AM86" si="69">IF(ISERROR((($Y82-$AL82)/ABS($AL82)+1)*100),0,(($Y82-$AL82)/ABS($AL82)+1)*100)</f>
        <v>98.943868604890312</v>
      </c>
      <c r="AN82" s="3"/>
      <c r="AO82" s="91">
        <f t="shared" ref="AO82:AP86" si="70">D82*AO$201</f>
        <v>1691.2512244858624</v>
      </c>
      <c r="AP82" s="96">
        <f t="shared" si="70"/>
        <v>1597.6065865580142</v>
      </c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102">
        <f>SUM(AO82:AZ82)</f>
        <v>3288.8578110438766</v>
      </c>
      <c r="BB82" s="89">
        <f t="shared" ref="BB82:BB86" si="71">IF(ISERROR((($AP82-$AO82)/ABS($AO82)+1)*100),0,(($AP82-$AO82)/ABS($AO82)+1)*100)</f>
        <v>94.462996592578023</v>
      </c>
      <c r="BC82" s="96">
        <f>(+'[24]PF resc'!AF88)*1000</f>
        <v>1445.977245</v>
      </c>
      <c r="BD82" s="90">
        <f t="shared" ref="BD82:BD88" si="72">IF(ISERROR((($AP82-$BC82)/ABS($BC82)+1)*100),0,(($AP82-$BC82)/ABS($BC82)+1)*100)</f>
        <v>110.48628822357533</v>
      </c>
      <c r="BF82" s="91">
        <v>14635.27</v>
      </c>
      <c r="BG82" s="102">
        <v>14635.27</v>
      </c>
      <c r="BH82" s="102">
        <v>14635.27</v>
      </c>
      <c r="BI82" s="102">
        <v>14635.27</v>
      </c>
      <c r="BJ82" s="102">
        <v>14635.27</v>
      </c>
      <c r="BK82" s="102">
        <v>14635.27</v>
      </c>
      <c r="BL82" s="102">
        <v>14706.68</v>
      </c>
      <c r="BM82" s="102">
        <v>14649.62</v>
      </c>
      <c r="BN82" s="102">
        <v>13748.41</v>
      </c>
      <c r="BO82" s="102">
        <v>14649</v>
      </c>
      <c r="BP82" s="102">
        <v>15803.03</v>
      </c>
      <c r="BQ82" s="102">
        <v>15803.03</v>
      </c>
      <c r="BR82" s="102">
        <v>0</v>
      </c>
      <c r="BS82" s="94">
        <f t="shared" ref="BS82:BS86" si="73">SUM(BF82:BG82)</f>
        <v>29270.54</v>
      </c>
      <c r="BU82" s="83">
        <v>13765.392444141728</v>
      </c>
      <c r="BV82" s="96">
        <v>13782.663715406974</v>
      </c>
      <c r="BW82" s="96">
        <v>13778.318488959558</v>
      </c>
      <c r="BX82" s="96">
        <v>13779.809315007235</v>
      </c>
      <c r="BY82" s="96">
        <v>13808.420934568185</v>
      </c>
      <c r="BZ82" s="96">
        <v>13497.564392330452</v>
      </c>
      <c r="CA82" s="96">
        <v>13509.697826533786</v>
      </c>
      <c r="CB82" s="96">
        <v>13472.029823682364</v>
      </c>
      <c r="CC82" s="96">
        <v>12510.00613324955</v>
      </c>
      <c r="CD82" s="96">
        <v>13194.77274364249</v>
      </c>
      <c r="CE82" s="96">
        <v>14125.712872522128</v>
      </c>
      <c r="CF82" s="102">
        <v>13968.313039768424</v>
      </c>
      <c r="CG82" s="96">
        <v>0</v>
      </c>
      <c r="CH82" s="105">
        <v>163192.70172981289</v>
      </c>
      <c r="CJ82" s="83">
        <v>869.87755585827279</v>
      </c>
      <c r="CK82" s="96">
        <v>852.60628459302518</v>
      </c>
      <c r="CL82" s="96">
        <v>856.95151104044169</v>
      </c>
      <c r="CM82" s="96">
        <v>855.46068499276475</v>
      </c>
      <c r="CN82" s="96">
        <v>826.84906543181603</v>
      </c>
      <c r="CO82" s="96">
        <v>1137.7056076695494</v>
      </c>
      <c r="CP82" s="96">
        <v>1196.9821734662162</v>
      </c>
      <c r="CQ82" s="96">
        <v>1177.5901763176382</v>
      </c>
      <c r="CR82" s="96">
        <v>1238.4038667504517</v>
      </c>
      <c r="CS82" s="96">
        <v>1454.2272563575095</v>
      </c>
      <c r="CT82" s="96">
        <v>1677.3171274778722</v>
      </c>
      <c r="CU82" s="96">
        <v>1834.7169602315773</v>
      </c>
      <c r="CV82" s="96">
        <v>0</v>
      </c>
      <c r="CW82" s="106">
        <v>13978.688270187135</v>
      </c>
      <c r="CY82" s="91">
        <v>8803.2000000000007</v>
      </c>
      <c r="CZ82" s="102">
        <v>8803.2000000000007</v>
      </c>
      <c r="DA82" s="102">
        <v>8803.2000000000007</v>
      </c>
      <c r="DB82" s="102">
        <v>8803.2000000000007</v>
      </c>
      <c r="DC82" s="102">
        <v>8803.2000000000007</v>
      </c>
      <c r="DD82" s="102">
        <v>11102.96</v>
      </c>
      <c r="DE82" s="102">
        <v>13402.72</v>
      </c>
      <c r="DF82" s="102">
        <v>14635.27</v>
      </c>
      <c r="DG82" s="102">
        <v>14635.27</v>
      </c>
      <c r="DH82" s="102">
        <v>14635.27</v>
      </c>
      <c r="DI82" s="102">
        <v>14635.27</v>
      </c>
      <c r="DJ82" s="102">
        <v>14635.27</v>
      </c>
      <c r="DK82" s="94">
        <f t="shared" ref="DK82:DK86" si="74">SUM(CY82:DJ82)</f>
        <v>141698.03</v>
      </c>
    </row>
    <row r="83" spans="1:115" ht="14.45" customHeight="1" outlineLevel="1">
      <c r="A83" s="123"/>
      <c r="B83" s="13" t="s">
        <v>104</v>
      </c>
      <c r="C83" s="14"/>
      <c r="D83" s="91">
        <f>[24]Mar!Q125</f>
        <v>12524</v>
      </c>
      <c r="E83" s="96">
        <f>[24]Apr!N125</f>
        <v>11190.71</v>
      </c>
      <c r="F83" s="96"/>
      <c r="G83" s="96"/>
      <c r="H83" s="102"/>
      <c r="I83" s="102"/>
      <c r="J83" s="102"/>
      <c r="K83" s="96"/>
      <c r="L83" s="96"/>
      <c r="M83" s="96"/>
      <c r="N83" s="96"/>
      <c r="O83" s="96"/>
      <c r="P83" s="100">
        <f>SUM(D83:O83)</f>
        <v>23714.71</v>
      </c>
      <c r="Q83" s="101">
        <f>SUM(BS83)</f>
        <v>17078.71</v>
      </c>
      <c r="R83" s="89">
        <f t="shared" si="65"/>
        <v>89.354120089428292</v>
      </c>
      <c r="S83" s="89">
        <f t="shared" si="66"/>
        <v>110.48024760221735</v>
      </c>
      <c r="T83" s="89">
        <f>IF(ISERROR((($P83-$BG83)/ABS($BG83)+1)*100),0,(($P83-$BG83)/ABS($BG83)+1)*100)</f>
        <v>234.12339633631646</v>
      </c>
      <c r="U83" s="96">
        <f>(+'[24]PF resc'!D89)*1000</f>
        <v>13249.504610063175</v>
      </c>
      <c r="V83" s="90">
        <f>IF(ISERROR((($E83-$U83)/ABS($U83)+1)*100),0,(($E83-$U83)/ABS($U83)+1)*100)</f>
        <v>84.461346513291574</v>
      </c>
      <c r="W83" s="3"/>
      <c r="X83" s="91">
        <f t="shared" si="67"/>
        <v>11183.672838977023</v>
      </c>
      <c r="Y83" s="96">
        <f t="shared" si="67"/>
        <v>10059.385690404901</v>
      </c>
      <c r="Z83" s="96"/>
      <c r="AA83" s="96"/>
      <c r="AB83" s="96"/>
      <c r="AC83" s="96"/>
      <c r="AD83" s="96"/>
      <c r="AE83" s="96"/>
      <c r="AF83" s="96"/>
      <c r="AG83" s="96"/>
      <c r="AH83" s="96"/>
      <c r="AI83" s="102"/>
      <c r="AJ83" s="103">
        <f>SUM(X83:AI83)</f>
        <v>21243.058529381924</v>
      </c>
      <c r="AK83" s="88">
        <f t="shared" si="68"/>
        <v>89.947066900474866</v>
      </c>
      <c r="AL83" s="96">
        <f>(+'[24]PF resc'!R89)*1000</f>
        <v>12037.174938242395</v>
      </c>
      <c r="AM83" s="90">
        <f t="shared" si="69"/>
        <v>83.569323716032315</v>
      </c>
      <c r="AN83" s="3"/>
      <c r="AO83" s="91">
        <f t="shared" si="70"/>
        <v>1340.3271610229772</v>
      </c>
      <c r="AP83" s="96">
        <f t="shared" si="70"/>
        <v>1131.3243095950986</v>
      </c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102">
        <f>SUM(AO83:AZ83)</f>
        <v>2471.651470618076</v>
      </c>
      <c r="BB83" s="89">
        <f t="shared" si="71"/>
        <v>84.406579415404721</v>
      </c>
      <c r="BC83" s="96">
        <f>(+'[24]PF resc'!AF89)*1000</f>
        <v>1212.3296718207805</v>
      </c>
      <c r="BD83" s="90">
        <f t="shared" si="72"/>
        <v>93.318206746188011</v>
      </c>
      <c r="BF83" s="91">
        <v>6949.56</v>
      </c>
      <c r="BG83" s="102">
        <v>10129.15</v>
      </c>
      <c r="BH83" s="102">
        <v>14865.46</v>
      </c>
      <c r="BI83" s="102">
        <v>14511.7</v>
      </c>
      <c r="BJ83" s="102">
        <v>12213.02</v>
      </c>
      <c r="BK83" s="102">
        <v>11689.61</v>
      </c>
      <c r="BL83" s="102">
        <v>9236.98</v>
      </c>
      <c r="BM83" s="102">
        <v>12138.33</v>
      </c>
      <c r="BN83" s="102">
        <v>8557.2800000000007</v>
      </c>
      <c r="BO83" s="102">
        <v>9305.2900000000009</v>
      </c>
      <c r="BP83" s="102">
        <v>10445.25</v>
      </c>
      <c r="BQ83" s="102">
        <v>9465.91</v>
      </c>
      <c r="BR83" s="102">
        <v>0</v>
      </c>
      <c r="BS83" s="94">
        <f t="shared" si="73"/>
        <v>17078.71</v>
      </c>
      <c r="BU83" s="83">
        <v>6536.4985213193595</v>
      </c>
      <c r="BV83" s="96">
        <v>9539.0565512569665</v>
      </c>
      <c r="BW83" s="96">
        <v>13995.029976549031</v>
      </c>
      <c r="BX83" s="96">
        <v>13663.462227658971</v>
      </c>
      <c r="BY83" s="96">
        <v>11523.020828607872</v>
      </c>
      <c r="BZ83" s="96">
        <v>10780.89189309319</v>
      </c>
      <c r="CA83" s="96">
        <v>8485.1787507266108</v>
      </c>
      <c r="CB83" s="96">
        <v>11162.606522878978</v>
      </c>
      <c r="CC83" s="96">
        <v>7786.4731473627653</v>
      </c>
      <c r="CD83" s="96">
        <v>8381.5405054057646</v>
      </c>
      <c r="CE83" s="96">
        <v>9336.6020555369287</v>
      </c>
      <c r="CF83" s="102">
        <v>8366.9267277398267</v>
      </c>
      <c r="CG83" s="96">
        <v>0</v>
      </c>
      <c r="CH83" s="105">
        <v>119557.28770813628</v>
      </c>
      <c r="CJ83" s="83">
        <v>413.06147868064056</v>
      </c>
      <c r="CK83" s="96">
        <v>590.09344874303247</v>
      </c>
      <c r="CL83" s="96">
        <v>870.43002345096761</v>
      </c>
      <c r="CM83" s="96">
        <v>848.23777234102988</v>
      </c>
      <c r="CN83" s="96">
        <v>689.99917139212857</v>
      </c>
      <c r="CO83" s="96">
        <v>908.71810690681082</v>
      </c>
      <c r="CP83" s="96">
        <v>751.80124927338932</v>
      </c>
      <c r="CQ83" s="96">
        <v>975.72347712102282</v>
      </c>
      <c r="CR83" s="96">
        <v>770.80685263723626</v>
      </c>
      <c r="CS83" s="96">
        <v>923.74949459423658</v>
      </c>
      <c r="CT83" s="96">
        <v>1108.6479444630709</v>
      </c>
      <c r="CU83" s="96">
        <v>1098.9832722601734</v>
      </c>
      <c r="CV83" s="96">
        <v>0</v>
      </c>
      <c r="CW83" s="106">
        <v>9950.2522918637387</v>
      </c>
      <c r="CY83" s="91">
        <v>370.27</v>
      </c>
      <c r="CZ83" s="102">
        <v>339.09</v>
      </c>
      <c r="DA83" s="102">
        <v>324.69</v>
      </c>
      <c r="DB83" s="102">
        <v>348.35</v>
      </c>
      <c r="DC83" s="102">
        <v>343.47</v>
      </c>
      <c r="DD83" s="102">
        <v>3594.46</v>
      </c>
      <c r="DE83" s="102">
        <v>2345.35</v>
      </c>
      <c r="DF83" s="102">
        <v>5964.77</v>
      </c>
      <c r="DG83" s="102">
        <v>9238.8799999999992</v>
      </c>
      <c r="DH83" s="102">
        <v>3645.7</v>
      </c>
      <c r="DI83" s="102">
        <v>7549.75</v>
      </c>
      <c r="DJ83" s="102">
        <v>12928.21</v>
      </c>
      <c r="DK83" s="94">
        <f t="shared" si="74"/>
        <v>46992.99</v>
      </c>
    </row>
    <row r="84" spans="1:115" ht="14.45" customHeight="1" outlineLevel="1">
      <c r="A84" s="123"/>
      <c r="B84" s="13" t="s">
        <v>105</v>
      </c>
      <c r="C84" s="14"/>
      <c r="D84" s="91">
        <f>SUM([24]Mar!Q127:Q131)</f>
        <v>1767.57</v>
      </c>
      <c r="E84" s="96">
        <f>SUM([24]Apr!N127:N131)</f>
        <v>1765.28</v>
      </c>
      <c r="F84" s="96"/>
      <c r="G84" s="96"/>
      <c r="H84" s="102"/>
      <c r="I84" s="102"/>
      <c r="J84" s="102"/>
      <c r="K84" s="96"/>
      <c r="L84" s="96"/>
      <c r="M84" s="96"/>
      <c r="N84" s="96"/>
      <c r="O84" s="96"/>
      <c r="P84" s="100">
        <f>SUM(D84:O84)</f>
        <v>3532.85</v>
      </c>
      <c r="Q84" s="101">
        <f>SUM(BS84)</f>
        <v>275.63</v>
      </c>
      <c r="R84" s="89">
        <f t="shared" si="65"/>
        <v>99.870443603365075</v>
      </c>
      <c r="S84" s="89">
        <f t="shared" si="66"/>
        <v>2942.1333333333332</v>
      </c>
      <c r="T84" s="89">
        <f>IF(ISERROR((($P84-$BG84)/ABS($BG84)+1)*100),0,(($P84-$BG84)/ABS($BG84)+1)*100)</f>
        <v>5888.0833333333339</v>
      </c>
      <c r="U84" s="96">
        <f>(+'[24]PF resc'!D90)*1000</f>
        <v>2484.3276047575691</v>
      </c>
      <c r="V84" s="90">
        <f>IF(ISERROR((($E84-$U84)/ABS($U84)+1)*100),0,(($E84-$U84)/ABS($U84)+1)*100)</f>
        <v>71.056651168687694</v>
      </c>
      <c r="W84" s="3"/>
      <c r="X84" s="91">
        <f t="shared" si="67"/>
        <v>1578.4034334071075</v>
      </c>
      <c r="Y84" s="96">
        <f t="shared" si="67"/>
        <v>1586.8191000890886</v>
      </c>
      <c r="Z84" s="96"/>
      <c r="AA84" s="96"/>
      <c r="AB84" s="96"/>
      <c r="AC84" s="96"/>
      <c r="AD84" s="96"/>
      <c r="AE84" s="96"/>
      <c r="AF84" s="96"/>
      <c r="AG84" s="96"/>
      <c r="AH84" s="96"/>
      <c r="AI84" s="102"/>
      <c r="AJ84" s="103">
        <f>SUM(X84:AI84)</f>
        <v>3165.2225334961959</v>
      </c>
      <c r="AK84" s="88">
        <f t="shared" si="68"/>
        <v>100.53317589811721</v>
      </c>
      <c r="AL84" s="96">
        <f>(+'[24]PF resc'!R90)*1000</f>
        <v>2257.0116289222515</v>
      </c>
      <c r="AM84" s="90">
        <f t="shared" si="69"/>
        <v>70.306199567381611</v>
      </c>
      <c r="AN84" s="3"/>
      <c r="AO84" s="91">
        <f t="shared" si="70"/>
        <v>189.16656659289234</v>
      </c>
      <c r="AP84" s="96">
        <f t="shared" si="70"/>
        <v>178.46089991091145</v>
      </c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102">
        <f>SUM(AO84:AZ84)</f>
        <v>367.62746650380382</v>
      </c>
      <c r="BB84" s="89">
        <f t="shared" si="71"/>
        <v>94.340613738039309</v>
      </c>
      <c r="BC84" s="96">
        <f>(+'[24]PF resc'!AF90)*1000</f>
        <v>227.3159758353176</v>
      </c>
      <c r="BD84" s="90">
        <f t="shared" si="72"/>
        <v>78.507856412256771</v>
      </c>
      <c r="BF84" s="91">
        <v>215.63</v>
      </c>
      <c r="BG84" s="102">
        <v>60</v>
      </c>
      <c r="BH84" s="102">
        <v>2749.98</v>
      </c>
      <c r="BI84" s="102">
        <v>4534.8599999999997</v>
      </c>
      <c r="BJ84" s="102">
        <v>1965.5</v>
      </c>
      <c r="BK84" s="102">
        <v>1943.66</v>
      </c>
      <c r="BL84" s="102">
        <v>1937.5</v>
      </c>
      <c r="BM84" s="102">
        <v>1937.5</v>
      </c>
      <c r="BN84" s="102">
        <v>1955.67</v>
      </c>
      <c r="BO84" s="102">
        <v>1945.13</v>
      </c>
      <c r="BP84" s="102">
        <v>1937.5</v>
      </c>
      <c r="BQ84" s="102">
        <v>1937.5</v>
      </c>
      <c r="BR84" s="102">
        <v>516.66999999999996</v>
      </c>
      <c r="BS84" s="94">
        <f t="shared" si="73"/>
        <v>275.63</v>
      </c>
      <c r="BU84" s="83">
        <v>202.81358476681882</v>
      </c>
      <c r="BV84" s="96">
        <v>56.50458262296619</v>
      </c>
      <c r="BW84" s="96">
        <v>2588.9580635184047</v>
      </c>
      <c r="BX84" s="96">
        <v>4269.7883995480579</v>
      </c>
      <c r="BY84" s="96">
        <v>1854.4551174589717</v>
      </c>
      <c r="BZ84" s="96">
        <v>1792.5652213315509</v>
      </c>
      <c r="CA84" s="96">
        <v>1779.8061519601438</v>
      </c>
      <c r="CB84" s="96">
        <v>1781.7566451132916</v>
      </c>
      <c r="CC84" s="96">
        <v>1779.5107721265329</v>
      </c>
      <c r="CD84" s="96">
        <v>1752.0341529688933</v>
      </c>
      <c r="CE84" s="96">
        <v>1731.8557700967233</v>
      </c>
      <c r="CF84" s="102">
        <v>1712.5580673169209</v>
      </c>
      <c r="CG84" s="96">
        <v>455.42098497303448</v>
      </c>
      <c r="CH84" s="105">
        <v>21758.027513802313</v>
      </c>
      <c r="CJ84" s="83">
        <v>12.816415233181168</v>
      </c>
      <c r="CK84" s="96">
        <v>3.4954173770338035</v>
      </c>
      <c r="CL84" s="96">
        <v>161.02193648159508</v>
      </c>
      <c r="CM84" s="96">
        <v>265.07160045194172</v>
      </c>
      <c r="CN84" s="96">
        <v>111.04488254102824</v>
      </c>
      <c r="CO84" s="96">
        <v>151.09477866844932</v>
      </c>
      <c r="CP84" s="96">
        <v>157.69384803985631</v>
      </c>
      <c r="CQ84" s="96">
        <v>155.7433548867086</v>
      </c>
      <c r="CR84" s="96">
        <v>176.15922787346724</v>
      </c>
      <c r="CS84" s="96">
        <v>193.09584703110676</v>
      </c>
      <c r="CT84" s="96">
        <v>205.6442299032766</v>
      </c>
      <c r="CU84" s="96">
        <v>224.94193268307919</v>
      </c>
      <c r="CV84" s="96">
        <v>61.249015026965452</v>
      </c>
      <c r="CW84" s="106">
        <v>1879.0724861976894</v>
      </c>
      <c r="CY84" s="91">
        <v>0</v>
      </c>
      <c r="CZ84" s="102">
        <v>0</v>
      </c>
      <c r="DA84" s="102">
        <v>0</v>
      </c>
      <c r="DB84" s="102">
        <v>0</v>
      </c>
      <c r="DC84" s="102">
        <v>0</v>
      </c>
      <c r="DD84" s="102">
        <v>0</v>
      </c>
      <c r="DE84" s="102">
        <v>0</v>
      </c>
      <c r="DF84" s="102">
        <v>0</v>
      </c>
      <c r="DG84" s="102">
        <v>0</v>
      </c>
      <c r="DH84" s="102">
        <v>960</v>
      </c>
      <c r="DI84" s="102">
        <v>0</v>
      </c>
      <c r="DJ84" s="102">
        <v>846.53</v>
      </c>
      <c r="DK84" s="94">
        <f t="shared" si="74"/>
        <v>1806.53</v>
      </c>
    </row>
    <row r="85" spans="1:115" ht="14.45" customHeight="1" outlineLevel="1">
      <c r="A85" s="123"/>
      <c r="B85" s="13" t="s">
        <v>106</v>
      </c>
      <c r="C85" s="14"/>
      <c r="D85" s="91">
        <f>[24]Mar!Q132+[24]Mar!Q133</f>
        <v>0</v>
      </c>
      <c r="E85" s="96">
        <f>[24]Apr!N132+[24]Apr!N133</f>
        <v>0</v>
      </c>
      <c r="F85" s="96"/>
      <c r="G85" s="96"/>
      <c r="H85" s="102"/>
      <c r="I85" s="102"/>
      <c r="J85" s="102"/>
      <c r="K85" s="96"/>
      <c r="L85" s="96"/>
      <c r="M85" s="96"/>
      <c r="N85" s="96"/>
      <c r="O85" s="96"/>
      <c r="P85" s="100">
        <f>SUM(D85:O85)</f>
        <v>0</v>
      </c>
      <c r="Q85" s="101">
        <f>SUM(BS85)</f>
        <v>13.5</v>
      </c>
      <c r="R85" s="89">
        <f t="shared" si="65"/>
        <v>0</v>
      </c>
      <c r="S85" s="89">
        <f t="shared" si="66"/>
        <v>0</v>
      </c>
      <c r="T85" s="89">
        <f>IF(ISERROR((($P85-$BG85)/ABS($BG85)+1)*100),0,(($P85-$BG85)/ABS($BG85)+1)*100)</f>
        <v>0</v>
      </c>
      <c r="U85" s="96">
        <f>(+'[24]PF resc'!D91)*1000</f>
        <v>1.2463496446106759</v>
      </c>
      <c r="V85" s="90">
        <f>IF(ISERROR((($E85-$U85)/ABS($U85)+1)*100),0,(($E85-$U85)/ABS($U85)+1)*100)</f>
        <v>0</v>
      </c>
      <c r="W85" s="3"/>
      <c r="X85" s="91">
        <f t="shared" si="67"/>
        <v>0</v>
      </c>
      <c r="Y85" s="96">
        <f t="shared" si="67"/>
        <v>0</v>
      </c>
      <c r="Z85" s="96"/>
      <c r="AA85" s="96"/>
      <c r="AB85" s="96"/>
      <c r="AC85" s="96"/>
      <c r="AD85" s="96"/>
      <c r="AE85" s="96"/>
      <c r="AF85" s="96"/>
      <c r="AG85" s="96"/>
      <c r="AH85" s="96"/>
      <c r="AI85" s="102"/>
      <c r="AJ85" s="103">
        <f>SUM(X85:AI85)</f>
        <v>0</v>
      </c>
      <c r="AK85" s="88">
        <f t="shared" si="68"/>
        <v>0</v>
      </c>
      <c r="AL85" s="96">
        <f>(+'[24]PF resc'!R91)*1000</f>
        <v>1.1323086521287991</v>
      </c>
      <c r="AM85" s="90">
        <f t="shared" si="69"/>
        <v>0</v>
      </c>
      <c r="AN85" s="3"/>
      <c r="AO85" s="91">
        <f t="shared" si="70"/>
        <v>0</v>
      </c>
      <c r="AP85" s="96">
        <f t="shared" si="70"/>
        <v>0</v>
      </c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102">
        <f>SUM(AO85:AZ85)</f>
        <v>0</v>
      </c>
      <c r="BB85" s="89">
        <f t="shared" si="71"/>
        <v>0</v>
      </c>
      <c r="BC85" s="96">
        <f>(+'[24]PF resc'!AF91)*1000</f>
        <v>0.11404099248187685</v>
      </c>
      <c r="BD85" s="90">
        <f t="shared" si="72"/>
        <v>0</v>
      </c>
      <c r="BF85" s="91">
        <v>0</v>
      </c>
      <c r="BG85" s="102">
        <v>13.5</v>
      </c>
      <c r="BH85" s="102">
        <v>0</v>
      </c>
      <c r="BI85" s="102">
        <v>0</v>
      </c>
      <c r="BJ85" s="102">
        <v>0</v>
      </c>
      <c r="BK85" s="102">
        <v>0</v>
      </c>
      <c r="BL85" s="102">
        <v>0</v>
      </c>
      <c r="BM85" s="102">
        <v>0</v>
      </c>
      <c r="BN85" s="102">
        <v>0</v>
      </c>
      <c r="BO85" s="102">
        <v>0</v>
      </c>
      <c r="BP85" s="102">
        <v>0</v>
      </c>
      <c r="BQ85" s="102">
        <v>0</v>
      </c>
      <c r="BR85" s="102">
        <v>0</v>
      </c>
      <c r="BS85" s="94">
        <f t="shared" si="73"/>
        <v>13.5</v>
      </c>
      <c r="BU85" s="83">
        <v>0</v>
      </c>
      <c r="BV85" s="96">
        <v>12.713531090167393</v>
      </c>
      <c r="BW85" s="96">
        <v>0</v>
      </c>
      <c r="BX85" s="96">
        <v>0</v>
      </c>
      <c r="BY85" s="96">
        <v>0</v>
      </c>
      <c r="BZ85" s="96">
        <v>0</v>
      </c>
      <c r="CA85" s="96">
        <v>0</v>
      </c>
      <c r="CB85" s="96">
        <v>0</v>
      </c>
      <c r="CC85" s="96">
        <v>0</v>
      </c>
      <c r="CD85" s="96">
        <v>0</v>
      </c>
      <c r="CE85" s="96">
        <v>0</v>
      </c>
      <c r="CF85" s="102">
        <v>0</v>
      </c>
      <c r="CG85" s="96">
        <v>0</v>
      </c>
      <c r="CH85" s="105">
        <v>12.713531090167393</v>
      </c>
      <c r="CJ85" s="83">
        <v>0</v>
      </c>
      <c r="CK85" s="96">
        <v>0.78646890983260576</v>
      </c>
      <c r="CL85" s="96">
        <v>0</v>
      </c>
      <c r="CM85" s="96">
        <v>0</v>
      </c>
      <c r="CN85" s="96">
        <v>0</v>
      </c>
      <c r="CO85" s="96">
        <v>0</v>
      </c>
      <c r="CP85" s="96">
        <v>0</v>
      </c>
      <c r="CQ85" s="96">
        <v>0</v>
      </c>
      <c r="CR85" s="96">
        <v>0</v>
      </c>
      <c r="CS85" s="96">
        <v>0</v>
      </c>
      <c r="CT85" s="96">
        <v>0</v>
      </c>
      <c r="CU85" s="96">
        <v>0</v>
      </c>
      <c r="CV85" s="96">
        <v>0</v>
      </c>
      <c r="CW85" s="106">
        <v>0.78646890983260576</v>
      </c>
      <c r="CY85" s="91">
        <v>553.5</v>
      </c>
      <c r="CZ85" s="102">
        <v>0</v>
      </c>
      <c r="DA85" s="102">
        <v>80</v>
      </c>
      <c r="DB85" s="102">
        <v>709</v>
      </c>
      <c r="DC85" s="102">
        <v>177.6</v>
      </c>
      <c r="DD85" s="102">
        <v>97.05</v>
      </c>
      <c r="DE85" s="102">
        <v>77.27</v>
      </c>
      <c r="DF85" s="102">
        <v>105.39</v>
      </c>
      <c r="DG85" s="102">
        <v>99.56</v>
      </c>
      <c r="DH85" s="102">
        <v>25</v>
      </c>
      <c r="DI85" s="102">
        <v>561.75</v>
      </c>
      <c r="DJ85" s="102">
        <v>0</v>
      </c>
      <c r="DK85" s="94">
        <f t="shared" si="74"/>
        <v>2486.12</v>
      </c>
    </row>
    <row r="86" spans="1:115" ht="14.45" customHeight="1" outlineLevel="1">
      <c r="A86" s="123"/>
      <c r="B86" s="13" t="s">
        <v>107</v>
      </c>
      <c r="C86" s="14"/>
      <c r="D86" s="91">
        <f>[24]Mar!Q134</f>
        <v>2611.6439999999998</v>
      </c>
      <c r="E86" s="96">
        <f>[24]Apr!N134</f>
        <v>2611.6439999999998</v>
      </c>
      <c r="F86" s="96"/>
      <c r="G86" s="96"/>
      <c r="H86" s="102"/>
      <c r="I86" s="102"/>
      <c r="J86" s="102"/>
      <c r="K86" s="96"/>
      <c r="L86" s="96"/>
      <c r="M86" s="96"/>
      <c r="N86" s="96"/>
      <c r="O86" s="96"/>
      <c r="P86" s="100">
        <f>SUM(D86:O86)</f>
        <v>5223.2879999999996</v>
      </c>
      <c r="Q86" s="101">
        <f>SUM(BS86)</f>
        <v>6681.43</v>
      </c>
      <c r="R86" s="89">
        <f t="shared" si="65"/>
        <v>100</v>
      </c>
      <c r="S86" s="89">
        <f t="shared" si="66"/>
        <v>69.553142701916698</v>
      </c>
      <c r="T86" s="89">
        <f>IF(ISERROR((($P86-$BG86)/ABS($BG86)+1)*100),0,(($P86-$BG86)/ABS($BG86)+1)*100)</f>
        <v>139.1062854038334</v>
      </c>
      <c r="U86" s="96">
        <f>(+'[24]PF resc'!D92)*1000</f>
        <v>2861.787130613598</v>
      </c>
      <c r="V86" s="90">
        <f>IF(ISERROR((($E86-$U86)/ABS($U86)+1)*100),0,(($E86-$U86)/ABS($U86)+1)*100)</f>
        <v>91.259198563802158</v>
      </c>
      <c r="W86" s="3"/>
      <c r="X86" s="91">
        <f t="shared" si="67"/>
        <v>2332.1440488563803</v>
      </c>
      <c r="Y86" s="96">
        <f t="shared" si="67"/>
        <v>2347.6199706749453</v>
      </c>
      <c r="Z86" s="96"/>
      <c r="AA86" s="96"/>
      <c r="AB86" s="96"/>
      <c r="AC86" s="96"/>
      <c r="AD86" s="96"/>
      <c r="AE86" s="96"/>
      <c r="AF86" s="96"/>
      <c r="AG86" s="96"/>
      <c r="AH86" s="96"/>
      <c r="AI86" s="102"/>
      <c r="AJ86" s="103">
        <f>SUM(X86:AI86)</f>
        <v>4679.7640195313252</v>
      </c>
      <c r="AK86" s="88">
        <f t="shared" si="68"/>
        <v>100.66359202066243</v>
      </c>
      <c r="AL86" s="96">
        <f>(+'[24]PF resc'!R92)*1000</f>
        <v>2599.9336081624538</v>
      </c>
      <c r="AM86" s="90">
        <f t="shared" si="69"/>
        <v>90.295381516844373</v>
      </c>
      <c r="AN86" s="3"/>
      <c r="AO86" s="91">
        <f t="shared" si="70"/>
        <v>279.49995114361963</v>
      </c>
      <c r="AP86" s="96">
        <f t="shared" si="70"/>
        <v>264.02402932505458</v>
      </c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102">
        <f>SUM(AO86:AZ86)</f>
        <v>543.52398046867415</v>
      </c>
      <c r="BB86" s="89">
        <f t="shared" si="71"/>
        <v>94.462996592577994</v>
      </c>
      <c r="BC86" s="96">
        <f>(+'[24]PF resc'!AF92)*1000</f>
        <v>261.85352245114422</v>
      </c>
      <c r="BD86" s="90">
        <f t="shared" si="72"/>
        <v>100.82890115572738</v>
      </c>
      <c r="BF86" s="91">
        <v>2926.54</v>
      </c>
      <c r="BG86" s="102">
        <v>3754.89</v>
      </c>
      <c r="BH86" s="102">
        <v>2926.54</v>
      </c>
      <c r="BI86" s="102">
        <v>2926.54</v>
      </c>
      <c r="BJ86" s="102">
        <v>2926.54</v>
      </c>
      <c r="BK86" s="102">
        <v>2926.54</v>
      </c>
      <c r="BL86" s="102">
        <v>2015.692</v>
      </c>
      <c r="BM86" s="102">
        <v>2611.6439999999998</v>
      </c>
      <c r="BN86" s="102">
        <v>2611.6439999999998</v>
      </c>
      <c r="BO86" s="102">
        <v>2611.6439999999998</v>
      </c>
      <c r="BP86" s="102">
        <v>2611.6439999999998</v>
      </c>
      <c r="BQ86" s="102">
        <v>2611.6439999999998</v>
      </c>
      <c r="BR86" s="102">
        <v>2611.6439999999998</v>
      </c>
      <c r="BS86" s="94">
        <f t="shared" si="73"/>
        <v>6681.43</v>
      </c>
      <c r="BU86" s="83">
        <v>2752.5950394819179</v>
      </c>
      <c r="BV86" s="96">
        <v>3536.1415374191583</v>
      </c>
      <c r="BW86" s="96">
        <v>2755.1797944745604</v>
      </c>
      <c r="BX86" s="96">
        <v>2755.4779073253362</v>
      </c>
      <c r="BY86" s="96">
        <v>2761.1992263792313</v>
      </c>
      <c r="BZ86" s="96">
        <v>2699.0388354113561</v>
      </c>
      <c r="CA86" s="96">
        <v>1851.6340759003076</v>
      </c>
      <c r="CB86" s="96">
        <v>2401.7104782814231</v>
      </c>
      <c r="CC86" s="96">
        <v>2376.3971584979195</v>
      </c>
      <c r="CD86" s="96">
        <v>2352.3823515118743</v>
      </c>
      <c r="CE86" s="96">
        <v>2334.4468288198641</v>
      </c>
      <c r="CF86" s="102">
        <v>2308.4345812437841</v>
      </c>
      <c r="CG86" s="96">
        <v>2302.0447923798861</v>
      </c>
      <c r="CH86" s="105">
        <v>33186.682607126611</v>
      </c>
      <c r="CJ86" s="83">
        <v>173.94496051808196</v>
      </c>
      <c r="CK86" s="96">
        <v>218.74846258084096</v>
      </c>
      <c r="CL86" s="96">
        <v>171.36020552543917</v>
      </c>
      <c r="CM86" s="96">
        <v>171.06209267466372</v>
      </c>
      <c r="CN86" s="96">
        <v>165.34077362076866</v>
      </c>
      <c r="CO86" s="96">
        <v>227.50116458864392</v>
      </c>
      <c r="CP86" s="96">
        <v>164.0579240996924</v>
      </c>
      <c r="CQ86" s="96">
        <v>209.93352171857711</v>
      </c>
      <c r="CR86" s="96">
        <v>235.24684150208031</v>
      </c>
      <c r="CS86" s="96">
        <v>259.26164848812556</v>
      </c>
      <c r="CT86" s="96">
        <v>277.19717118013568</v>
      </c>
      <c r="CU86" s="96">
        <v>303.20941875621554</v>
      </c>
      <c r="CV86" s="96">
        <v>309.59920762011376</v>
      </c>
      <c r="CW86" s="106">
        <v>2886.4633928733788</v>
      </c>
      <c r="CY86" s="91">
        <v>0</v>
      </c>
      <c r="CZ86" s="102">
        <v>0</v>
      </c>
      <c r="DA86" s="102">
        <v>0</v>
      </c>
      <c r="DB86" s="102">
        <v>0</v>
      </c>
      <c r="DC86" s="102">
        <v>0</v>
      </c>
      <c r="DD86" s="102">
        <v>2633.87</v>
      </c>
      <c r="DE86" s="102">
        <v>2633.88</v>
      </c>
      <c r="DF86" s="102">
        <v>2633.88</v>
      </c>
      <c r="DG86" s="102">
        <v>2926.54</v>
      </c>
      <c r="DH86" s="102">
        <v>2926.54</v>
      </c>
      <c r="DI86" s="102">
        <v>2926.54</v>
      </c>
      <c r="DJ86" s="102">
        <v>2926.54</v>
      </c>
      <c r="DK86" s="94">
        <f t="shared" si="74"/>
        <v>19607.79</v>
      </c>
    </row>
    <row r="87" spans="1:115" ht="14.45" customHeight="1" outlineLevel="1">
      <c r="A87" s="123"/>
      <c r="B87" s="13"/>
      <c r="C87" s="14"/>
      <c r="D87" s="91"/>
      <c r="E87" s="96"/>
      <c r="F87" s="104"/>
      <c r="G87" s="102"/>
      <c r="H87" s="102"/>
      <c r="I87" s="102"/>
      <c r="J87" s="102"/>
      <c r="K87" s="96"/>
      <c r="L87" s="102"/>
      <c r="M87" s="102"/>
      <c r="N87" s="102"/>
      <c r="O87" s="102"/>
      <c r="P87" s="100"/>
      <c r="Q87" s="101"/>
      <c r="R87" s="89"/>
      <c r="S87" s="89">
        <f>IF(ISERROR((($N87-$BP87)/ABS($BP87)+1)*100),0,(($N87-$BP87)/ABS($BP87)+1)*100)</f>
        <v>0</v>
      </c>
      <c r="T87" s="89">
        <f>IF(ISERROR((($N87-$BP87)/ABS($BP87)+1)*100),0,(($N87-$BP87)/ABS($BP87)+1)*100)</f>
        <v>0</v>
      </c>
      <c r="U87" s="89"/>
      <c r="V87" s="90"/>
      <c r="W87" s="3"/>
      <c r="X87" s="91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102"/>
      <c r="AJ87" s="103"/>
      <c r="AK87" s="88">
        <f t="shared" si="68"/>
        <v>0</v>
      </c>
      <c r="AL87" s="89"/>
      <c r="AM87" s="90"/>
      <c r="AN87" s="3"/>
      <c r="AO87" s="91"/>
      <c r="AP87" s="96"/>
      <c r="AQ87" s="96"/>
      <c r="AR87" s="96"/>
      <c r="AS87" s="96"/>
      <c r="AT87" s="96"/>
      <c r="AU87" s="96"/>
      <c r="AV87" s="96"/>
      <c r="AW87" s="96"/>
      <c r="AX87" s="102"/>
      <c r="AY87" s="102"/>
      <c r="AZ87" s="96"/>
      <c r="BA87" s="102"/>
      <c r="BB87" s="89">
        <f>IF(ISERROR((($CU87-$AX87)/ABS($AX87)+1)*100),0,(($CU87-$AX87)/ABS($AX87)+1)*100)</f>
        <v>0</v>
      </c>
      <c r="BC87" s="96">
        <v>0</v>
      </c>
      <c r="BD87" s="90">
        <f t="shared" si="72"/>
        <v>0</v>
      </c>
      <c r="BF87" s="91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94"/>
      <c r="BU87" s="83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102"/>
      <c r="CG87" s="96"/>
      <c r="CH87" s="105"/>
      <c r="CJ87" s="83"/>
      <c r="CK87" s="96"/>
      <c r="CL87" s="96"/>
      <c r="CM87" s="96"/>
      <c r="CN87" s="96"/>
      <c r="CO87" s="96"/>
      <c r="CP87" s="96"/>
      <c r="CQ87" s="96"/>
      <c r="CR87" s="96"/>
      <c r="CS87" s="102"/>
      <c r="CT87" s="102"/>
      <c r="CU87" s="96"/>
      <c r="CV87" s="96"/>
      <c r="CW87" s="106"/>
      <c r="CY87" s="91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94"/>
    </row>
    <row r="88" spans="1:115" ht="14.45" customHeight="1">
      <c r="A88" s="107" t="s">
        <v>108</v>
      </c>
      <c r="B88" s="136"/>
      <c r="C88" s="137"/>
      <c r="D88" s="118">
        <f t="shared" ref="D88:K88" si="75">SUM(D82:D87)</f>
        <v>32706.243999999999</v>
      </c>
      <c r="E88" s="111">
        <f t="shared" ref="E88" si="76">SUM(E82:E87)</f>
        <v>31370.663999999997</v>
      </c>
      <c r="F88" s="112">
        <f t="shared" si="75"/>
        <v>0</v>
      </c>
      <c r="G88" s="113">
        <f t="shared" si="75"/>
        <v>0</v>
      </c>
      <c r="H88" s="113">
        <f>SUM(H82:H87)</f>
        <v>0</v>
      </c>
      <c r="I88" s="113">
        <f>SUM(I82:I87)</f>
        <v>0</v>
      </c>
      <c r="J88" s="113">
        <f t="shared" si="75"/>
        <v>0</v>
      </c>
      <c r="K88" s="111">
        <f t="shared" si="75"/>
        <v>0</v>
      </c>
      <c r="L88" s="113">
        <f t="shared" ref="L88:O88" si="77">SUM(L82:L87)</f>
        <v>0</v>
      </c>
      <c r="M88" s="113">
        <f t="shared" si="77"/>
        <v>0</v>
      </c>
      <c r="N88" s="113">
        <f t="shared" si="77"/>
        <v>0</v>
      </c>
      <c r="O88" s="113">
        <f t="shared" si="77"/>
        <v>0</v>
      </c>
      <c r="P88" s="114">
        <f>SUM(D88:O88)</f>
        <v>64076.907999999996</v>
      </c>
      <c r="Q88" s="114">
        <f>SUM(BS88)</f>
        <v>53319.81</v>
      </c>
      <c r="R88" s="115">
        <f>IF(ISERROR((($E88-$D88)/ABS($D88)+1)*100),0,(($E88-$D88)/ABS($D88)+1)*100)</f>
        <v>95.916437240546486</v>
      </c>
      <c r="S88" s="115">
        <f>IF(ISERROR((($E88-$BG88)/ABS($BG88)+1)*100),0,(($E88-$BG88)/ABS($BG88)+1)*100)</f>
        <v>109.71521861614862</v>
      </c>
      <c r="T88" s="115">
        <f>IF(ISERROR((($P88-$BG88)/ABS($BG88)+1)*100),0,(($P88-$BG88)/ABS($BG88)+1)*100)</f>
        <v>224.10147166368048</v>
      </c>
      <c r="U88" s="111">
        <f t="shared" ref="U88" si="78">SUM(U82:U87)</f>
        <v>34399.895695078951</v>
      </c>
      <c r="V88" s="117">
        <f>IF(ISERROR((($E88-$U88)/ABS($U88)+1)*100),0,(($E88-$U88)/ABS($U88)+1)*100)</f>
        <v>91.194067209011052</v>
      </c>
      <c r="W88" s="3"/>
      <c r="X88" s="118">
        <f t="shared" ref="X88:AI88" si="79">SUM(X82:X87)</f>
        <v>29205.999096754647</v>
      </c>
      <c r="Y88" s="111">
        <f t="shared" ref="Y88" si="80">SUM(Y82:Y87)</f>
        <v>28199.248174610919</v>
      </c>
      <c r="Z88" s="111">
        <f t="shared" si="79"/>
        <v>0</v>
      </c>
      <c r="AA88" s="111">
        <f t="shared" si="79"/>
        <v>0</v>
      </c>
      <c r="AB88" s="111">
        <f t="shared" si="79"/>
        <v>0</v>
      </c>
      <c r="AC88" s="111">
        <f t="shared" si="79"/>
        <v>0</v>
      </c>
      <c r="AD88" s="111">
        <f t="shared" si="79"/>
        <v>0</v>
      </c>
      <c r="AE88" s="111">
        <f t="shared" si="79"/>
        <v>0</v>
      </c>
      <c r="AF88" s="111">
        <f t="shared" si="79"/>
        <v>0</v>
      </c>
      <c r="AG88" s="111">
        <f t="shared" si="79"/>
        <v>0</v>
      </c>
      <c r="AH88" s="111">
        <f t="shared" ref="AH88" si="81">SUM(AH82:AH87)</f>
        <v>0</v>
      </c>
      <c r="AI88" s="113">
        <f t="shared" si="79"/>
        <v>0</v>
      </c>
      <c r="AJ88" s="119">
        <f>SUM(X88:AI88)</f>
        <v>57405.247271365566</v>
      </c>
      <c r="AK88" s="116">
        <f t="shared" si="68"/>
        <v>96.552931064578445</v>
      </c>
      <c r="AL88" s="111">
        <f t="shared" ref="AL88" si="82">SUM(AL82:AL87)</f>
        <v>31252.305238979232</v>
      </c>
      <c r="AM88" s="117">
        <f>IF(ISERROR((($Y88-$AL88)/ABS($AL88)+1)*100),0,(($Y88-$AL88)/ABS($AL88)+1)*100)</f>
        <v>90.230938034739253</v>
      </c>
      <c r="AN88" s="3"/>
      <c r="AO88" s="118">
        <f t="shared" ref="AO88:AZ88" si="83">SUM(AO82:AO87)</f>
        <v>3500.244903245351</v>
      </c>
      <c r="AP88" s="111">
        <f t="shared" si="83"/>
        <v>3171.4158253890787</v>
      </c>
      <c r="AQ88" s="111">
        <f t="shared" si="83"/>
        <v>0</v>
      </c>
      <c r="AR88" s="111">
        <f t="shared" si="83"/>
        <v>0</v>
      </c>
      <c r="AS88" s="111">
        <f t="shared" si="83"/>
        <v>0</v>
      </c>
      <c r="AT88" s="111">
        <f t="shared" si="83"/>
        <v>0</v>
      </c>
      <c r="AU88" s="111">
        <f t="shared" si="83"/>
        <v>0</v>
      </c>
      <c r="AV88" s="111">
        <f t="shared" si="83"/>
        <v>0</v>
      </c>
      <c r="AW88" s="111">
        <f t="shared" si="83"/>
        <v>0</v>
      </c>
      <c r="AX88" s="113">
        <f t="shared" si="83"/>
        <v>0</v>
      </c>
      <c r="AY88" s="113">
        <f t="shared" ref="AY88" si="84">SUM(AY82:AY87)</f>
        <v>0</v>
      </c>
      <c r="AZ88" s="111">
        <f t="shared" si="83"/>
        <v>0</v>
      </c>
      <c r="BA88" s="120">
        <f>SUM(AO88:AZ88)</f>
        <v>6671.6607286344297</v>
      </c>
      <c r="BB88" s="115">
        <f>IF(ISERROR((($AP88-$AO88)/ABS($AO88)+1)*100),0,(($AP88-$AO88)/ABS($AO88)+1)*100)</f>
        <v>90.605540842259657</v>
      </c>
      <c r="BC88" s="111">
        <f t="shared" ref="BC88" si="85">SUM(BC82:BC87)</f>
        <v>3147.5904560997242</v>
      </c>
      <c r="BD88" s="117">
        <f t="shared" si="72"/>
        <v>100.75693993934895</v>
      </c>
      <c r="BF88" s="118">
        <v>24727.000000000004</v>
      </c>
      <c r="BG88" s="113">
        <v>28592.809999999998</v>
      </c>
      <c r="BH88" s="113">
        <v>35177.25</v>
      </c>
      <c r="BI88" s="113">
        <v>36608.370000000003</v>
      </c>
      <c r="BJ88" s="113">
        <v>31740.33</v>
      </c>
      <c r="BK88" s="113">
        <v>31195.08</v>
      </c>
      <c r="BL88" s="113">
        <v>27896.851999999999</v>
      </c>
      <c r="BM88" s="113">
        <v>31337.094000000001</v>
      </c>
      <c r="BN88" s="113">
        <v>26873.004000000001</v>
      </c>
      <c r="BO88" s="113">
        <v>28511.064000000002</v>
      </c>
      <c r="BP88" s="113">
        <v>30797.423999999999</v>
      </c>
      <c r="BQ88" s="113">
        <v>29818.084000000003</v>
      </c>
      <c r="BR88" s="113">
        <v>3128.3139999999999</v>
      </c>
      <c r="BS88" s="121">
        <f>SUM(BF88:BG88)</f>
        <v>53319.81</v>
      </c>
      <c r="BU88" s="110">
        <v>23257.299589709826</v>
      </c>
      <c r="BV88" s="111">
        <v>26927.079917796233</v>
      </c>
      <c r="BW88" s="111">
        <v>33117.486323501558</v>
      </c>
      <c r="BX88" s="111">
        <v>34468.5378495396</v>
      </c>
      <c r="BY88" s="111">
        <v>29947.096107014262</v>
      </c>
      <c r="BZ88" s="111">
        <v>28770.060342166551</v>
      </c>
      <c r="CA88" s="111">
        <v>25626.316805120845</v>
      </c>
      <c r="CB88" s="111">
        <v>28818.103469956055</v>
      </c>
      <c r="CC88" s="111">
        <v>24452.387211236768</v>
      </c>
      <c r="CD88" s="111">
        <v>25680.72975352902</v>
      </c>
      <c r="CE88" s="111">
        <v>27528.61752697565</v>
      </c>
      <c r="CF88" s="113">
        <v>26356.232416068953</v>
      </c>
      <c r="CG88" s="111">
        <v>2757.4657773529207</v>
      </c>
      <c r="CH88" s="122">
        <v>337707.41308996821</v>
      </c>
      <c r="CJ88" s="110">
        <v>1469.7004102901765</v>
      </c>
      <c r="CK88" s="111">
        <v>1665.7300822037651</v>
      </c>
      <c r="CL88" s="111">
        <v>2059.7636764984436</v>
      </c>
      <c r="CM88" s="111">
        <v>2139.8321504604</v>
      </c>
      <c r="CN88" s="111">
        <v>1793.2338929857417</v>
      </c>
      <c r="CO88" s="111">
        <v>2425.0196578334535</v>
      </c>
      <c r="CP88" s="111">
        <v>2270.535194879154</v>
      </c>
      <c r="CQ88" s="111">
        <v>2518.9905300439468</v>
      </c>
      <c r="CR88" s="111">
        <v>2420.6167887632355</v>
      </c>
      <c r="CS88" s="113">
        <v>2830.3342464709781</v>
      </c>
      <c r="CT88" s="113">
        <v>3268.806473024355</v>
      </c>
      <c r="CU88" s="111">
        <v>3461.8515839310458</v>
      </c>
      <c r="CV88" s="111">
        <v>370.84822264707918</v>
      </c>
      <c r="CW88" s="122">
        <v>28695.262910031775</v>
      </c>
      <c r="CY88" s="118">
        <v>9726.9700000000012</v>
      </c>
      <c r="CZ88" s="113">
        <v>9142.2900000000009</v>
      </c>
      <c r="DA88" s="113">
        <v>9207.8900000000012</v>
      </c>
      <c r="DB88" s="113">
        <v>9860.5500000000011</v>
      </c>
      <c r="DC88" s="113">
        <v>9324.27</v>
      </c>
      <c r="DD88" s="113">
        <v>17428.339999999997</v>
      </c>
      <c r="DE88" s="113">
        <v>18459.22</v>
      </c>
      <c r="DF88" s="113">
        <v>23339.31</v>
      </c>
      <c r="DG88" s="113">
        <v>26900.250000000004</v>
      </c>
      <c r="DH88" s="113">
        <v>22192.510000000002</v>
      </c>
      <c r="DI88" s="113">
        <v>25673.31</v>
      </c>
      <c r="DJ88" s="113">
        <v>31336.55</v>
      </c>
      <c r="DK88" s="121">
        <f>SUM(CY88:DJ88)</f>
        <v>212591.46</v>
      </c>
    </row>
    <row r="89" spans="1:115" ht="14.45" customHeight="1" outlineLevel="1">
      <c r="A89" s="134"/>
      <c r="B89" s="13"/>
      <c r="C89" s="14"/>
      <c r="D89" s="91"/>
      <c r="E89" s="96"/>
      <c r="F89" s="104"/>
      <c r="G89" s="102"/>
      <c r="H89" s="102"/>
      <c r="I89" s="102"/>
      <c r="J89" s="102"/>
      <c r="K89" s="96"/>
      <c r="L89" s="102"/>
      <c r="M89" s="102"/>
      <c r="N89" s="102"/>
      <c r="O89" s="102"/>
      <c r="P89" s="100"/>
      <c r="Q89" s="101"/>
      <c r="R89" s="89"/>
      <c r="S89" s="89"/>
      <c r="T89" s="89"/>
      <c r="U89" s="89"/>
      <c r="V89" s="90"/>
      <c r="W89" s="3"/>
      <c r="X89" s="91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102"/>
      <c r="AJ89" s="103"/>
      <c r="AK89" s="88">
        <f>IF(ISERROR((($AH89-$AG89)/ABS($AG89)+1)*100),0,(($AH89-$AG89)/ABS($AG89)+1)*100)</f>
        <v>0</v>
      </c>
      <c r="AL89" s="89"/>
      <c r="AM89" s="90"/>
      <c r="AN89" s="3"/>
      <c r="AO89" s="91"/>
      <c r="AP89" s="96"/>
      <c r="AQ89" s="96"/>
      <c r="AR89" s="96"/>
      <c r="AS89" s="96"/>
      <c r="AT89" s="96"/>
      <c r="AU89" s="96"/>
      <c r="AV89" s="96"/>
      <c r="AW89" s="102"/>
      <c r="AX89" s="102"/>
      <c r="AY89" s="102"/>
      <c r="AZ89" s="96"/>
      <c r="BA89" s="102"/>
      <c r="BB89" s="89">
        <f>IF(ISERROR((($AO89-$CU89)/ABS($CU89)+1)*100),0,(($AO89-$CU89)/ABS($CU89)+1)*100)</f>
        <v>0</v>
      </c>
      <c r="BC89" s="89"/>
      <c r="BD89" s="90"/>
      <c r="BF89" s="91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94"/>
      <c r="BU89" s="83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102"/>
      <c r="CG89" s="96"/>
      <c r="CH89" s="105"/>
      <c r="CJ89" s="83"/>
      <c r="CK89" s="96"/>
      <c r="CL89" s="96"/>
      <c r="CM89" s="96"/>
      <c r="CN89" s="96"/>
      <c r="CO89" s="96"/>
      <c r="CP89" s="96"/>
      <c r="CQ89" s="96"/>
      <c r="CR89" s="102"/>
      <c r="CS89" s="102"/>
      <c r="CT89" s="102"/>
      <c r="CU89" s="96"/>
      <c r="CV89" s="96"/>
      <c r="CW89" s="106"/>
      <c r="CY89" s="91"/>
      <c r="CZ89" s="102"/>
      <c r="DA89" s="102"/>
      <c r="DB89" s="102"/>
      <c r="DC89" s="102"/>
      <c r="DD89" s="102"/>
      <c r="DE89" s="102"/>
      <c r="DF89" s="102"/>
      <c r="DG89" s="102"/>
      <c r="DH89" s="102"/>
      <c r="DI89" s="102"/>
      <c r="DJ89" s="102"/>
      <c r="DK89" s="94"/>
    </row>
    <row r="90" spans="1:115" ht="14.45" customHeight="1" outlineLevel="1">
      <c r="A90" s="134"/>
      <c r="B90" s="13" t="s">
        <v>109</v>
      </c>
      <c r="C90" s="14"/>
      <c r="D90" s="91">
        <f>[24]Mar!Q136+[24]Mar!Q137</f>
        <v>3128.18</v>
      </c>
      <c r="E90" s="96">
        <f>[24]Apr!N136+[24]Apr!N137</f>
        <v>3031.56</v>
      </c>
      <c r="F90" s="96"/>
      <c r="G90" s="96"/>
      <c r="H90" s="102"/>
      <c r="I90" s="102"/>
      <c r="J90" s="102"/>
      <c r="K90" s="96"/>
      <c r="L90" s="96"/>
      <c r="M90" s="96"/>
      <c r="N90" s="96"/>
      <c r="O90" s="96"/>
      <c r="P90" s="100">
        <f>SUM(D90:O90)</f>
        <v>6159.74</v>
      </c>
      <c r="Q90" s="101">
        <f>SUM(BS90)</f>
        <v>517</v>
      </c>
      <c r="R90" s="89">
        <f t="shared" ref="R90:R93" si="86">IF(ISERROR((($E90-$D90)/ABS($D90)+1)*100),0,(($E90-$D90)/ABS($D90)+1)*100)</f>
        <v>96.911303058008173</v>
      </c>
      <c r="S90" s="89">
        <f t="shared" ref="S90:S93" si="87">IF(ISERROR((($E90-$BG90)/ABS($BG90)+1)*100),0,(($E90-$BG90)/ABS($BG90)+1)*100)</f>
        <v>1059.9860139860139</v>
      </c>
      <c r="T90" s="89">
        <f>IF(ISERROR((($P90-$BG90)/ABS($BG90)+1)*100),0,(($P90-$BG90)/ABS($BG90)+1)*100)</f>
        <v>2153.7552447552448</v>
      </c>
      <c r="U90" s="96">
        <f>(+'[24]PF resc'!D96)*1000</f>
        <v>1645.3657675155775</v>
      </c>
      <c r="V90" s="90">
        <f>IF(ISERROR((($E90-$U90)/ABS($U90)+1)*100),0,(($E90-$U90)/ABS($U90)+1)*100)</f>
        <v>184.24839387399606</v>
      </c>
      <c r="W90" s="3"/>
      <c r="X90" s="91">
        <f t="shared" ref="X90:Y92" si="88">D90*X$201</f>
        <v>2793.4000080989413</v>
      </c>
      <c r="Y90" s="96">
        <f t="shared" si="88"/>
        <v>2725.084582086738</v>
      </c>
      <c r="Z90" s="96"/>
      <c r="AA90" s="96"/>
      <c r="AB90" s="96"/>
      <c r="AC90" s="96"/>
      <c r="AD90" s="96"/>
      <c r="AE90" s="96"/>
      <c r="AF90" s="96"/>
      <c r="AG90" s="96"/>
      <c r="AH90" s="96"/>
      <c r="AI90" s="102"/>
      <c r="AJ90" s="103">
        <f>SUM(X90:AI90)</f>
        <v>5518.4845901856788</v>
      </c>
      <c r="AK90" s="88">
        <f t="shared" ref="AK90:AK93" si="89">IF(ISERROR((($Y90-$X90)/ABS($X90)+1)*100),0,(($Y90-$X90)/ABS($X90)+1)*100)</f>
        <v>97.554398732221117</v>
      </c>
      <c r="AL90" s="96">
        <f>(+'[24]PF resc'!R96)*1000</f>
        <v>1494.8147997879023</v>
      </c>
      <c r="AM90" s="90">
        <f t="shared" ref="AM90:AM93" si="90">IF(ISERROR((($Y90-$AL90)/ABS($AL90)+1)*100),0,(($Y90-$AL90)/ABS($AL90)+1)*100)</f>
        <v>182.30248874130743</v>
      </c>
      <c r="AN90" s="3"/>
      <c r="AO90" s="91">
        <f t="shared" ref="AO90:AP92" si="91">D90*AO$201</f>
        <v>334.77999190105851</v>
      </c>
      <c r="AP90" s="96">
        <f t="shared" si="91"/>
        <v>306.47541791326177</v>
      </c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102">
        <f>SUM(AO90:AZ90)</f>
        <v>641.25540981432027</v>
      </c>
      <c r="BB90" s="89">
        <f t="shared" ref="BB90:BB93" si="92">IF(ISERROR((($AP90-$AO90)/ABS($AO90)+1)*100),0,(($AP90-$AO90)/ABS($AO90)+1)*100)</f>
        <v>91.545320905509215</v>
      </c>
      <c r="BC90" s="96">
        <f>(+'[24]PF resc'!AF96)*1000</f>
        <v>150.55096772767536</v>
      </c>
      <c r="BD90" s="90">
        <f t="shared" ref="BD90:BD93" si="93">IF(ISERROR((($AP90-$BC90)/ABS($BC90)+1)*100),0,(($AP90-$BC90)/ABS($BC90)+1)*100)</f>
        <v>203.56921150293158</v>
      </c>
      <c r="BF90" s="91">
        <v>231</v>
      </c>
      <c r="BG90" s="102">
        <v>286</v>
      </c>
      <c r="BH90" s="102">
        <v>382</v>
      </c>
      <c r="BI90" s="102">
        <v>462</v>
      </c>
      <c r="BJ90" s="102">
        <v>202</v>
      </c>
      <c r="BK90" s="102">
        <v>226</v>
      </c>
      <c r="BL90" s="102">
        <v>4148.6099999999997</v>
      </c>
      <c r="BM90" s="102">
        <v>3279.82</v>
      </c>
      <c r="BN90" s="102">
        <v>3657.19</v>
      </c>
      <c r="BO90" s="102">
        <v>3044.68</v>
      </c>
      <c r="BP90" s="102">
        <v>2987.6</v>
      </c>
      <c r="BQ90" s="102">
        <v>3841.62</v>
      </c>
      <c r="BR90" s="102">
        <v>209.94</v>
      </c>
      <c r="BS90" s="94">
        <f t="shared" ref="BS90:BS93" si="94">SUM(BF90:BG90)</f>
        <v>517</v>
      </c>
      <c r="BU90" s="83">
        <v>217.27003701310184</v>
      </c>
      <c r="BV90" s="96">
        <v>269.33851050280549</v>
      </c>
      <c r="BW90" s="96">
        <v>359.63242651365852</v>
      </c>
      <c r="BX90" s="96">
        <v>434.9951796948975</v>
      </c>
      <c r="BY90" s="96">
        <v>190.58760301537131</v>
      </c>
      <c r="BZ90" s="96">
        <v>208.43138204260543</v>
      </c>
      <c r="CA90" s="96">
        <v>3810.9530839139984</v>
      </c>
      <c r="CB90" s="96">
        <v>3016.1760411744394</v>
      </c>
      <c r="CC90" s="96">
        <v>3327.7643982437912</v>
      </c>
      <c r="CD90" s="96">
        <v>2742.4302462361538</v>
      </c>
      <c r="CE90" s="96">
        <v>2670.4992509630815</v>
      </c>
      <c r="CF90" s="102">
        <v>3395.611521324402</v>
      </c>
      <c r="CG90" s="96">
        <v>185.0525124068339</v>
      </c>
      <c r="CH90" s="105">
        <v>20828.742193045138</v>
      </c>
      <c r="CJ90" s="83">
        <v>13.729962986898158</v>
      </c>
      <c r="CK90" s="96">
        <v>16.661489497194463</v>
      </c>
      <c r="CL90" s="96">
        <v>22.36757348634147</v>
      </c>
      <c r="CM90" s="96">
        <v>27.004820305102491</v>
      </c>
      <c r="CN90" s="96">
        <v>11.412396984628698</v>
      </c>
      <c r="CO90" s="96">
        <v>17.568617957394576</v>
      </c>
      <c r="CP90" s="96">
        <v>337.65691608600167</v>
      </c>
      <c r="CQ90" s="96">
        <v>263.64395882556113</v>
      </c>
      <c r="CR90" s="96">
        <v>329.42560175620923</v>
      </c>
      <c r="CS90" s="96">
        <v>302.24975376384612</v>
      </c>
      <c r="CT90" s="96">
        <v>317.10074903691827</v>
      </c>
      <c r="CU90" s="96">
        <v>446.00847867559776</v>
      </c>
      <c r="CV90" s="96">
        <v>24.887487593166099</v>
      </c>
      <c r="CW90" s="106">
        <v>2129.7178069548604</v>
      </c>
      <c r="CY90" s="91">
        <v>711.28</v>
      </c>
      <c r="CZ90" s="102">
        <v>1815.13</v>
      </c>
      <c r="DA90" s="102">
        <v>3154.54</v>
      </c>
      <c r="DB90" s="102">
        <v>1314.38</v>
      </c>
      <c r="DC90" s="102">
        <v>1561.07</v>
      </c>
      <c r="DD90" s="102">
        <v>1286.6199999999999</v>
      </c>
      <c r="DE90" s="102">
        <v>3049.7</v>
      </c>
      <c r="DF90" s="102">
        <v>7140.9</v>
      </c>
      <c r="DG90" s="102">
        <v>1416.6</v>
      </c>
      <c r="DH90" s="102">
        <v>430</v>
      </c>
      <c r="DI90" s="102">
        <v>2339.4299999999998</v>
      </c>
      <c r="DJ90" s="102">
        <v>316.5</v>
      </c>
      <c r="DK90" s="94">
        <f t="shared" ref="DK90:DK93" si="95">SUM(CY90:DJ90)</f>
        <v>24536.15</v>
      </c>
    </row>
    <row r="91" spans="1:115" ht="14.45" customHeight="1" outlineLevel="1">
      <c r="A91" s="134"/>
      <c r="B91" s="13" t="s">
        <v>110</v>
      </c>
      <c r="C91" s="14"/>
      <c r="D91" s="91">
        <f>[24]Mar!Q138</f>
        <v>72</v>
      </c>
      <c r="E91" s="96">
        <f>[24]Apr!N138</f>
        <v>0</v>
      </c>
      <c r="F91" s="96"/>
      <c r="G91" s="96"/>
      <c r="H91" s="102"/>
      <c r="I91" s="102"/>
      <c r="J91" s="102"/>
      <c r="K91" s="96"/>
      <c r="L91" s="96"/>
      <c r="M91" s="96"/>
      <c r="N91" s="96"/>
      <c r="O91" s="96"/>
      <c r="P91" s="100">
        <f>SUM(D91:O91)</f>
        <v>72</v>
      </c>
      <c r="Q91" s="101">
        <f>SUM(BS91)</f>
        <v>2551.6000000000004</v>
      </c>
      <c r="R91" s="89">
        <f t="shared" si="86"/>
        <v>0</v>
      </c>
      <c r="S91" s="89">
        <f t="shared" si="87"/>
        <v>0</v>
      </c>
      <c r="T91" s="89">
        <f>IF(ISERROR((($P91-$BG91)/ABS($BG91)+1)*100),0,(($P91-$BG91)/ABS($BG91)+1)*100)</f>
        <v>16.042780748663098</v>
      </c>
      <c r="U91" s="96">
        <f>(+'[24]PF resc'!D97)*1000</f>
        <v>947.24216314863907</v>
      </c>
      <c r="V91" s="90">
        <f>IF(ISERROR((($E91-$U91)/ABS($U91)+1)*100),0,(($E91-$U91)/ABS($U91)+1)*100)</f>
        <v>0</v>
      </c>
      <c r="W91" s="3"/>
      <c r="X91" s="91">
        <f t="shared" si="88"/>
        <v>64.294510093128849</v>
      </c>
      <c r="Y91" s="96">
        <f t="shared" si="88"/>
        <v>0</v>
      </c>
      <c r="Z91" s="96"/>
      <c r="AA91" s="96"/>
      <c r="AB91" s="96"/>
      <c r="AC91" s="96"/>
      <c r="AD91" s="96"/>
      <c r="AE91" s="96"/>
      <c r="AF91" s="96"/>
      <c r="AG91" s="96"/>
      <c r="AH91" s="96"/>
      <c r="AI91" s="102"/>
      <c r="AJ91" s="103">
        <f>SUM(X91:AI91)</f>
        <v>64.294510093128849</v>
      </c>
      <c r="AK91" s="88">
        <f t="shared" si="89"/>
        <v>0</v>
      </c>
      <c r="AL91" s="96">
        <f>(+'[24]PF resc'!R97)*1000</f>
        <v>860.56950522053864</v>
      </c>
      <c r="AM91" s="90">
        <f t="shared" si="90"/>
        <v>0</v>
      </c>
      <c r="AN91" s="3"/>
      <c r="AO91" s="91">
        <f t="shared" si="91"/>
        <v>7.705489906871156</v>
      </c>
      <c r="AP91" s="96">
        <f t="shared" si="91"/>
        <v>0</v>
      </c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102">
        <f>SUM(AO91:AZ91)</f>
        <v>7.705489906871156</v>
      </c>
      <c r="BB91" s="89">
        <f t="shared" si="92"/>
        <v>0</v>
      </c>
      <c r="BC91" s="96">
        <f>(+'[24]PF resc'!AF97)*1000</f>
        <v>86.672657928100477</v>
      </c>
      <c r="BD91" s="90">
        <f t="shared" si="93"/>
        <v>0</v>
      </c>
      <c r="BF91" s="91">
        <v>2102.8000000000002</v>
      </c>
      <c r="BG91" s="102">
        <v>448.8</v>
      </c>
      <c r="BH91" s="102">
        <v>418</v>
      </c>
      <c r="BI91" s="102">
        <v>5463.1</v>
      </c>
      <c r="BJ91" s="102">
        <v>338.19</v>
      </c>
      <c r="BK91" s="102">
        <v>425</v>
      </c>
      <c r="BL91" s="102">
        <v>425</v>
      </c>
      <c r="BM91" s="102">
        <v>123</v>
      </c>
      <c r="BN91" s="102">
        <v>803</v>
      </c>
      <c r="BO91" s="102">
        <v>123</v>
      </c>
      <c r="BP91" s="102">
        <v>134.52000000000001</v>
      </c>
      <c r="BQ91" s="102">
        <v>152</v>
      </c>
      <c r="BR91" s="102">
        <v>48</v>
      </c>
      <c r="BS91" s="94">
        <f t="shared" si="94"/>
        <v>2551.6000000000004</v>
      </c>
      <c r="BU91" s="83">
        <v>1977.8157308707816</v>
      </c>
      <c r="BV91" s="96">
        <v>422.65427801978711</v>
      </c>
      <c r="BW91" s="96">
        <v>393.52448765107135</v>
      </c>
      <c r="BX91" s="96">
        <v>5143.7709224917635</v>
      </c>
      <c r="BY91" s="96">
        <v>319.083274573111</v>
      </c>
      <c r="BZ91" s="96">
        <v>391.96166977038632</v>
      </c>
      <c r="CA91" s="96">
        <v>390.40909139770895</v>
      </c>
      <c r="CB91" s="96">
        <v>113.11280895428897</v>
      </c>
      <c r="CC91" s="96">
        <v>730.66885007061819</v>
      </c>
      <c r="CD91" s="96">
        <v>110.78961345266067</v>
      </c>
      <c r="CE91" s="96">
        <v>120.24218745466386</v>
      </c>
      <c r="CF91" s="102">
        <v>134.35294257144361</v>
      </c>
      <c r="CG91" s="96">
        <v>42.309805637458453</v>
      </c>
      <c r="CH91" s="105">
        <v>10290.695662915743</v>
      </c>
      <c r="CJ91" s="83">
        <v>124.98426912921839</v>
      </c>
      <c r="CK91" s="96">
        <v>26.145721980212851</v>
      </c>
      <c r="CL91" s="96">
        <v>24.475512348928625</v>
      </c>
      <c r="CM91" s="96">
        <v>319.32907750823682</v>
      </c>
      <c r="CN91" s="96">
        <v>19.106725426889007</v>
      </c>
      <c r="CO91" s="96">
        <v>33.038330229613699</v>
      </c>
      <c r="CP91" s="96">
        <v>34.590908602291059</v>
      </c>
      <c r="CQ91" s="96">
        <v>9.8871910457110488</v>
      </c>
      <c r="CR91" s="96">
        <v>72.331149929381851</v>
      </c>
      <c r="CS91" s="96">
        <v>12.210386547339318</v>
      </c>
      <c r="CT91" s="96">
        <v>14.27781254533614</v>
      </c>
      <c r="CU91" s="96">
        <v>17.647057428556405</v>
      </c>
      <c r="CV91" s="96">
        <v>5.6901943625415488</v>
      </c>
      <c r="CW91" s="106">
        <v>713.71433708425673</v>
      </c>
      <c r="CY91" s="91">
        <v>23.2</v>
      </c>
      <c r="CZ91" s="102">
        <v>0</v>
      </c>
      <c r="DA91" s="102">
        <v>0</v>
      </c>
      <c r="DB91" s="102">
        <v>202.8</v>
      </c>
      <c r="DC91" s="102">
        <v>0</v>
      </c>
      <c r="DD91" s="102">
        <v>363.2</v>
      </c>
      <c r="DE91" s="102">
        <v>307.5</v>
      </c>
      <c r="DF91" s="102">
        <v>293.8</v>
      </c>
      <c r="DG91" s="102">
        <v>770.71</v>
      </c>
      <c r="DH91" s="102">
        <v>557.5</v>
      </c>
      <c r="DI91" s="102">
        <v>234.69</v>
      </c>
      <c r="DJ91" s="102">
        <v>26</v>
      </c>
      <c r="DK91" s="94">
        <f t="shared" si="95"/>
        <v>2779.4</v>
      </c>
    </row>
    <row r="92" spans="1:115" ht="14.45" customHeight="1" outlineLevel="1">
      <c r="A92" s="134"/>
      <c r="B92" s="13" t="s">
        <v>111</v>
      </c>
      <c r="C92" s="14"/>
      <c r="D92" s="91">
        <f>SUM([24]Mar!Q139:Q146)</f>
        <v>494</v>
      </c>
      <c r="E92" s="96">
        <f>SUM([24]Apr!N139:N147)</f>
        <v>2118.52</v>
      </c>
      <c r="F92" s="96"/>
      <c r="G92" s="96"/>
      <c r="H92" s="102"/>
      <c r="I92" s="102"/>
      <c r="J92" s="102"/>
      <c r="K92" s="96"/>
      <c r="L92" s="96"/>
      <c r="M92" s="96"/>
      <c r="N92" s="96"/>
      <c r="O92" s="96"/>
      <c r="P92" s="100">
        <f>SUM(D92:O92)</f>
        <v>2612.52</v>
      </c>
      <c r="Q92" s="101">
        <f>SUM(BS92)</f>
        <v>4023.38</v>
      </c>
      <c r="R92" s="89">
        <f t="shared" si="86"/>
        <v>428.85020242914982</v>
      </c>
      <c r="S92" s="89">
        <f t="shared" si="87"/>
        <v>115.87819913249426</v>
      </c>
      <c r="T92" s="89">
        <f>IF(ISERROR((($P92-$BG92)/ABS($BG92)+1)*100),0,(($P92-$BG92)/ABS($BG92)+1)*100)</f>
        <v>142.89886939827045</v>
      </c>
      <c r="U92" s="96">
        <f>(+'[24]PF resc'!D98)*1000</f>
        <v>2319.8226383081728</v>
      </c>
      <c r="V92" s="90">
        <f>IF(ISERROR((($E92-$U92)/ABS($U92)+1)*100),0,(($E92-$U92)/ABS($U92)+1)*100)</f>
        <v>91.322498755552232</v>
      </c>
      <c r="W92" s="3"/>
      <c r="X92" s="91">
        <f t="shared" si="88"/>
        <v>441.1317775834118</v>
      </c>
      <c r="Y92" s="96">
        <f t="shared" si="88"/>
        <v>1904.3483186354208</v>
      </c>
      <c r="Z92" s="96"/>
      <c r="AA92" s="96"/>
      <c r="AB92" s="96"/>
      <c r="AC92" s="96"/>
      <c r="AD92" s="96"/>
      <c r="AE92" s="96"/>
      <c r="AF92" s="96"/>
      <c r="AG92" s="96"/>
      <c r="AH92" s="96"/>
      <c r="AI92" s="102"/>
      <c r="AJ92" s="103">
        <f>SUM(X92:AI92)</f>
        <v>2345.4800962188328</v>
      </c>
      <c r="AK92" s="88">
        <f t="shared" si="89"/>
        <v>431.6960181530643</v>
      </c>
      <c r="AL92" s="96">
        <f>(+'[24]PF resc'!R98)*1000</f>
        <v>2107.5588669029753</v>
      </c>
      <c r="AM92" s="90">
        <f t="shared" si="90"/>
        <v>90.358013175396181</v>
      </c>
      <c r="AN92" s="3"/>
      <c r="AO92" s="91">
        <f t="shared" si="91"/>
        <v>52.86822241658821</v>
      </c>
      <c r="AP92" s="96">
        <f t="shared" si="91"/>
        <v>214.17168136457906</v>
      </c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102">
        <f>SUM(AO92:AZ92)</f>
        <v>267.03990378116725</v>
      </c>
      <c r="BB92" s="89">
        <f t="shared" si="92"/>
        <v>405.10475210791162</v>
      </c>
      <c r="BC92" s="96">
        <f>(+'[24]PF resc'!AF98)*1000</f>
        <v>212.26377140519782</v>
      </c>
      <c r="BD92" s="90">
        <f t="shared" si="93"/>
        <v>100.89883918803042</v>
      </c>
      <c r="BF92" s="91">
        <v>2195.15</v>
      </c>
      <c r="BG92" s="102">
        <v>1828.23</v>
      </c>
      <c r="BH92" s="102">
        <v>2451.42</v>
      </c>
      <c r="BI92" s="102">
        <v>1953.48</v>
      </c>
      <c r="BJ92" s="102">
        <v>1004.6199999999999</v>
      </c>
      <c r="BK92" s="102">
        <v>1357.92</v>
      </c>
      <c r="BL92" s="102">
        <v>3985.826</v>
      </c>
      <c r="BM92" s="102">
        <v>2503.826</v>
      </c>
      <c r="BN92" s="102">
        <v>494</v>
      </c>
      <c r="BO92" s="102">
        <v>988</v>
      </c>
      <c r="BP92" s="102">
        <v>0</v>
      </c>
      <c r="BQ92" s="102">
        <v>0</v>
      </c>
      <c r="BR92" s="102">
        <v>0</v>
      </c>
      <c r="BS92" s="94">
        <f t="shared" si="94"/>
        <v>4023.38</v>
      </c>
      <c r="BU92" s="83">
        <v>2064.6767175294826</v>
      </c>
      <c r="BV92" s="96">
        <v>1721.7228848130912</v>
      </c>
      <c r="BW92" s="96">
        <v>2307.8799031521276</v>
      </c>
      <c r="BX92" s="96">
        <v>1839.2952026631783</v>
      </c>
      <c r="BY92" s="96">
        <v>947.86196901634798</v>
      </c>
      <c r="BZ92" s="96">
        <v>1252.3590367402426</v>
      </c>
      <c r="CA92" s="96">
        <v>3661.4181344220347</v>
      </c>
      <c r="CB92" s="96">
        <v>2302.5592844941589</v>
      </c>
      <c r="CC92" s="96">
        <v>449.50238098989462</v>
      </c>
      <c r="CD92" s="96">
        <v>889.91982187990857</v>
      </c>
      <c r="CE92" s="96">
        <v>0</v>
      </c>
      <c r="CF92" s="102">
        <v>0</v>
      </c>
      <c r="CG92" s="96">
        <v>0</v>
      </c>
      <c r="CH92" s="105">
        <v>17437.195335700468</v>
      </c>
      <c r="CJ92" s="83">
        <v>130.47328247051729</v>
      </c>
      <c r="CK92" s="96">
        <v>106.50711518690851</v>
      </c>
      <c r="CL92" s="96">
        <v>143.54009684787226</v>
      </c>
      <c r="CM92" s="96">
        <v>114.18479733682167</v>
      </c>
      <c r="CN92" s="96">
        <v>56.758030983651885</v>
      </c>
      <c r="CO92" s="96">
        <v>105.56096325975773</v>
      </c>
      <c r="CP92" s="96">
        <v>324.40786557796559</v>
      </c>
      <c r="CQ92" s="96">
        <v>201.26671550584157</v>
      </c>
      <c r="CR92" s="96">
        <v>44.497619010105396</v>
      </c>
      <c r="CS92" s="96">
        <v>98.080178120091432</v>
      </c>
      <c r="CT92" s="96">
        <v>0</v>
      </c>
      <c r="CU92" s="96">
        <v>0</v>
      </c>
      <c r="CV92" s="96">
        <v>0</v>
      </c>
      <c r="CW92" s="106">
        <v>1325.2766642995334</v>
      </c>
      <c r="CY92" s="91">
        <v>0</v>
      </c>
      <c r="CZ92" s="102">
        <v>494</v>
      </c>
      <c r="DA92" s="102">
        <v>0</v>
      </c>
      <c r="DB92" s="102">
        <v>1005.89</v>
      </c>
      <c r="DC92" s="102">
        <v>0</v>
      </c>
      <c r="DD92" s="102">
        <v>1536</v>
      </c>
      <c r="DE92" s="102">
        <v>692</v>
      </c>
      <c r="DF92" s="102">
        <v>0</v>
      </c>
      <c r="DG92" s="102">
        <v>988</v>
      </c>
      <c r="DH92" s="102">
        <v>1207.1500000000001</v>
      </c>
      <c r="DI92" s="102">
        <v>2195.15</v>
      </c>
      <c r="DJ92" s="102">
        <v>1207.1500000000001</v>
      </c>
      <c r="DK92" s="94">
        <f t="shared" si="95"/>
        <v>9325.3399999999983</v>
      </c>
    </row>
    <row r="93" spans="1:115" ht="14.45" customHeight="1">
      <c r="A93" s="107" t="s">
        <v>112</v>
      </c>
      <c r="B93" s="136"/>
      <c r="C93" s="137"/>
      <c r="D93" s="118">
        <f t="shared" ref="D93:O93" si="96">SUM(D90:D92)</f>
        <v>3694.18</v>
      </c>
      <c r="E93" s="111">
        <f t="shared" si="96"/>
        <v>5150.08</v>
      </c>
      <c r="F93" s="112">
        <f t="shared" si="96"/>
        <v>0</v>
      </c>
      <c r="G93" s="113">
        <f t="shared" si="96"/>
        <v>0</v>
      </c>
      <c r="H93" s="113">
        <f>SUM(H90:H92)</f>
        <v>0</v>
      </c>
      <c r="I93" s="113">
        <f>SUM(I90:I92)</f>
        <v>0</v>
      </c>
      <c r="J93" s="113">
        <f t="shared" si="96"/>
        <v>0</v>
      </c>
      <c r="K93" s="111">
        <f t="shared" si="96"/>
        <v>0</v>
      </c>
      <c r="L93" s="113">
        <f t="shared" si="96"/>
        <v>0</v>
      </c>
      <c r="M93" s="113">
        <f t="shared" si="96"/>
        <v>0</v>
      </c>
      <c r="N93" s="113">
        <f t="shared" si="96"/>
        <v>0</v>
      </c>
      <c r="O93" s="113">
        <f t="shared" si="96"/>
        <v>0</v>
      </c>
      <c r="P93" s="114">
        <f>SUM(D93:O93)</f>
        <v>8844.26</v>
      </c>
      <c r="Q93" s="114">
        <f>SUM(BS93)</f>
        <v>7091.9800000000005</v>
      </c>
      <c r="R93" s="115">
        <f t="shared" si="86"/>
        <v>139.41064052103579</v>
      </c>
      <c r="S93" s="115">
        <f t="shared" si="87"/>
        <v>200.93717201905559</v>
      </c>
      <c r="T93" s="115">
        <f>IF(ISERROR((($P93-$BG93)/ABS($BG93)+1)*100),0,(($P93-$BG93)/ABS($BG93)+1)*100)</f>
        <v>345.07048298303181</v>
      </c>
      <c r="U93" s="111">
        <f t="shared" ref="U93" si="97">SUM(U90:U92)</f>
        <v>4912.4305689723897</v>
      </c>
      <c r="V93" s="117">
        <f>IF(ISERROR((($E93-$U93)/ABS($U93)+1)*100),0,(($E93-$U93)/ABS($U93)+1)*100)</f>
        <v>104.837715825006</v>
      </c>
      <c r="W93" s="3"/>
      <c r="X93" s="118">
        <f t="shared" ref="X93:AI93" si="98">SUM(X90:X92)</f>
        <v>3298.8262957754819</v>
      </c>
      <c r="Y93" s="111">
        <f t="shared" ref="Y93" si="99">SUM(Y90:Y92)</f>
        <v>4629.4329007221586</v>
      </c>
      <c r="Z93" s="111">
        <f t="shared" si="98"/>
        <v>0</v>
      </c>
      <c r="AA93" s="111">
        <f t="shared" si="98"/>
        <v>0</v>
      </c>
      <c r="AB93" s="111">
        <f t="shared" si="98"/>
        <v>0</v>
      </c>
      <c r="AC93" s="111">
        <f t="shared" si="98"/>
        <v>0</v>
      </c>
      <c r="AD93" s="111">
        <f t="shared" si="98"/>
        <v>0</v>
      </c>
      <c r="AE93" s="111">
        <f t="shared" si="98"/>
        <v>0</v>
      </c>
      <c r="AF93" s="111">
        <f t="shared" si="98"/>
        <v>0</v>
      </c>
      <c r="AG93" s="111">
        <f t="shared" si="98"/>
        <v>0</v>
      </c>
      <c r="AH93" s="111">
        <f t="shared" ref="AH93" si="100">SUM(AH90:AH92)</f>
        <v>0</v>
      </c>
      <c r="AI93" s="113">
        <f t="shared" si="98"/>
        <v>0</v>
      </c>
      <c r="AJ93" s="119">
        <f>SUM(X93:AI93)</f>
        <v>7928.25919649764</v>
      </c>
      <c r="AK93" s="116">
        <f t="shared" si="89"/>
        <v>140.33575840748779</v>
      </c>
      <c r="AL93" s="111">
        <f t="shared" ref="AL93" si="101">SUM(AL90:AL92)</f>
        <v>4462.9431719114164</v>
      </c>
      <c r="AM93" s="117">
        <f t="shared" si="90"/>
        <v>103.73049179426224</v>
      </c>
      <c r="AN93" s="3"/>
      <c r="AO93" s="118">
        <f t="shared" ref="AO93:AX93" si="102">SUM(AO90:AO92)</f>
        <v>395.35370422451786</v>
      </c>
      <c r="AP93" s="111">
        <f t="shared" si="102"/>
        <v>520.64709927784088</v>
      </c>
      <c r="AQ93" s="111">
        <f t="shared" si="102"/>
        <v>0</v>
      </c>
      <c r="AR93" s="111">
        <f t="shared" si="102"/>
        <v>0</v>
      </c>
      <c r="AS93" s="111">
        <f t="shared" si="102"/>
        <v>0</v>
      </c>
      <c r="AT93" s="111">
        <f t="shared" si="102"/>
        <v>0</v>
      </c>
      <c r="AU93" s="111">
        <f t="shared" si="102"/>
        <v>0</v>
      </c>
      <c r="AV93" s="111">
        <f t="shared" si="102"/>
        <v>0</v>
      </c>
      <c r="AW93" s="111">
        <f t="shared" si="102"/>
        <v>0</v>
      </c>
      <c r="AX93" s="113">
        <f t="shared" si="102"/>
        <v>0</v>
      </c>
      <c r="AY93" s="113">
        <f>SUM(AY90:AY92)</f>
        <v>0</v>
      </c>
      <c r="AZ93" s="111">
        <f>SUM(AZ90:AZ92)</f>
        <v>0</v>
      </c>
      <c r="BA93" s="120">
        <f>SUM(AO93:AZ93)</f>
        <v>916.00080350235874</v>
      </c>
      <c r="BB93" s="115">
        <f t="shared" si="92"/>
        <v>131.69146860507723</v>
      </c>
      <c r="BC93" s="111">
        <f>SUM(BC90:BC92)</f>
        <v>449.48739706097365</v>
      </c>
      <c r="BD93" s="117">
        <f t="shared" si="93"/>
        <v>115.83130087342902</v>
      </c>
      <c r="BF93" s="118">
        <v>4528.9500000000007</v>
      </c>
      <c r="BG93" s="113">
        <v>2563.0299999999997</v>
      </c>
      <c r="BH93" s="113">
        <v>3251.42</v>
      </c>
      <c r="BI93" s="113">
        <v>7878.58</v>
      </c>
      <c r="BJ93" s="113">
        <v>1544.81</v>
      </c>
      <c r="BK93" s="113">
        <v>2008.92</v>
      </c>
      <c r="BL93" s="113">
        <v>8559.4359999999997</v>
      </c>
      <c r="BM93" s="113">
        <v>5906.6460000000006</v>
      </c>
      <c r="BN93" s="113">
        <v>4954.1900000000005</v>
      </c>
      <c r="BO93" s="113">
        <v>4155.68</v>
      </c>
      <c r="BP93" s="113">
        <v>3122.12</v>
      </c>
      <c r="BQ93" s="113">
        <v>3993.62</v>
      </c>
      <c r="BR93" s="113">
        <v>257.94</v>
      </c>
      <c r="BS93" s="121">
        <f t="shared" si="94"/>
        <v>7091.9800000000005</v>
      </c>
      <c r="BU93" s="110">
        <v>4259.7624854133664</v>
      </c>
      <c r="BV93" s="111">
        <v>2413.7156733356837</v>
      </c>
      <c r="BW93" s="111">
        <v>3061.0368173168572</v>
      </c>
      <c r="BX93" s="111">
        <v>7418.061304849839</v>
      </c>
      <c r="BY93" s="111">
        <v>1457.5328466048304</v>
      </c>
      <c r="BZ93" s="111">
        <v>1852.7520885532344</v>
      </c>
      <c r="CA93" s="111">
        <v>7862.7803097337419</v>
      </c>
      <c r="CB93" s="111">
        <v>5431.8481346228873</v>
      </c>
      <c r="CC93" s="111">
        <v>4507.9356293043038</v>
      </c>
      <c r="CD93" s="111">
        <v>3743.1396815687231</v>
      </c>
      <c r="CE93" s="111">
        <v>2790.7414384177455</v>
      </c>
      <c r="CF93" s="113">
        <v>3529.9644638958457</v>
      </c>
      <c r="CG93" s="111">
        <v>227.36231804429235</v>
      </c>
      <c r="CH93" s="122">
        <v>48556.633191661356</v>
      </c>
      <c r="CJ93" s="110">
        <v>269.18751458663382</v>
      </c>
      <c r="CK93" s="111">
        <v>149.31432666431581</v>
      </c>
      <c r="CL93" s="111">
        <v>190.38318268314237</v>
      </c>
      <c r="CM93" s="111">
        <v>460.51869515016097</v>
      </c>
      <c r="CN93" s="111">
        <v>87.277153395169591</v>
      </c>
      <c r="CO93" s="111">
        <v>156.167911446766</v>
      </c>
      <c r="CP93" s="111">
        <v>696.65569026625826</v>
      </c>
      <c r="CQ93" s="111">
        <v>474.79786537711379</v>
      </c>
      <c r="CR93" s="111">
        <v>446.25437069569648</v>
      </c>
      <c r="CS93" s="113">
        <v>412.54031843127689</v>
      </c>
      <c r="CT93" s="113">
        <v>331.37856158225441</v>
      </c>
      <c r="CU93" s="111">
        <v>463.65553610415418</v>
      </c>
      <c r="CV93" s="111">
        <v>30.577681955707646</v>
      </c>
      <c r="CW93" s="122">
        <v>4168.7088083386507</v>
      </c>
      <c r="CY93" s="118">
        <v>734.48</v>
      </c>
      <c r="CZ93" s="113">
        <v>2309.13</v>
      </c>
      <c r="DA93" s="113">
        <v>3154.54</v>
      </c>
      <c r="DB93" s="113">
        <v>2523.0700000000002</v>
      </c>
      <c r="DC93" s="113">
        <v>1561.07</v>
      </c>
      <c r="DD93" s="113">
        <v>3185.8199999999997</v>
      </c>
      <c r="DE93" s="113">
        <v>4049.2</v>
      </c>
      <c r="DF93" s="113">
        <v>7434.7</v>
      </c>
      <c r="DG93" s="113">
        <v>3175.31</v>
      </c>
      <c r="DH93" s="113">
        <v>2194.65</v>
      </c>
      <c r="DI93" s="113">
        <v>4769.2700000000004</v>
      </c>
      <c r="DJ93" s="113">
        <v>1549.65</v>
      </c>
      <c r="DK93" s="121">
        <f t="shared" si="95"/>
        <v>36640.890000000007</v>
      </c>
    </row>
    <row r="94" spans="1:115" ht="14.45" customHeight="1">
      <c r="A94" s="12"/>
      <c r="B94" s="13"/>
      <c r="C94" s="14"/>
      <c r="D94" s="91"/>
      <c r="E94" s="96"/>
      <c r="F94" s="104"/>
      <c r="G94" s="102"/>
      <c r="H94" s="102"/>
      <c r="I94" s="102"/>
      <c r="J94" s="102"/>
      <c r="K94" s="96"/>
      <c r="L94" s="102"/>
      <c r="M94" s="102"/>
      <c r="N94" s="102"/>
      <c r="O94" s="102"/>
      <c r="P94" s="100"/>
      <c r="Q94" s="101"/>
      <c r="R94" s="89"/>
      <c r="S94" s="89"/>
      <c r="T94" s="89"/>
      <c r="U94" s="89"/>
      <c r="V94" s="90"/>
      <c r="W94" s="3"/>
      <c r="X94" s="91"/>
      <c r="Y94" s="96"/>
      <c r="Z94" s="104"/>
      <c r="AA94" s="102"/>
      <c r="AB94" s="102"/>
      <c r="AC94" s="102"/>
      <c r="AD94" s="96"/>
      <c r="AE94" s="96"/>
      <c r="AF94" s="102"/>
      <c r="AG94" s="102"/>
      <c r="AH94" s="102"/>
      <c r="AI94" s="102"/>
      <c r="AJ94" s="103"/>
      <c r="AK94" s="88"/>
      <c r="AL94" s="89"/>
      <c r="AM94" s="90"/>
      <c r="AN94" s="3"/>
      <c r="AO94" s="91"/>
      <c r="AP94" s="96"/>
      <c r="AQ94" s="102"/>
      <c r="AR94" s="102"/>
      <c r="AS94" s="102"/>
      <c r="AT94" s="102"/>
      <c r="AU94" s="96"/>
      <c r="AV94" s="96"/>
      <c r="AW94" s="96"/>
      <c r="AX94" s="102"/>
      <c r="AY94" s="102"/>
      <c r="AZ94" s="96"/>
      <c r="BA94" s="102"/>
      <c r="BB94" s="89"/>
      <c r="BC94" s="89"/>
      <c r="BD94" s="90"/>
      <c r="BF94" s="91"/>
      <c r="BG94" s="173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94"/>
      <c r="BU94" s="83"/>
      <c r="BV94" s="96"/>
      <c r="BW94" s="104"/>
      <c r="BX94" s="102"/>
      <c r="BY94" s="102"/>
      <c r="BZ94" s="102"/>
      <c r="CA94" s="96"/>
      <c r="CB94" s="96"/>
      <c r="CC94" s="102"/>
      <c r="CD94" s="102"/>
      <c r="CE94" s="102"/>
      <c r="CF94" s="102"/>
      <c r="CG94" s="96"/>
      <c r="CH94" s="105"/>
      <c r="CJ94" s="91"/>
      <c r="CK94" s="102"/>
      <c r="CL94" s="102"/>
      <c r="CM94" s="102"/>
      <c r="CN94" s="102"/>
      <c r="CO94" s="102"/>
      <c r="CP94" s="96"/>
      <c r="CQ94" s="96"/>
      <c r="CR94" s="96"/>
      <c r="CS94" s="102"/>
      <c r="CT94" s="102"/>
      <c r="CU94" s="96"/>
      <c r="CV94" s="96"/>
      <c r="CW94" s="106"/>
      <c r="CY94" s="91"/>
      <c r="CZ94" s="173"/>
      <c r="DA94" s="102"/>
      <c r="DB94" s="102"/>
      <c r="DC94" s="102"/>
      <c r="DD94" s="102"/>
      <c r="DE94" s="102"/>
      <c r="DF94" s="102"/>
      <c r="DG94" s="102"/>
      <c r="DH94" s="102"/>
      <c r="DI94" s="102"/>
      <c r="DJ94" s="102"/>
      <c r="DK94" s="94"/>
    </row>
    <row r="95" spans="1:115" ht="14.45" customHeight="1">
      <c r="A95" s="12"/>
      <c r="B95" s="13" t="s">
        <v>113</v>
      </c>
      <c r="C95" s="14"/>
      <c r="D95" s="91">
        <f>'[24]funding cost'!CM13+'[24]funding cost'!CM12</f>
        <v>2282303.7200130927</v>
      </c>
      <c r="E95" s="96">
        <f>'[24]funding cost'!CQ13+'[24]funding cost'!CQ12</f>
        <v>2268610.3727854532</v>
      </c>
      <c r="F95" s="96"/>
      <c r="G95" s="96"/>
      <c r="H95" s="102"/>
      <c r="I95" s="102"/>
      <c r="J95" s="102"/>
      <c r="K95" s="96"/>
      <c r="L95" s="96"/>
      <c r="M95" s="96"/>
      <c r="N95" s="96"/>
      <c r="O95" s="96"/>
      <c r="P95" s="100">
        <f>SUM(D95:O95)</f>
        <v>4550914.092798546</v>
      </c>
      <c r="Q95" s="101">
        <f>SUM(BS95)</f>
        <v>4062318.8897408098</v>
      </c>
      <c r="R95" s="89">
        <f t="shared" ref="R95:R98" si="103">IF(ISERROR((($E95-$D95)/ABS($D95)+1)*100),0,(($E95-$D95)/ABS($D95)+1)*100)</f>
        <v>99.400020816354768</v>
      </c>
      <c r="S95" s="89">
        <f t="shared" ref="S95:S98" si="104">IF(ISERROR((($E95-$BG95)/ABS($BG95)+1)*100),0,(($E95-$BG95)/ABS($BG95)+1)*100)</f>
        <v>105.61073216166275</v>
      </c>
      <c r="T95" s="89">
        <f>IF(ISERROR((($P95-$BG95)/ABS($BG95)+1)*100),0,(($P95-$BG95)/ABS($BG95)+1)*100)</f>
        <v>211.85893140176404</v>
      </c>
      <c r="U95" s="96">
        <f>(+'[24]PF resc'!D101)*1000</f>
        <v>2345151.849153514</v>
      </c>
      <c r="V95" s="90">
        <f>IF(ISERROR((($E95-$U95)/ABS($U95)+1)*100),0,(($E95-$U95)/ABS($U95)+1)*100)</f>
        <v>96.736182503675039</v>
      </c>
      <c r="W95" s="3"/>
      <c r="X95" s="91">
        <f t="shared" ref="X95:Y97" si="105">D95*X$201</f>
        <v>2038049.9939162126</v>
      </c>
      <c r="Y95" s="96">
        <f t="shared" si="105"/>
        <v>2039265.3121296251</v>
      </c>
      <c r="Z95" s="96"/>
      <c r="AA95" s="96"/>
      <c r="AB95" s="102"/>
      <c r="AC95" s="102"/>
      <c r="AD95" s="96"/>
      <c r="AE95" s="96"/>
      <c r="AF95" s="96"/>
      <c r="AG95" s="96"/>
      <c r="AH95" s="96"/>
      <c r="AI95" s="102"/>
      <c r="AJ95" s="103">
        <f>SUM(X95:AI95)</f>
        <v>4077315.3060458377</v>
      </c>
      <c r="AK95" s="88">
        <f t="shared" ref="AK95:AK98" si="106">IF(ISERROR((($Y95-$X95)/ABS($X95)+1)*100),0,(($Y95-$X95)/ABS($X95)+1)*100)</f>
        <v>100.05963142302889</v>
      </c>
      <c r="AL95" s="96">
        <f>(+'[24]PF resc'!R101)*1000</f>
        <v>2130570.4549559671</v>
      </c>
      <c r="AM95" s="90">
        <f t="shared" ref="AM95:AM98" si="107">IF(ISERROR((($Y95-$AL95)/ABS($AL95)+1)*100),0,(($Y95-$AL95)/ABS($AL95)+1)*100)</f>
        <v>95.714521309823141</v>
      </c>
      <c r="AN95" s="3"/>
      <c r="AO95" s="91">
        <f t="shared" ref="AO95:AP97" si="108">D95*AO$201</f>
        <v>244253.72609688027</v>
      </c>
      <c r="AP95" s="96">
        <f t="shared" si="108"/>
        <v>229345.06065582813</v>
      </c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102">
        <f>SUM(AO95:AZ95)</f>
        <v>473598.78675270837</v>
      </c>
      <c r="BB95" s="89">
        <f t="shared" ref="BB95:BB98" si="109">IF(ISERROR((($AP95-$AO95)/ABS($AO95)+1)*100),0,(($AP95-$AO95)/ABS($AO95)+1)*100)</f>
        <v>93.896238276775023</v>
      </c>
      <c r="BC95" s="96">
        <f>(+'[24]PF resc'!AF101)*1000</f>
        <v>214581.39419754653</v>
      </c>
      <c r="BD95" s="90">
        <f t="shared" ref="BD95:BD98" si="110">IF(ISERROR((($AP95-$BC95)/ABS($BC95)+1)*100),0,(($AP95-$BC95)/ABS($BC95)+1)*100)</f>
        <v>106.88021741749425</v>
      </c>
      <c r="BF95" s="91">
        <v>1914231.9232450216</v>
      </c>
      <c r="BG95" s="96">
        <v>2148086.9664957882</v>
      </c>
      <c r="BH95" s="102">
        <v>2043363.7408540086</v>
      </c>
      <c r="BI95" s="102">
        <v>2218554.0893079261</v>
      </c>
      <c r="BJ95" s="102">
        <v>2122660.7020892128</v>
      </c>
      <c r="BK95" s="102">
        <v>2242002.4286440727</v>
      </c>
      <c r="BL95" s="102">
        <v>2235233.7135442644</v>
      </c>
      <c r="BM95" s="102">
        <v>2158765.5227657012</v>
      </c>
      <c r="BN95" s="102">
        <v>2277557.7890974949</v>
      </c>
      <c r="BO95" s="102">
        <v>2240321.0501012723</v>
      </c>
      <c r="BP95" s="102">
        <v>2282990.1013440159</v>
      </c>
      <c r="BQ95" s="102">
        <v>2308046.2182498658</v>
      </c>
      <c r="BR95" s="102">
        <v>610040.88801928435</v>
      </c>
      <c r="BS95" s="94">
        <f t="shared" ref="BS95:BS98" si="111">SUM(BF95:BG95)</f>
        <v>4062318.8897408098</v>
      </c>
      <c r="BU95" s="83">
        <v>1800455.5879441861</v>
      </c>
      <c r="BV95" s="96">
        <v>2022945.9579946345</v>
      </c>
      <c r="BW95" s="96">
        <v>1923716.9119721297</v>
      </c>
      <c r="BX95" s="96">
        <v>2088875.1834228376</v>
      </c>
      <c r="BY95" s="102">
        <v>2002736.7090401398</v>
      </c>
      <c r="BZ95" s="102">
        <v>2067715.3307308052</v>
      </c>
      <c r="CA95" s="96">
        <v>2053307.2074502192</v>
      </c>
      <c r="CB95" s="96">
        <v>1985236.0337699389</v>
      </c>
      <c r="CC95" s="96">
        <v>2072404.1478570937</v>
      </c>
      <c r="CD95" s="96">
        <v>2017921.1638258439</v>
      </c>
      <c r="CE95" s="96">
        <v>2040675.9123026256</v>
      </c>
      <c r="CF95" s="102">
        <v>2040084.2171892223</v>
      </c>
      <c r="CG95" s="96">
        <v>537723.1542291349</v>
      </c>
      <c r="CH95" s="105">
        <v>24653797.517728809</v>
      </c>
      <c r="CJ95" s="83">
        <v>113776.33530083559</v>
      </c>
      <c r="CK95" s="96">
        <v>125141.00850115345</v>
      </c>
      <c r="CL95" s="96">
        <v>119646.82888187865</v>
      </c>
      <c r="CM95" s="96">
        <v>129678.90588508842</v>
      </c>
      <c r="CN95" s="96">
        <v>119923.99304907311</v>
      </c>
      <c r="CO95" s="96">
        <v>174287.09791326776</v>
      </c>
      <c r="CP95" s="96">
        <v>181926.50609404538</v>
      </c>
      <c r="CQ95" s="96">
        <v>173529.4889957624</v>
      </c>
      <c r="CR95" s="96">
        <v>205153.64124040143</v>
      </c>
      <c r="CS95" s="96">
        <v>222399.8862754282</v>
      </c>
      <c r="CT95" s="96">
        <v>242314.18904139023</v>
      </c>
      <c r="CU95" s="96">
        <v>267962.00106064352</v>
      </c>
      <c r="CV95" s="96">
        <v>72317.733790149417</v>
      </c>
      <c r="CW95" s="106">
        <v>2148057.6160291173</v>
      </c>
      <c r="CY95" s="91">
        <v>1362557.3599401992</v>
      </c>
      <c r="CZ95" s="96">
        <v>1584144.1956171333</v>
      </c>
      <c r="DA95" s="102">
        <v>1614431.4543511828</v>
      </c>
      <c r="DB95" s="102">
        <v>1800364.5283041173</v>
      </c>
      <c r="DC95" s="102">
        <v>1888671.3204288243</v>
      </c>
      <c r="DD95" s="102">
        <v>1977261.5455745473</v>
      </c>
      <c r="DE95" s="102">
        <v>1997527.8584323195</v>
      </c>
      <c r="DF95" s="102">
        <v>1956224.0301279614</v>
      </c>
      <c r="DG95" s="102">
        <v>2059625.2944791273</v>
      </c>
      <c r="DH95" s="102">
        <v>2025310.7040389271</v>
      </c>
      <c r="DI95" s="102">
        <v>2053333.660325624</v>
      </c>
      <c r="DJ95" s="102">
        <v>2047128.0277618035</v>
      </c>
      <c r="DK95" s="94">
        <f t="shared" ref="DK95:DK98" si="112">SUM(CY95:DJ95)</f>
        <v>22366579.979381766</v>
      </c>
    </row>
    <row r="96" spans="1:115" ht="14.45" customHeight="1">
      <c r="A96" s="12"/>
      <c r="B96" s="13" t="s">
        <v>114</v>
      </c>
      <c r="C96" s="14"/>
      <c r="D96" s="91">
        <f>'[24]funding cost'!CM48+'[24]funding cost'!CM47</f>
        <v>264175.66534082941</v>
      </c>
      <c r="E96" s="96">
        <f>'[24]funding cost'!CQ48+'[24]funding cost'!CQ47</f>
        <v>389223.70478354284</v>
      </c>
      <c r="F96" s="96"/>
      <c r="G96" s="96"/>
      <c r="H96" s="102"/>
      <c r="I96" s="102"/>
      <c r="J96" s="102"/>
      <c r="K96" s="96"/>
      <c r="L96" s="96"/>
      <c r="M96" s="96"/>
      <c r="N96" s="96"/>
      <c r="O96" s="96"/>
      <c r="P96" s="100">
        <f>SUM(D96:O96)</f>
        <v>653399.37012437219</v>
      </c>
      <c r="Q96" s="101">
        <f>SUM(BS96)</f>
        <v>230517.92545585183</v>
      </c>
      <c r="R96" s="89">
        <f t="shared" si="103"/>
        <v>147.3351848215774</v>
      </c>
      <c r="S96" s="89">
        <f t="shared" si="104"/>
        <v>310.66946476536845</v>
      </c>
      <c r="T96" s="89">
        <f>IF(ISERROR((($P96-$BG96)/ABS($BG96)+1)*100),0,(($P96-$BG96)/ABS($BG96)+1)*100)</f>
        <v>521.52844264060468</v>
      </c>
      <c r="U96" s="96">
        <f>(+'[24]PF resc'!D102)*1000</f>
        <v>392416.44400384271</v>
      </c>
      <c r="V96" s="90">
        <f>IF(ISERROR((($E96-$U96)/ABS($U96)+1)*100),0,(($E96-$U96)/ABS($U96)+1)*100)</f>
        <v>99.186390053453366</v>
      </c>
      <c r="W96" s="3"/>
      <c r="X96" s="91">
        <f t="shared" si="105"/>
        <v>235903.40252243035</v>
      </c>
      <c r="Y96" s="96">
        <f t="shared" si="105"/>
        <v>349875.1523599443</v>
      </c>
      <c r="Z96" s="96"/>
      <c r="AA96" s="96"/>
      <c r="AB96" s="102"/>
      <c r="AC96" s="102"/>
      <c r="AD96" s="96"/>
      <c r="AE96" s="96"/>
      <c r="AF96" s="96"/>
      <c r="AG96" s="96"/>
      <c r="AH96" s="96"/>
      <c r="AI96" s="102"/>
      <c r="AJ96" s="103">
        <f>SUM(X96:AI96)</f>
        <v>585778.55488237459</v>
      </c>
      <c r="AK96" s="88">
        <f t="shared" si="106"/>
        <v>148.31288935168166</v>
      </c>
      <c r="AL96" s="96">
        <f>(+'[24]PF resc'!R102)*1000</f>
        <v>356510.33937749104</v>
      </c>
      <c r="AM96" s="90">
        <f t="shared" si="107"/>
        <v>98.138851448422912</v>
      </c>
      <c r="AN96" s="3"/>
      <c r="AO96" s="91">
        <f t="shared" si="108"/>
        <v>28272.262818399075</v>
      </c>
      <c r="AP96" s="96">
        <f t="shared" si="108"/>
        <v>39348.552423598514</v>
      </c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102">
        <f>SUM(AO96:AZ96)</f>
        <v>67620.815241997596</v>
      </c>
      <c r="BB96" s="89">
        <f t="shared" si="109"/>
        <v>139.17723061767521</v>
      </c>
      <c r="BC96" s="96">
        <f>(+'[24]PF resc'!AF102)*1000</f>
        <v>35906.104626351604</v>
      </c>
      <c r="BD96" s="90">
        <f t="shared" si="110"/>
        <v>109.58736079301814</v>
      </c>
      <c r="BF96" s="91">
        <v>105232.45361924822</v>
      </c>
      <c r="BG96" s="96">
        <v>125285.4718366036</v>
      </c>
      <c r="BH96" s="102">
        <v>158517.83312025428</v>
      </c>
      <c r="BI96" s="102">
        <v>161606.67810220551</v>
      </c>
      <c r="BJ96" s="102">
        <v>154797.00454029694</v>
      </c>
      <c r="BK96" s="102">
        <v>158586.30018872957</v>
      </c>
      <c r="BL96" s="102">
        <v>156122.23779092036</v>
      </c>
      <c r="BM96" s="102">
        <v>148740.2847602457</v>
      </c>
      <c r="BN96" s="102">
        <v>152846.83995136322</v>
      </c>
      <c r="BO96" s="102">
        <v>147149.13154636102</v>
      </c>
      <c r="BP96" s="102">
        <v>150436.70187281552</v>
      </c>
      <c r="BQ96" s="102">
        <v>149856.81104915147</v>
      </c>
      <c r="BR96" s="102">
        <v>39148.4040119251</v>
      </c>
      <c r="BS96" s="94">
        <f t="shared" si="111"/>
        <v>230517.92545585183</v>
      </c>
      <c r="BT96" s="185"/>
      <c r="BU96" s="83">
        <v>98977.744990621577</v>
      </c>
      <c r="BV96" s="96">
        <v>117986.72158081119</v>
      </c>
      <c r="BW96" s="96">
        <v>149236.00254116289</v>
      </c>
      <c r="BX96" s="96">
        <v>152160.44584624315</v>
      </c>
      <c r="BY96" s="102">
        <v>146051.43588759773</v>
      </c>
      <c r="BZ96" s="102">
        <v>146258.23770513452</v>
      </c>
      <c r="CA96" s="96">
        <v>143415.39059513007</v>
      </c>
      <c r="CB96" s="96">
        <v>136783.99523489602</v>
      </c>
      <c r="CC96" s="96">
        <v>139078.98478728568</v>
      </c>
      <c r="CD96" s="96">
        <v>132541.42604809802</v>
      </c>
      <c r="CE96" s="96">
        <v>134469.50718593862</v>
      </c>
      <c r="CF96" s="102">
        <v>132458.57584754159</v>
      </c>
      <c r="CG96" s="96">
        <v>34507.528432526036</v>
      </c>
      <c r="CH96" s="105">
        <v>1663925.9966829873</v>
      </c>
      <c r="CI96" s="185"/>
      <c r="CJ96" s="83">
        <v>6254.7086286266458</v>
      </c>
      <c r="CK96" s="96">
        <v>7298.7502557923899</v>
      </c>
      <c r="CL96" s="96">
        <v>9281.8305790913637</v>
      </c>
      <c r="CM96" s="96">
        <v>9446.2322559623408</v>
      </c>
      <c r="CN96" s="96">
        <v>8745.5686526992067</v>
      </c>
      <c r="CO96" s="96">
        <v>12328.062483595049</v>
      </c>
      <c r="CP96" s="96">
        <v>12706.8471957903</v>
      </c>
      <c r="CQ96" s="96">
        <v>11956.289525349699</v>
      </c>
      <c r="CR96" s="96">
        <v>13767.855164077564</v>
      </c>
      <c r="CS96" s="96">
        <v>14607.705498263011</v>
      </c>
      <c r="CT96" s="96">
        <v>15967.194686876881</v>
      </c>
      <c r="CU96" s="96">
        <v>17398.235201609881</v>
      </c>
      <c r="CV96" s="96">
        <v>4640.8755793990658</v>
      </c>
      <c r="CW96" s="106">
        <v>144400.15570713341</v>
      </c>
      <c r="CY96" s="91">
        <v>0</v>
      </c>
      <c r="CZ96" s="96">
        <v>0</v>
      </c>
      <c r="DA96" s="102">
        <v>0</v>
      </c>
      <c r="DB96" s="102">
        <v>0</v>
      </c>
      <c r="DC96" s="102">
        <v>0</v>
      </c>
      <c r="DD96" s="102">
        <v>0</v>
      </c>
      <c r="DE96" s="102">
        <v>0</v>
      </c>
      <c r="DF96" s="102">
        <v>0</v>
      </c>
      <c r="DG96" s="102">
        <v>0</v>
      </c>
      <c r="DH96" s="102">
        <v>96851.8691283027</v>
      </c>
      <c r="DI96" s="102">
        <v>216462.54416374245</v>
      </c>
      <c r="DJ96" s="102">
        <v>331033.0597957758</v>
      </c>
      <c r="DK96" s="106">
        <f t="shared" si="112"/>
        <v>644347.47308782092</v>
      </c>
    </row>
    <row r="97" spans="1:115" ht="14.45" customHeight="1">
      <c r="A97" s="12"/>
      <c r="B97" s="13" t="s">
        <v>115</v>
      </c>
      <c r="C97" s="14"/>
      <c r="D97" s="91">
        <f>'[24]funding cost'!CM31+'[24]funding cost'!CM32</f>
        <v>1265171.2956421073</v>
      </c>
      <c r="E97" s="96">
        <f>'[24]funding cost'!CQ31+'[24]funding cost'!CQ32</f>
        <v>1231155.9982975612</v>
      </c>
      <c r="F97" s="96"/>
      <c r="G97" s="96"/>
      <c r="H97" s="102"/>
      <c r="I97" s="102"/>
      <c r="J97" s="102"/>
      <c r="K97" s="96"/>
      <c r="L97" s="96"/>
      <c r="M97" s="96"/>
      <c r="N97" s="96"/>
      <c r="O97" s="96"/>
      <c r="P97" s="100">
        <f>SUM(D97:O97)</f>
        <v>2496327.2939396687</v>
      </c>
      <c r="Q97" s="101">
        <f>SUM(BS97)</f>
        <v>2407464.2993421727</v>
      </c>
      <c r="R97" s="89">
        <f t="shared" si="103"/>
        <v>97.311407754688076</v>
      </c>
      <c r="S97" s="89">
        <f t="shared" si="104"/>
        <v>103.29737806812977</v>
      </c>
      <c r="T97" s="89">
        <f>IF(ISERROR((($P97-$BG97)/ABS($BG97)+1)*100),0,(($P97-$BG97)/ABS($BG97)+1)*100)</f>
        <v>209.4487332396958</v>
      </c>
      <c r="U97" s="96">
        <f>(+'[24]PF resc'!D103)*1000</f>
        <v>1241254.9722134948</v>
      </c>
      <c r="V97" s="90">
        <f>IF(ISERROR((($E97-$U97)/ABS($U97)+1)*100),0,(($E97-$U97)/ABS($U97)+1)*100)</f>
        <v>99.186390053453366</v>
      </c>
      <c r="W97" s="3"/>
      <c r="X97" s="91">
        <f t="shared" si="105"/>
        <v>1129771.786627755</v>
      </c>
      <c r="Y97" s="96">
        <f t="shared" si="105"/>
        <v>1106692.3396219406</v>
      </c>
      <c r="Z97" s="96"/>
      <c r="AA97" s="96"/>
      <c r="AB97" s="102"/>
      <c r="AC97" s="102"/>
      <c r="AD97" s="96"/>
      <c r="AE97" s="96"/>
      <c r="AF97" s="96"/>
      <c r="AG97" s="96"/>
      <c r="AH97" s="96"/>
      <c r="AI97" s="102"/>
      <c r="AJ97" s="103">
        <f>SUM(X97:AI97)</f>
        <v>2236464.1262496957</v>
      </c>
      <c r="AK97" s="88">
        <f t="shared" si="106"/>
        <v>97.957158491742476</v>
      </c>
      <c r="AL97" s="96">
        <f>(+'[24]PF resc'!R103)*1000</f>
        <v>1127680.14225596</v>
      </c>
      <c r="AM97" s="90">
        <f t="shared" si="107"/>
        <v>98.138851448422898</v>
      </c>
      <c r="AN97" s="3"/>
      <c r="AO97" s="91">
        <f t="shared" si="108"/>
        <v>135399.50901435222</v>
      </c>
      <c r="AP97" s="96">
        <f t="shared" si="108"/>
        <v>124463.65867562049</v>
      </c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102">
        <f>SUM(AO97:AZ97)</f>
        <v>259863.16768997273</v>
      </c>
      <c r="BB97" s="89">
        <f t="shared" si="109"/>
        <v>91.92327179150071</v>
      </c>
      <c r="BC97" s="96">
        <f>(+'[24]PF resc'!AF103)*1000</f>
        <v>113574.82995753476</v>
      </c>
      <c r="BD97" s="90">
        <f t="shared" si="110"/>
        <v>109.58736079301816</v>
      </c>
      <c r="BF97" s="91">
        <v>1215608.2993907002</v>
      </c>
      <c r="BG97" s="96">
        <v>1191855.9999514725</v>
      </c>
      <c r="BH97" s="102">
        <v>1170593.2291957238</v>
      </c>
      <c r="BI97" s="102">
        <v>1154906.2851969029</v>
      </c>
      <c r="BJ97" s="102">
        <v>1143116.3412206543</v>
      </c>
      <c r="BK97" s="102">
        <v>1133321.4504802513</v>
      </c>
      <c r="BL97" s="102">
        <v>1273771.5083288986</v>
      </c>
      <c r="BM97" s="102">
        <v>1253995.0161325331</v>
      </c>
      <c r="BN97" s="102">
        <v>1247048.1631763824</v>
      </c>
      <c r="BO97" s="102">
        <v>1240580.3705754746</v>
      </c>
      <c r="BP97" s="102">
        <v>1227384.3070913586</v>
      </c>
      <c r="BQ97" s="102">
        <v>1222653.0886590821</v>
      </c>
      <c r="BR97" s="102">
        <v>334267.14194797591</v>
      </c>
      <c r="BS97" s="94">
        <f t="shared" si="111"/>
        <v>2407464.2993421727</v>
      </c>
      <c r="BU97" s="83">
        <v>1143356.1047707845</v>
      </c>
      <c r="BV97" s="96">
        <v>1122422.0970655994</v>
      </c>
      <c r="BW97" s="96">
        <v>1102050.480303972</v>
      </c>
      <c r="BX97" s="96">
        <v>1087399.7122510679</v>
      </c>
      <c r="BY97" s="102">
        <v>1078533.6804007217</v>
      </c>
      <c r="BZ97" s="102">
        <v>1045220.1602749071</v>
      </c>
      <c r="CA97" s="96">
        <v>1170098.7699175873</v>
      </c>
      <c r="CB97" s="96">
        <v>1153194.2982880464</v>
      </c>
      <c r="CC97" s="96">
        <v>1134718.8634754221</v>
      </c>
      <c r="CD97" s="96">
        <v>1117426.1765285803</v>
      </c>
      <c r="CE97" s="96">
        <v>1097111.0164450777</v>
      </c>
      <c r="CF97" s="102">
        <v>1080704.2118777093</v>
      </c>
      <c r="CG97" s="96">
        <v>294641.20430849155</v>
      </c>
      <c r="CH97" s="105">
        <v>13626876.775907967</v>
      </c>
      <c r="CJ97" s="83">
        <v>72252.19461991571</v>
      </c>
      <c r="CK97" s="96">
        <v>69433.902885872943</v>
      </c>
      <c r="CL97" s="96">
        <v>68542.748891751602</v>
      </c>
      <c r="CM97" s="96">
        <v>67506.572945835083</v>
      </c>
      <c r="CN97" s="96">
        <v>64582.660819932593</v>
      </c>
      <c r="CO97" s="96">
        <v>88101.29020534431</v>
      </c>
      <c r="CP97" s="96">
        <v>103672.73841131142</v>
      </c>
      <c r="CQ97" s="96">
        <v>100800.7178444867</v>
      </c>
      <c r="CR97" s="96">
        <v>112329.29970096034</v>
      </c>
      <c r="CS97" s="96">
        <v>123154.19404689432</v>
      </c>
      <c r="CT97" s="96">
        <v>130273.29064628088</v>
      </c>
      <c r="CU97" s="96">
        <v>141948.87678137296</v>
      </c>
      <c r="CV97" s="96">
        <v>39625.937639484335</v>
      </c>
      <c r="CW97" s="106">
        <v>1182224.4254394434</v>
      </c>
      <c r="CY97" s="91">
        <v>1147443.345795216</v>
      </c>
      <c r="CZ97" s="96">
        <v>1155924.8634516285</v>
      </c>
      <c r="DA97" s="102">
        <v>1190597.7681062443</v>
      </c>
      <c r="DB97" s="102">
        <v>1208525.5068055808</v>
      </c>
      <c r="DC97" s="102">
        <v>1205898.653543903</v>
      </c>
      <c r="DD97" s="102">
        <v>1179981.0011090334</v>
      </c>
      <c r="DE97" s="102">
        <v>1170027.3546946163</v>
      </c>
      <c r="DF97" s="102">
        <v>1150139.7586253085</v>
      </c>
      <c r="DG97" s="102">
        <v>1146956.3095087491</v>
      </c>
      <c r="DH97" s="102">
        <v>1135131.2843396273</v>
      </c>
      <c r="DI97" s="102">
        <v>1107899.9781768236</v>
      </c>
      <c r="DJ97" s="102">
        <v>1083791.8091979171</v>
      </c>
      <c r="DK97" s="94">
        <f t="shared" si="112"/>
        <v>13882317.633354647</v>
      </c>
    </row>
    <row r="98" spans="1:115" s="186" customFormat="1" ht="14.45" customHeight="1">
      <c r="A98" s="107" t="s">
        <v>116</v>
      </c>
      <c r="B98" s="136"/>
      <c r="C98" s="137"/>
      <c r="D98" s="118">
        <f t="shared" ref="D98:O98" si="113">SUM(D95:D97)</f>
        <v>3811650.6809960292</v>
      </c>
      <c r="E98" s="111">
        <f t="shared" si="113"/>
        <v>3888990.0758665577</v>
      </c>
      <c r="F98" s="111">
        <f>SUM(F95:F97)</f>
        <v>0</v>
      </c>
      <c r="G98" s="113">
        <f t="shared" si="113"/>
        <v>0</v>
      </c>
      <c r="H98" s="113">
        <f>SUM(H95:H97)</f>
        <v>0</v>
      </c>
      <c r="I98" s="111">
        <f>SUM(I95:I97)</f>
        <v>0</v>
      </c>
      <c r="J98" s="113">
        <f t="shared" si="113"/>
        <v>0</v>
      </c>
      <c r="K98" s="111">
        <f t="shared" si="113"/>
        <v>0</v>
      </c>
      <c r="L98" s="113">
        <f t="shared" si="113"/>
        <v>0</v>
      </c>
      <c r="M98" s="113">
        <f t="shared" si="113"/>
        <v>0</v>
      </c>
      <c r="N98" s="113">
        <f t="shared" si="113"/>
        <v>0</v>
      </c>
      <c r="O98" s="113">
        <f t="shared" si="113"/>
        <v>0</v>
      </c>
      <c r="P98" s="114">
        <f>SUM(D98:O98)</f>
        <v>7700640.7568625864</v>
      </c>
      <c r="Q98" s="114">
        <f>SUM(BS98)</f>
        <v>6700301.1145388344</v>
      </c>
      <c r="R98" s="115">
        <f t="shared" si="103"/>
        <v>102.02902630233469</v>
      </c>
      <c r="S98" s="115">
        <f t="shared" si="104"/>
        <v>112.22896686697396</v>
      </c>
      <c r="T98" s="115">
        <f>IF(ISERROR((($P98-$BG98)/ABS($BG98)+1)*100),0,(($P98-$BG98)/ABS($BG98)+1)*100)</f>
        <v>222.22606370725407</v>
      </c>
      <c r="U98" s="111">
        <f t="shared" ref="U98" si="114">SUM(U95:U97)</f>
        <v>3978823.2653708514</v>
      </c>
      <c r="V98" s="117">
        <f>IF(ISERROR((($E98-$U98)/ABS($U98)+1)*100),0,(($E98-$U98)/ABS($U98)+1)*100)</f>
        <v>97.742217145301609</v>
      </c>
      <c r="W98" s="8"/>
      <c r="X98" s="118">
        <f t="shared" ref="X98:AC98" si="115">SUM(X95:X97)</f>
        <v>3403725.1830663979</v>
      </c>
      <c r="Y98" s="111">
        <f t="shared" ref="Y98" si="116">SUM(Y95:Y97)</f>
        <v>3495832.80411151</v>
      </c>
      <c r="Z98" s="111">
        <f t="shared" si="115"/>
        <v>0</v>
      </c>
      <c r="AA98" s="113">
        <f t="shared" si="115"/>
        <v>0</v>
      </c>
      <c r="AB98" s="113">
        <f t="shared" si="115"/>
        <v>0</v>
      </c>
      <c r="AC98" s="111">
        <f t="shared" si="115"/>
        <v>0</v>
      </c>
      <c r="AD98" s="111">
        <f t="shared" ref="AD98:AI98" si="117">SUM(AD95:AD97)</f>
        <v>0</v>
      </c>
      <c r="AE98" s="111">
        <f t="shared" si="117"/>
        <v>0</v>
      </c>
      <c r="AF98" s="111">
        <f t="shared" si="117"/>
        <v>0</v>
      </c>
      <c r="AG98" s="113">
        <f t="shared" si="117"/>
        <v>0</v>
      </c>
      <c r="AH98" s="113">
        <f t="shared" si="117"/>
        <v>0</v>
      </c>
      <c r="AI98" s="113">
        <f t="shared" si="117"/>
        <v>0</v>
      </c>
      <c r="AJ98" s="119">
        <f>SUM(X98:AI98)</f>
        <v>6899557.9871779084</v>
      </c>
      <c r="AK98" s="116">
        <f t="shared" si="106"/>
        <v>102.70608277963653</v>
      </c>
      <c r="AL98" s="111">
        <f t="shared" ref="AL98" si="118">SUM(AL95:AL97)</f>
        <v>3614760.936589418</v>
      </c>
      <c r="AM98" s="117">
        <f t="shared" si="107"/>
        <v>96.709930903753801</v>
      </c>
      <c r="AN98" s="8"/>
      <c r="AO98" s="118">
        <f t="shared" ref="AO98:AZ98" si="119">SUM(AO95:AO97)</f>
        <v>407925.49792963156</v>
      </c>
      <c r="AP98" s="111">
        <f t="shared" si="119"/>
        <v>393157.27175504714</v>
      </c>
      <c r="AQ98" s="111">
        <f t="shared" si="119"/>
        <v>0</v>
      </c>
      <c r="AR98" s="111">
        <f t="shared" si="119"/>
        <v>0</v>
      </c>
      <c r="AS98" s="111">
        <f t="shared" si="119"/>
        <v>0</v>
      </c>
      <c r="AT98" s="111">
        <f t="shared" si="119"/>
        <v>0</v>
      </c>
      <c r="AU98" s="111">
        <f t="shared" si="119"/>
        <v>0</v>
      </c>
      <c r="AV98" s="111">
        <f t="shared" si="119"/>
        <v>0</v>
      </c>
      <c r="AW98" s="111">
        <f t="shared" si="119"/>
        <v>0</v>
      </c>
      <c r="AX98" s="113">
        <f t="shared" si="119"/>
        <v>0</v>
      </c>
      <c r="AY98" s="113">
        <f t="shared" si="119"/>
        <v>0</v>
      </c>
      <c r="AZ98" s="111">
        <f t="shared" si="119"/>
        <v>0</v>
      </c>
      <c r="BA98" s="120">
        <f>SUM(AO98:AZ98)</f>
        <v>801082.76968467864</v>
      </c>
      <c r="BB98" s="115">
        <f t="shared" si="109"/>
        <v>96.379675639414927</v>
      </c>
      <c r="BC98" s="111">
        <f t="shared" ref="BC98" si="120">SUM(BC95:BC97)</f>
        <v>364062.32878143294</v>
      </c>
      <c r="BD98" s="117">
        <f t="shared" si="110"/>
        <v>107.99174775127078</v>
      </c>
      <c r="BF98" s="118">
        <v>3235072.67625497</v>
      </c>
      <c r="BG98" s="111">
        <v>3465228.4382838644</v>
      </c>
      <c r="BH98" s="113">
        <v>3372474.8031699867</v>
      </c>
      <c r="BI98" s="113">
        <v>3535067.0526070343</v>
      </c>
      <c r="BJ98" s="113">
        <v>3420574.0478501637</v>
      </c>
      <c r="BK98" s="113">
        <v>3533910.1793130534</v>
      </c>
      <c r="BL98" s="113">
        <v>3665127.4596640831</v>
      </c>
      <c r="BM98" s="113">
        <v>3561500.8236584798</v>
      </c>
      <c r="BN98" s="113">
        <v>3677452.7922252407</v>
      </c>
      <c r="BO98" s="113">
        <v>3628050.5522231078</v>
      </c>
      <c r="BP98" s="113">
        <v>3660811.1103081899</v>
      </c>
      <c r="BQ98" s="113">
        <v>3680556.1179580991</v>
      </c>
      <c r="BR98" s="113">
        <v>983456.4339791853</v>
      </c>
      <c r="BS98" s="121">
        <f t="shared" si="111"/>
        <v>6700301.1145388344</v>
      </c>
      <c r="BU98" s="110">
        <v>3042789.4377055923</v>
      </c>
      <c r="BV98" s="111">
        <v>3263354.7766410448</v>
      </c>
      <c r="BW98" s="111">
        <v>3175003.3948172648</v>
      </c>
      <c r="BX98" s="113">
        <v>3328435.3415201483</v>
      </c>
      <c r="BY98" s="113">
        <v>3227321.825328459</v>
      </c>
      <c r="BZ98" s="111">
        <v>3259193.7287108465</v>
      </c>
      <c r="CA98" s="111">
        <v>3366821.3679629364</v>
      </c>
      <c r="CB98" s="111">
        <v>3275214.3272928814</v>
      </c>
      <c r="CC98" s="111">
        <v>3346201.9961198019</v>
      </c>
      <c r="CD98" s="113">
        <v>3267888.7664025221</v>
      </c>
      <c r="CE98" s="113">
        <v>3272256.4359336421</v>
      </c>
      <c r="CF98" s="113">
        <v>3253247.0049144733</v>
      </c>
      <c r="CG98" s="111">
        <v>866871.8869701525</v>
      </c>
      <c r="CH98" s="122">
        <v>39944600.290319763</v>
      </c>
      <c r="CJ98" s="110">
        <v>192283.23854937794</v>
      </c>
      <c r="CK98" s="111">
        <v>201873.66164281877</v>
      </c>
      <c r="CL98" s="111">
        <v>197471.4083527216</v>
      </c>
      <c r="CM98" s="111">
        <v>206631.71108688583</v>
      </c>
      <c r="CN98" s="111">
        <v>193252.22252170491</v>
      </c>
      <c r="CO98" s="111">
        <v>274716.4506022071</v>
      </c>
      <c r="CP98" s="111">
        <v>298306.09170114709</v>
      </c>
      <c r="CQ98" s="111">
        <v>286286.49636559881</v>
      </c>
      <c r="CR98" s="111">
        <v>331250.79610543931</v>
      </c>
      <c r="CS98" s="113">
        <v>360161.78582058556</v>
      </c>
      <c r="CT98" s="113">
        <v>388554.67437454796</v>
      </c>
      <c r="CU98" s="111">
        <v>427309.11304362642</v>
      </c>
      <c r="CV98" s="111">
        <v>116584.54700903283</v>
      </c>
      <c r="CW98" s="122">
        <v>3474682.1971756937</v>
      </c>
      <c r="CY98" s="118">
        <v>2510000.7057354152</v>
      </c>
      <c r="CZ98" s="111">
        <v>2740069.0590687618</v>
      </c>
      <c r="DA98" s="113">
        <v>2805029.2224574271</v>
      </c>
      <c r="DB98" s="113">
        <v>3008890.0351096978</v>
      </c>
      <c r="DC98" s="113">
        <v>3094569.9739727275</v>
      </c>
      <c r="DD98" s="113">
        <v>3157242.5466835806</v>
      </c>
      <c r="DE98" s="113">
        <v>3167555.213126936</v>
      </c>
      <c r="DF98" s="113">
        <v>3106363.7887532702</v>
      </c>
      <c r="DG98" s="113">
        <v>3206581.6039878763</v>
      </c>
      <c r="DH98" s="113">
        <v>3257293.8575068573</v>
      </c>
      <c r="DI98" s="113">
        <v>3377696.18266619</v>
      </c>
      <c r="DJ98" s="113">
        <v>3461952.8967554965</v>
      </c>
      <c r="DK98" s="121">
        <f t="shared" si="112"/>
        <v>36893245.085824236</v>
      </c>
    </row>
    <row r="99" spans="1:115" ht="14.45" customHeight="1">
      <c r="A99" s="12"/>
      <c r="B99" s="13"/>
      <c r="C99" s="14"/>
      <c r="D99" s="91"/>
      <c r="E99" s="96"/>
      <c r="F99" s="104"/>
      <c r="G99" s="102"/>
      <c r="H99" s="102"/>
      <c r="I99" s="102"/>
      <c r="J99" s="102"/>
      <c r="K99" s="119"/>
      <c r="L99" s="102"/>
      <c r="M99" s="102"/>
      <c r="N99" s="102"/>
      <c r="O99" s="102"/>
      <c r="P99" s="100"/>
      <c r="Q99" s="101"/>
      <c r="R99" s="89"/>
      <c r="S99" s="89"/>
      <c r="T99" s="89"/>
      <c r="U99" s="89"/>
      <c r="V99" s="90"/>
      <c r="W99" s="3"/>
      <c r="X99" s="91"/>
      <c r="Y99" s="96"/>
      <c r="Z99" s="104"/>
      <c r="AA99" s="102"/>
      <c r="AB99" s="102"/>
      <c r="AC99" s="102"/>
      <c r="AD99" s="96"/>
      <c r="AE99" s="119"/>
      <c r="AF99" s="119"/>
      <c r="AG99" s="102"/>
      <c r="AH99" s="102"/>
      <c r="AI99" s="102"/>
      <c r="AJ99" s="103"/>
      <c r="AK99" s="88"/>
      <c r="AL99" s="89"/>
      <c r="AM99" s="90"/>
      <c r="AN99" s="3"/>
      <c r="AO99" s="91"/>
      <c r="AP99" s="96"/>
      <c r="AQ99" s="104"/>
      <c r="AR99" s="102"/>
      <c r="AS99" s="102"/>
      <c r="AT99" s="102"/>
      <c r="AU99" s="96"/>
      <c r="AV99" s="119"/>
      <c r="AW99" s="102"/>
      <c r="AX99" s="102"/>
      <c r="AY99" s="102"/>
      <c r="AZ99" s="96"/>
      <c r="BA99" s="102"/>
      <c r="BB99" s="89"/>
      <c r="BC99" s="89"/>
      <c r="BD99" s="90"/>
      <c r="BF99" s="91"/>
      <c r="BG99" s="96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94"/>
      <c r="BU99" s="83"/>
      <c r="BV99" s="96"/>
      <c r="BW99" s="104"/>
      <c r="BX99" s="102"/>
      <c r="BY99" s="102"/>
      <c r="BZ99" s="102"/>
      <c r="CA99" s="96"/>
      <c r="CB99" s="119"/>
      <c r="CC99" s="119"/>
      <c r="CD99" s="102"/>
      <c r="CE99" s="102"/>
      <c r="CF99" s="102"/>
      <c r="CG99" s="96"/>
      <c r="CH99" s="105"/>
      <c r="CJ99" s="83"/>
      <c r="CK99" s="96"/>
      <c r="CL99" s="104"/>
      <c r="CM99" s="102"/>
      <c r="CN99" s="102"/>
      <c r="CO99" s="102"/>
      <c r="CP99" s="96"/>
      <c r="CQ99" s="119"/>
      <c r="CR99" s="102"/>
      <c r="CS99" s="102"/>
      <c r="CT99" s="102"/>
      <c r="CU99" s="96"/>
      <c r="CV99" s="96"/>
      <c r="CW99" s="106"/>
      <c r="CY99" s="91"/>
      <c r="CZ99" s="96"/>
      <c r="DA99" s="102"/>
      <c r="DB99" s="102"/>
      <c r="DC99" s="102"/>
      <c r="DD99" s="102"/>
      <c r="DE99" s="102"/>
      <c r="DF99" s="102"/>
      <c r="DG99" s="102"/>
      <c r="DH99" s="102"/>
      <c r="DI99" s="102"/>
      <c r="DJ99" s="102"/>
      <c r="DK99" s="94"/>
    </row>
    <row r="100" spans="1:115" ht="14.45" customHeight="1">
      <c r="A100" s="107" t="s">
        <v>117</v>
      </c>
      <c r="B100" s="136"/>
      <c r="C100" s="137"/>
      <c r="D100" s="118">
        <f t="shared" ref="D100:O100" si="121">D60+D62+D68+D80+D88+D93+D98</f>
        <v>11887424.89061325</v>
      </c>
      <c r="E100" s="111">
        <f t="shared" si="121"/>
        <v>13406308.161866557</v>
      </c>
      <c r="F100" s="112">
        <f t="shared" si="121"/>
        <v>0</v>
      </c>
      <c r="G100" s="113">
        <f t="shared" si="121"/>
        <v>0</v>
      </c>
      <c r="H100" s="113">
        <f t="shared" si="121"/>
        <v>0</v>
      </c>
      <c r="I100" s="113">
        <f t="shared" si="121"/>
        <v>0</v>
      </c>
      <c r="J100" s="113">
        <f t="shared" si="121"/>
        <v>0</v>
      </c>
      <c r="K100" s="111">
        <f t="shared" si="121"/>
        <v>0</v>
      </c>
      <c r="L100" s="113">
        <f t="shared" si="121"/>
        <v>0</v>
      </c>
      <c r="M100" s="113">
        <f t="shared" si="121"/>
        <v>0</v>
      </c>
      <c r="N100" s="113">
        <f t="shared" si="121"/>
        <v>0</v>
      </c>
      <c r="O100" s="113">
        <f t="shared" si="121"/>
        <v>0</v>
      </c>
      <c r="P100" s="114">
        <f>SUM(D100:O100)</f>
        <v>25293733.052479807</v>
      </c>
      <c r="Q100" s="114">
        <f>SUM(BS100)</f>
        <v>20017294.882748235</v>
      </c>
      <c r="R100" s="115">
        <f>IF(ISERROR((($E100-$D100)/ABS($D100)+1)*100),0,(($E100-$D100)/ABS($D100)+1)*100)</f>
        <v>112.77722707171569</v>
      </c>
      <c r="S100" s="115">
        <f>IF(ISERROR((($E100-$BG100)/ABS($BG100)+1)*100),0,(($E100-$BG100)/ABS($BG100)+1)*100)</f>
        <v>125.81940258376029</v>
      </c>
      <c r="T100" s="115">
        <f>IF(ISERROR((($P100-$BG100)/ABS($BG100)+1)*100),0,(($P100-$BG100)/ABS($BG100)+1)*100)</f>
        <v>237.38394965650488</v>
      </c>
      <c r="U100" s="111">
        <f t="shared" ref="U100" si="122">U60+U62+U68+U80+U88+U93+U98</f>
        <v>11399548.758781966</v>
      </c>
      <c r="V100" s="117">
        <f>IF(ISERROR((($E100-$U100)/ABS($U100)+1)*100),0,(($E100-$U100)/ABS($U100)+1)*100)</f>
        <v>117.60384946411698</v>
      </c>
      <c r="W100" s="3"/>
      <c r="X100" s="118">
        <f t="shared" ref="X100:AI100" si="123">X60+X62+X68+X80+X88+X93+X98</f>
        <v>7662066.9513071841</v>
      </c>
      <c r="Y100" s="111">
        <f t="shared" si="123"/>
        <v>8693841.0413234681</v>
      </c>
      <c r="Z100" s="112">
        <f t="shared" si="123"/>
        <v>0</v>
      </c>
      <c r="AA100" s="113">
        <f t="shared" si="123"/>
        <v>0</v>
      </c>
      <c r="AB100" s="113">
        <f t="shared" si="123"/>
        <v>0</v>
      </c>
      <c r="AC100" s="113">
        <f t="shared" si="123"/>
        <v>0</v>
      </c>
      <c r="AD100" s="111">
        <f t="shared" si="123"/>
        <v>0</v>
      </c>
      <c r="AE100" s="111">
        <f t="shared" si="123"/>
        <v>0</v>
      </c>
      <c r="AF100" s="113">
        <f t="shared" si="123"/>
        <v>0</v>
      </c>
      <c r="AG100" s="113">
        <f t="shared" si="123"/>
        <v>0</v>
      </c>
      <c r="AH100" s="113">
        <f t="shared" si="123"/>
        <v>0</v>
      </c>
      <c r="AI100" s="113">
        <f t="shared" si="123"/>
        <v>0</v>
      </c>
      <c r="AJ100" s="119">
        <f>SUM(X100:AI100)</f>
        <v>16355907.992630653</v>
      </c>
      <c r="AK100" s="116">
        <f>IF(ISERROR((($Y100-$X100)/ABS($X100)+1)*100),0,(($Y100-$X100)/ABS($X100)+1)*100)</f>
        <v>113.466002014512</v>
      </c>
      <c r="AL100" s="111">
        <f t="shared" ref="AL100" si="124">AL60+AL62+AL68+AL80+AL88+AL93+AL98</f>
        <v>7053328.879840726</v>
      </c>
      <c r="AM100" s="117">
        <f>IF(ISERROR((($Y100-$AL100)/ABS($AL100)+1)*100),0,(($Y100-$AL100)/ABS($AL100)+1)*100)</f>
        <v>123.25869372363347</v>
      </c>
      <c r="AN100" s="3"/>
      <c r="AO100" s="118">
        <f t="shared" ref="AO100:AZ100" si="125">AO60+AO62+AO68+AO80+AO88+AO93+AO98</f>
        <v>4225357.9393060673</v>
      </c>
      <c r="AP100" s="111">
        <f t="shared" si="125"/>
        <v>4712467.1193826608</v>
      </c>
      <c r="AQ100" s="112">
        <f t="shared" si="125"/>
        <v>0</v>
      </c>
      <c r="AR100" s="113">
        <f t="shared" si="125"/>
        <v>0</v>
      </c>
      <c r="AS100" s="113">
        <f t="shared" si="125"/>
        <v>0</v>
      </c>
      <c r="AT100" s="113">
        <f t="shared" si="125"/>
        <v>0</v>
      </c>
      <c r="AU100" s="111">
        <f t="shared" si="125"/>
        <v>0</v>
      </c>
      <c r="AV100" s="111">
        <f t="shared" si="125"/>
        <v>0</v>
      </c>
      <c r="AW100" s="113">
        <f t="shared" si="125"/>
        <v>0</v>
      </c>
      <c r="AX100" s="113">
        <f t="shared" si="125"/>
        <v>0</v>
      </c>
      <c r="AY100" s="113">
        <f t="shared" si="125"/>
        <v>0</v>
      </c>
      <c r="AZ100" s="111">
        <f t="shared" si="125"/>
        <v>0</v>
      </c>
      <c r="BA100" s="120">
        <f>SUM(AO100:AZ100)</f>
        <v>8937825.0586887281</v>
      </c>
      <c r="BB100" s="115">
        <f>IF(ISERROR((($AP100-$AO100)/ABS($AO100)+1)*100),0,(($AP100-$AO100)/ABS($AO100)+1)*100)</f>
        <v>111.52823469806658</v>
      </c>
      <c r="BC100" s="111">
        <f t="shared" ref="BC100" si="126">BC60+BC62+BC68+BC80+BC88+BC93+BC98</f>
        <v>4346219.8789412407</v>
      </c>
      <c r="BD100" s="117">
        <f>IF(ISERROR((($AP100-$BC100)/ABS($BC100)+1)*100),0,(($AP100-$BC100)/ABS($BC100)+1)*100)</f>
        <v>108.42679962456569</v>
      </c>
      <c r="BF100" s="118">
        <v>9362095.5362549704</v>
      </c>
      <c r="BG100" s="111">
        <v>10655199.346493265</v>
      </c>
      <c r="BH100" s="113">
        <v>9332582.9420657866</v>
      </c>
      <c r="BI100" s="113">
        <v>10736066.337051477</v>
      </c>
      <c r="BJ100" s="113">
        <v>9358845.947850164</v>
      </c>
      <c r="BK100" s="113">
        <v>11118661.051313054</v>
      </c>
      <c r="BL100" s="113">
        <v>9842198.0830278024</v>
      </c>
      <c r="BM100" s="113">
        <v>9796751.5574694127</v>
      </c>
      <c r="BN100" s="113">
        <v>11972244.14944645</v>
      </c>
      <c r="BO100" s="113">
        <v>9761929.1282231063</v>
      </c>
      <c r="BP100" s="113">
        <v>9870985.8583081886</v>
      </c>
      <c r="BQ100" s="113">
        <v>10648858.067958098</v>
      </c>
      <c r="BR100" s="113">
        <v>825709.80997918535</v>
      </c>
      <c r="BS100" s="121">
        <f>SUM(BF100:BG100)</f>
        <v>20017294.882748235</v>
      </c>
      <c r="BU100" s="110">
        <v>8587088.8764824662</v>
      </c>
      <c r="BV100" s="111">
        <v>8682651.2507988978</v>
      </c>
      <c r="BW100" s="112">
        <v>7728685.0658684969</v>
      </c>
      <c r="BX100" s="113">
        <v>8686370.5244881921</v>
      </c>
      <c r="BY100" s="113">
        <v>7401338.1753418334</v>
      </c>
      <c r="BZ100" s="113">
        <v>8560211.1317840852</v>
      </c>
      <c r="CA100" s="111">
        <v>7616243.3450902887</v>
      </c>
      <c r="CB100" s="111">
        <v>7220844.1200633263</v>
      </c>
      <c r="CC100" s="113">
        <v>8468465.7199106216</v>
      </c>
      <c r="CD100" s="113">
        <v>6328292.6247701487</v>
      </c>
      <c r="CE100" s="113">
        <v>6479569.859497387</v>
      </c>
      <c r="CF100" s="113">
        <v>6959865.3935971428</v>
      </c>
      <c r="CG100" s="111">
        <v>742543.31523121032</v>
      </c>
      <c r="CH100" s="122">
        <v>93462169.402924076</v>
      </c>
      <c r="CJ100" s="110">
        <v>775006.65753882588</v>
      </c>
      <c r="CK100" s="111">
        <v>1972548.0956943664</v>
      </c>
      <c r="CL100" s="112">
        <v>1603897.8761972901</v>
      </c>
      <c r="CM100" s="113">
        <v>2049695.8151115666</v>
      </c>
      <c r="CN100" s="113">
        <v>1957507.7720478913</v>
      </c>
      <c r="CO100" s="113">
        <v>2558449.9197332235</v>
      </c>
      <c r="CP100" s="111">
        <v>2225954.737937504</v>
      </c>
      <c r="CQ100" s="111">
        <v>2575907.4374060845</v>
      </c>
      <c r="CR100" s="113">
        <v>3503778.429535829</v>
      </c>
      <c r="CS100" s="113">
        <v>3433636.5006689844</v>
      </c>
      <c r="CT100" s="113">
        <v>3391416.0010126177</v>
      </c>
      <c r="CU100" s="111">
        <v>3688992.6708733262</v>
      </c>
      <c r="CV100" s="111">
        <v>83166.488661758922</v>
      </c>
      <c r="CW100" s="122">
        <v>29819958.402419265</v>
      </c>
      <c r="CY100" s="118">
        <v>5220998.529486117</v>
      </c>
      <c r="CZ100" s="111">
        <v>5803362.4291810319</v>
      </c>
      <c r="DA100" s="113">
        <v>6061673.3310624678</v>
      </c>
      <c r="DB100" s="113">
        <v>6595232.5922191981</v>
      </c>
      <c r="DC100" s="113">
        <v>6904563.8594354168</v>
      </c>
      <c r="DD100" s="113">
        <v>7279955.1724719601</v>
      </c>
      <c r="DE100" s="113">
        <v>8164535.7431269353</v>
      </c>
      <c r="DF100" s="113">
        <v>8556341.6787532717</v>
      </c>
      <c r="DG100" s="113">
        <v>9298782.6039878763</v>
      </c>
      <c r="DH100" s="113">
        <v>7905737.5005561775</v>
      </c>
      <c r="DI100" s="113">
        <v>9364744.0085342992</v>
      </c>
      <c r="DJ100" s="113">
        <v>8304446.5476818774</v>
      </c>
      <c r="DK100" s="121">
        <f>SUM(CY100:DJ100)</f>
        <v>89460373.996496633</v>
      </c>
    </row>
    <row r="101" spans="1:115" ht="14.45" customHeight="1">
      <c r="A101" s="123"/>
      <c r="B101" s="13"/>
      <c r="C101" s="14"/>
      <c r="D101" s="91"/>
      <c r="E101" s="96"/>
      <c r="F101" s="187"/>
      <c r="G101" s="174"/>
      <c r="H101" s="174"/>
      <c r="I101" s="174"/>
      <c r="J101" s="174"/>
      <c r="K101" s="173"/>
      <c r="L101" s="174"/>
      <c r="M101" s="174"/>
      <c r="N101" s="174"/>
      <c r="O101" s="174"/>
      <c r="P101" s="188"/>
      <c r="Q101" s="188"/>
      <c r="R101" s="89"/>
      <c r="S101" s="89"/>
      <c r="T101" s="89"/>
      <c r="U101" s="89"/>
      <c r="V101" s="90"/>
      <c r="W101" s="3"/>
      <c r="X101" s="91"/>
      <c r="Y101" s="96"/>
      <c r="Z101" s="104"/>
      <c r="AA101" s="102"/>
      <c r="AB101" s="102"/>
      <c r="AC101" s="102"/>
      <c r="AD101" s="96"/>
      <c r="AE101" s="96"/>
      <c r="AF101" s="102"/>
      <c r="AG101" s="102"/>
      <c r="AH101" s="102"/>
      <c r="AI101" s="102"/>
      <c r="AJ101" s="103"/>
      <c r="AK101" s="88"/>
      <c r="AL101" s="89"/>
      <c r="AM101" s="90"/>
      <c r="AN101" s="3"/>
      <c r="AO101" s="91"/>
      <c r="AP101" s="96"/>
      <c r="AQ101" s="104"/>
      <c r="AR101" s="102"/>
      <c r="AS101" s="102"/>
      <c r="AT101" s="102"/>
      <c r="AU101" s="96"/>
      <c r="AV101" s="96"/>
      <c r="AW101" s="102"/>
      <c r="AX101" s="102"/>
      <c r="AY101" s="102"/>
      <c r="AZ101" s="96"/>
      <c r="BA101" s="102"/>
      <c r="BB101" s="89"/>
      <c r="BC101" s="89"/>
      <c r="BD101" s="90"/>
      <c r="BF101" s="91"/>
      <c r="BG101" s="96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94"/>
      <c r="BU101" s="83"/>
      <c r="BV101" s="96"/>
      <c r="BW101" s="104"/>
      <c r="BX101" s="102"/>
      <c r="BY101" s="102"/>
      <c r="BZ101" s="102"/>
      <c r="CA101" s="96"/>
      <c r="CB101" s="96"/>
      <c r="CC101" s="102"/>
      <c r="CD101" s="102"/>
      <c r="CE101" s="102"/>
      <c r="CF101" s="102"/>
      <c r="CG101" s="96"/>
      <c r="CH101" s="105"/>
      <c r="CJ101" s="83"/>
      <c r="CK101" s="96"/>
      <c r="CL101" s="104"/>
      <c r="CM101" s="102"/>
      <c r="CN101" s="102"/>
      <c r="CO101" s="102"/>
      <c r="CP101" s="96"/>
      <c r="CQ101" s="96"/>
      <c r="CR101" s="102"/>
      <c r="CS101" s="102"/>
      <c r="CT101" s="102"/>
      <c r="CU101" s="96"/>
      <c r="CV101" s="96"/>
      <c r="CW101" s="106"/>
      <c r="CY101" s="91"/>
      <c r="CZ101" s="96"/>
      <c r="DA101" s="102"/>
      <c r="DB101" s="102"/>
      <c r="DC101" s="102"/>
      <c r="DD101" s="102"/>
      <c r="DE101" s="102"/>
      <c r="DF101" s="102"/>
      <c r="DG101" s="102"/>
      <c r="DH101" s="102"/>
      <c r="DI101" s="102"/>
      <c r="DJ101" s="102"/>
      <c r="DK101" s="94"/>
    </row>
    <row r="102" spans="1:115" ht="14.45" customHeight="1">
      <c r="A102" s="189" t="s">
        <v>118</v>
      </c>
      <c r="B102" s="190"/>
      <c r="C102" s="191"/>
      <c r="D102" s="192">
        <f t="shared" ref="D102:O102" si="127">D55-D100</f>
        <v>5165285.7493867502</v>
      </c>
      <c r="E102" s="193">
        <f t="shared" si="127"/>
        <v>3474399.5081334449</v>
      </c>
      <c r="F102" s="194">
        <f t="shared" si="127"/>
        <v>0</v>
      </c>
      <c r="G102" s="195">
        <f t="shared" si="127"/>
        <v>0</v>
      </c>
      <c r="H102" s="195">
        <f t="shared" si="127"/>
        <v>0</v>
      </c>
      <c r="I102" s="195">
        <f t="shared" si="127"/>
        <v>0</v>
      </c>
      <c r="J102" s="195">
        <f t="shared" si="127"/>
        <v>0</v>
      </c>
      <c r="K102" s="196">
        <f t="shared" si="127"/>
        <v>0</v>
      </c>
      <c r="L102" s="195">
        <f t="shared" si="127"/>
        <v>0</v>
      </c>
      <c r="M102" s="195">
        <f t="shared" si="127"/>
        <v>0</v>
      </c>
      <c r="N102" s="195">
        <f t="shared" si="127"/>
        <v>0</v>
      </c>
      <c r="O102" s="195">
        <f t="shared" si="127"/>
        <v>0</v>
      </c>
      <c r="P102" s="100">
        <f>SUM(D102:O102)</f>
        <v>8639685.2575201951</v>
      </c>
      <c r="Q102" s="100">
        <f>SUM(BS102)</f>
        <v>9986979.9472517651</v>
      </c>
      <c r="R102" s="89">
        <f>IF(ISERROR((($E102-$D102)/ABS($D102)+1)*100),0,(($E102-$D102)/ABS($D102)+1)*100)</f>
        <v>67.264420144537866</v>
      </c>
      <c r="S102" s="89">
        <f>IF(ISERROR((($E102-$BG102)/ABS($BG102)+1)*100),0,(($E102-$BG102)/ABS($BG102)+1)*100)</f>
        <v>80.366822722104871</v>
      </c>
      <c r="T102" s="89">
        <f>IF(ISERROR((($P102-$BG102)/ABS($BG102)+1)*100),0,(($P102-$BG102)/ABS($BG102)+1)*100)</f>
        <v>199.84577243937375</v>
      </c>
      <c r="U102" s="193">
        <f t="shared" ref="U102" si="128">U55-U100</f>
        <v>4951275.3544154242</v>
      </c>
      <c r="V102" s="90">
        <f>IF(ISERROR((($E102-$U102)/ABS($U102)+1)*100),0,(($E102-$U102)/ABS($U102)+1)*100)</f>
        <v>70.171809471979003</v>
      </c>
      <c r="W102" s="3"/>
      <c r="X102" s="192">
        <f t="shared" ref="X102:AI102" si="129">X55-X100</f>
        <v>8009825.3686928162</v>
      </c>
      <c r="Y102" s="193">
        <f t="shared" si="129"/>
        <v>6744051.70867653</v>
      </c>
      <c r="Z102" s="197">
        <f t="shared" si="129"/>
        <v>0</v>
      </c>
      <c r="AA102" s="198">
        <f t="shared" si="129"/>
        <v>0</v>
      </c>
      <c r="AB102" s="198">
        <f t="shared" si="129"/>
        <v>0</v>
      </c>
      <c r="AC102" s="198">
        <f t="shared" si="129"/>
        <v>0</v>
      </c>
      <c r="AD102" s="193">
        <f t="shared" si="129"/>
        <v>0</v>
      </c>
      <c r="AE102" s="193">
        <f t="shared" si="129"/>
        <v>0</v>
      </c>
      <c r="AF102" s="198">
        <f t="shared" si="129"/>
        <v>0</v>
      </c>
      <c r="AG102" s="198">
        <f t="shared" si="129"/>
        <v>0</v>
      </c>
      <c r="AH102" s="198">
        <f t="shared" si="129"/>
        <v>0</v>
      </c>
      <c r="AI102" s="198">
        <f t="shared" si="129"/>
        <v>0</v>
      </c>
      <c r="AJ102" s="199">
        <f>SUM(X102:AI102)</f>
        <v>14753877.077369347</v>
      </c>
      <c r="AK102" s="200">
        <f>IF(ISERROR((($Y102-$X102)/ABS($X102)+1)*100),0,(($Y102-$X102)/ABS($X102)+1)*100)</f>
        <v>84.197237745485864</v>
      </c>
      <c r="AL102" s="193">
        <f t="shared" ref="AL102" si="130">AL55-AL100</f>
        <v>7781260.779365059</v>
      </c>
      <c r="AM102" s="90">
        <f>IF(ISERROR((($Y102-$AL102)/ABS($AL102)+1)*100),0,(($Y102-$AL102)/ABS($AL102)+1)*100)</f>
        <v>86.670423982716542</v>
      </c>
      <c r="AN102" s="3"/>
      <c r="AO102" s="192">
        <f t="shared" ref="AO102:AZ102" si="131">AO55-AO100</f>
        <v>-2844539.619306067</v>
      </c>
      <c r="AP102" s="193">
        <f t="shared" si="131"/>
        <v>-3269651.1993826609</v>
      </c>
      <c r="AQ102" s="197">
        <f t="shared" si="131"/>
        <v>0</v>
      </c>
      <c r="AR102" s="198">
        <f t="shared" si="131"/>
        <v>0</v>
      </c>
      <c r="AS102" s="198">
        <f t="shared" si="131"/>
        <v>0</v>
      </c>
      <c r="AT102" s="198">
        <f t="shared" si="131"/>
        <v>0</v>
      </c>
      <c r="AU102" s="193">
        <f t="shared" si="131"/>
        <v>0</v>
      </c>
      <c r="AV102" s="193">
        <f t="shared" si="131"/>
        <v>0</v>
      </c>
      <c r="AW102" s="198">
        <f t="shared" si="131"/>
        <v>0</v>
      </c>
      <c r="AX102" s="198">
        <f t="shared" si="131"/>
        <v>0</v>
      </c>
      <c r="AY102" s="198">
        <f t="shared" si="131"/>
        <v>0</v>
      </c>
      <c r="AZ102" s="193">
        <f t="shared" si="131"/>
        <v>0</v>
      </c>
      <c r="BA102" s="201">
        <f>SUM(AO102:AZ102)</f>
        <v>-6114190.8186887279</v>
      </c>
      <c r="BB102" s="202">
        <f>IF(ISERROR((($AP102-$AO102)/ABS($AO102)+1)*100),0,(($AP102-$AO102)/ABS($AO102)+1)*100)</f>
        <v>85.055171065597563</v>
      </c>
      <c r="BC102" s="197">
        <f t="shared" ref="BC102" si="132">BC55-BC100</f>
        <v>-2829985.4249496348</v>
      </c>
      <c r="BD102" s="90">
        <f t="shared" ref="BD102" si="133">IF(ISERROR((($AP102-$BC102)/ABS($BC102)+1)*100),0,(($AP102-$BC102)/ABS($BC102)+1)*100)</f>
        <v>84.464026897210928</v>
      </c>
      <c r="BF102" s="192">
        <v>5663803.5537450295</v>
      </c>
      <c r="BG102" s="193">
        <v>4323176.3935067356</v>
      </c>
      <c r="BH102" s="198">
        <v>5719002.5779342111</v>
      </c>
      <c r="BI102" s="198">
        <v>4210852.1729485244</v>
      </c>
      <c r="BJ102" s="198">
        <v>6105801.7221498359</v>
      </c>
      <c r="BK102" s="198">
        <v>3446011.5086869486</v>
      </c>
      <c r="BL102" s="198">
        <v>4775370.3969721962</v>
      </c>
      <c r="BM102" s="198">
        <v>5654387.5525305867</v>
      </c>
      <c r="BN102" s="198">
        <v>2519977.3505535498</v>
      </c>
      <c r="BO102" s="198">
        <v>5847309.6617768928</v>
      </c>
      <c r="BP102" s="198">
        <v>5346438.8116918113</v>
      </c>
      <c r="BQ102" s="198">
        <v>5076242.432041904</v>
      </c>
      <c r="BR102" s="198">
        <v>2607537.130020814</v>
      </c>
      <c r="BS102" s="203">
        <f>SUM(BF102:BG102)</f>
        <v>9986979.9472517651</v>
      </c>
      <c r="BU102" s="204">
        <v>5428380.7835175283</v>
      </c>
      <c r="BV102" s="193">
        <v>5309955.1292011011</v>
      </c>
      <c r="BW102" s="197">
        <v>6322932.0641315002</v>
      </c>
      <c r="BX102" s="198">
        <v>5315942.4255118109</v>
      </c>
      <c r="BY102" s="198">
        <v>7074402.3246581759</v>
      </c>
      <c r="BZ102" s="198">
        <v>5049280.7482159119</v>
      </c>
      <c r="CA102" s="193">
        <v>5951245.6549097113</v>
      </c>
      <c r="CB102" s="193">
        <v>7064579.0999366743</v>
      </c>
      <c r="CC102" s="198">
        <v>4956908.4600893781</v>
      </c>
      <c r="CD102" s="198">
        <v>8030009.3652298534</v>
      </c>
      <c r="CE102" s="198">
        <v>7432813.7605026159</v>
      </c>
      <c r="CF102" s="198">
        <v>7347886.4064028598</v>
      </c>
      <c r="CG102" s="193">
        <v>2525201.0147687886</v>
      </c>
      <c r="CH102" s="159">
        <v>77809537.23707591</v>
      </c>
      <c r="CJ102" s="204">
        <v>235422.77246117836</v>
      </c>
      <c r="CK102" s="193">
        <v>-986778.73569436418</v>
      </c>
      <c r="CL102" s="197">
        <v>-603929.48619728931</v>
      </c>
      <c r="CM102" s="198">
        <v>-1105090.2551115677</v>
      </c>
      <c r="CN102" s="198">
        <v>-968600.60204789939</v>
      </c>
      <c r="CO102" s="198">
        <v>-1603269.2397332194</v>
      </c>
      <c r="CP102" s="193">
        <v>-1175875.2579375044</v>
      </c>
      <c r="CQ102" s="193">
        <v>-1410191.5474060862</v>
      </c>
      <c r="CR102" s="198">
        <v>-2436931.1095358282</v>
      </c>
      <c r="CS102" s="198">
        <v>-2182699.7006689869</v>
      </c>
      <c r="CT102" s="198">
        <v>-2086374.9510126219</v>
      </c>
      <c r="CU102" s="193">
        <v>-2271643.970873327</v>
      </c>
      <c r="CV102" s="193">
        <v>82336.121338241705</v>
      </c>
      <c r="CW102" s="203">
        <v>-16513625.962419275</v>
      </c>
      <c r="CY102" s="192">
        <v>6051117.7405138845</v>
      </c>
      <c r="CZ102" s="193">
        <v>6119172.5308189671</v>
      </c>
      <c r="DA102" s="198">
        <v>6991768.0189375319</v>
      </c>
      <c r="DB102" s="198">
        <v>7069773.7677808031</v>
      </c>
      <c r="DC102" s="198">
        <v>7105997.2405645847</v>
      </c>
      <c r="DD102" s="198">
        <v>6744026.4375280393</v>
      </c>
      <c r="DE102" s="198">
        <v>6126581.1268730639</v>
      </c>
      <c r="DF102" s="198">
        <v>6096512.3612467293</v>
      </c>
      <c r="DG102" s="198">
        <v>5441771.086012125</v>
      </c>
      <c r="DH102" s="198">
        <v>7296372.3994438248</v>
      </c>
      <c r="DI102" s="198">
        <v>5256244.9514657017</v>
      </c>
      <c r="DJ102" s="198">
        <v>6588945.5823181234</v>
      </c>
      <c r="DK102" s="203">
        <f>SUM(CY102:DJ102)</f>
        <v>76888283.243503377</v>
      </c>
    </row>
    <row r="103" spans="1:115" ht="14.45" customHeight="1">
      <c r="A103" s="123"/>
      <c r="B103" s="13"/>
      <c r="C103" s="14"/>
      <c r="D103" s="91"/>
      <c r="E103" s="96"/>
      <c r="F103" s="104"/>
      <c r="G103" s="102"/>
      <c r="H103" s="102"/>
      <c r="I103" s="102"/>
      <c r="J103" s="102"/>
      <c r="K103" s="96"/>
      <c r="L103" s="102"/>
      <c r="M103" s="102"/>
      <c r="N103" s="102"/>
      <c r="O103" s="102"/>
      <c r="P103" s="100"/>
      <c r="Q103" s="100"/>
      <c r="R103" s="89"/>
      <c r="S103" s="89"/>
      <c r="T103" s="89"/>
      <c r="U103" s="89"/>
      <c r="V103" s="90"/>
      <c r="W103" s="3"/>
      <c r="X103" s="91"/>
      <c r="Y103" s="96"/>
      <c r="Z103" s="104"/>
      <c r="AA103" s="102"/>
      <c r="AB103" s="102"/>
      <c r="AC103" s="102"/>
      <c r="AD103" s="96"/>
      <c r="AE103" s="96"/>
      <c r="AF103" s="102"/>
      <c r="AG103" s="102"/>
      <c r="AH103" s="102"/>
      <c r="AI103" s="102"/>
      <c r="AJ103" s="103"/>
      <c r="AK103" s="88"/>
      <c r="AL103" s="89"/>
      <c r="AM103" s="90"/>
      <c r="AN103" s="3"/>
      <c r="AO103" s="91"/>
      <c r="AP103" s="96"/>
      <c r="AQ103" s="104"/>
      <c r="AR103" s="102"/>
      <c r="AS103" s="102"/>
      <c r="AT103" s="102"/>
      <c r="AU103" s="96"/>
      <c r="AV103" s="96"/>
      <c r="AW103" s="102"/>
      <c r="AX103" s="102"/>
      <c r="AY103" s="102"/>
      <c r="AZ103" s="96"/>
      <c r="BA103" s="102"/>
      <c r="BB103" s="89"/>
      <c r="BC103" s="89"/>
      <c r="BD103" s="90"/>
      <c r="BF103" s="91"/>
      <c r="BG103" s="96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94"/>
      <c r="BU103" s="83"/>
      <c r="BV103" s="96"/>
      <c r="BW103" s="104"/>
      <c r="BX103" s="102"/>
      <c r="BY103" s="102"/>
      <c r="BZ103" s="102"/>
      <c r="CA103" s="96"/>
      <c r="CB103" s="96"/>
      <c r="CC103" s="102"/>
      <c r="CD103" s="102"/>
      <c r="CE103" s="102"/>
      <c r="CF103" s="102"/>
      <c r="CG103" s="96"/>
      <c r="CH103" s="105"/>
      <c r="CJ103" s="83"/>
      <c r="CK103" s="96"/>
      <c r="CL103" s="104"/>
      <c r="CM103" s="102"/>
      <c r="CN103" s="102"/>
      <c r="CO103" s="102"/>
      <c r="CP103" s="96"/>
      <c r="CQ103" s="96"/>
      <c r="CR103" s="102"/>
      <c r="CS103" s="102"/>
      <c r="CT103" s="102"/>
      <c r="CU103" s="96"/>
      <c r="CV103" s="96"/>
      <c r="CW103" s="106"/>
      <c r="CY103" s="91"/>
      <c r="CZ103" s="96"/>
      <c r="DA103" s="102"/>
      <c r="DB103" s="102"/>
      <c r="DC103" s="102"/>
      <c r="DD103" s="102"/>
      <c r="DE103" s="102"/>
      <c r="DF103" s="102"/>
      <c r="DG103" s="102"/>
      <c r="DH103" s="102"/>
      <c r="DI103" s="102"/>
      <c r="DJ103" s="102"/>
      <c r="DK103" s="94"/>
    </row>
    <row r="104" spans="1:115" ht="14.45" customHeight="1">
      <c r="A104" s="123" t="s">
        <v>119</v>
      </c>
      <c r="B104" s="13"/>
      <c r="C104" s="14"/>
      <c r="D104" s="91"/>
      <c r="E104" s="96"/>
      <c r="F104" s="104"/>
      <c r="G104" s="102"/>
      <c r="H104" s="102"/>
      <c r="I104" s="102"/>
      <c r="J104" s="102"/>
      <c r="K104" s="96"/>
      <c r="L104" s="102"/>
      <c r="M104" s="102"/>
      <c r="N104" s="102"/>
      <c r="O104" s="102"/>
      <c r="P104" s="100"/>
      <c r="Q104" s="100"/>
      <c r="R104" s="89"/>
      <c r="S104" s="89"/>
      <c r="T104" s="89"/>
      <c r="U104" s="89"/>
      <c r="V104" s="90"/>
      <c r="W104" s="3"/>
      <c r="X104" s="91"/>
      <c r="Y104" s="96"/>
      <c r="Z104" s="104"/>
      <c r="AA104" s="102"/>
      <c r="AB104" s="102"/>
      <c r="AC104" s="102"/>
      <c r="AD104" s="96"/>
      <c r="AE104" s="96"/>
      <c r="AF104" s="102"/>
      <c r="AG104" s="102"/>
      <c r="AH104" s="102"/>
      <c r="AI104" s="102"/>
      <c r="AJ104" s="103"/>
      <c r="AK104" s="88"/>
      <c r="AL104" s="89"/>
      <c r="AM104" s="90"/>
      <c r="AN104" s="3"/>
      <c r="AO104" s="91"/>
      <c r="AP104" s="96"/>
      <c r="AQ104" s="104"/>
      <c r="AR104" s="102"/>
      <c r="AS104" s="102"/>
      <c r="AT104" s="102"/>
      <c r="AU104" s="96"/>
      <c r="AV104" s="96"/>
      <c r="AW104" s="102"/>
      <c r="AX104" s="102"/>
      <c r="AY104" s="102"/>
      <c r="AZ104" s="96"/>
      <c r="BA104" s="102"/>
      <c r="BB104" s="89"/>
      <c r="BC104" s="89"/>
      <c r="BD104" s="90"/>
      <c r="BF104" s="91"/>
      <c r="BG104" s="96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94"/>
      <c r="BU104" s="83"/>
      <c r="BV104" s="96"/>
      <c r="BW104" s="104"/>
      <c r="BX104" s="102"/>
      <c r="BY104" s="102"/>
      <c r="BZ104" s="102"/>
      <c r="CA104" s="96"/>
      <c r="CB104" s="96"/>
      <c r="CC104" s="102"/>
      <c r="CD104" s="102"/>
      <c r="CE104" s="102"/>
      <c r="CF104" s="102"/>
      <c r="CG104" s="96"/>
      <c r="CH104" s="105"/>
      <c r="CJ104" s="83"/>
      <c r="CK104" s="96"/>
      <c r="CL104" s="104"/>
      <c r="CM104" s="102"/>
      <c r="CN104" s="102"/>
      <c r="CO104" s="102"/>
      <c r="CP104" s="96"/>
      <c r="CQ104" s="96"/>
      <c r="CR104" s="102"/>
      <c r="CS104" s="102"/>
      <c r="CT104" s="102"/>
      <c r="CU104" s="96"/>
      <c r="CV104" s="96"/>
      <c r="CW104" s="106"/>
      <c r="CY104" s="91"/>
      <c r="CZ104" s="96"/>
      <c r="DA104" s="102"/>
      <c r="DB104" s="102"/>
      <c r="DC104" s="102"/>
      <c r="DD104" s="102"/>
      <c r="DE104" s="102"/>
      <c r="DF104" s="102"/>
      <c r="DG104" s="102"/>
      <c r="DH104" s="102"/>
      <c r="DI104" s="102"/>
      <c r="DJ104" s="102"/>
      <c r="DK104" s="94"/>
    </row>
    <row r="105" spans="1:115" ht="14.45" customHeight="1">
      <c r="A105" s="141" t="s">
        <v>86</v>
      </c>
      <c r="B105" s="108"/>
      <c r="C105" s="109"/>
      <c r="D105" s="142">
        <f>[24]Mar!Q238</f>
        <v>75390.179469449999</v>
      </c>
      <c r="E105" s="119">
        <f>[24]Apr!N240+[24]Apr!V90</f>
        <v>1740.73737345</v>
      </c>
      <c r="F105" s="119"/>
      <c r="G105" s="119"/>
      <c r="H105" s="120"/>
      <c r="I105" s="119"/>
      <c r="J105" s="119"/>
      <c r="K105" s="119"/>
      <c r="L105" s="119"/>
      <c r="M105" s="119"/>
      <c r="N105" s="119"/>
      <c r="O105" s="119"/>
      <c r="P105" s="114">
        <f>SUM(D105:O105)</f>
        <v>77130.916842899998</v>
      </c>
      <c r="Q105" s="114">
        <f>SUM(BS105)</f>
        <v>213.54166499999999</v>
      </c>
      <c r="R105" s="115">
        <f>IF(ISERROR((($E105-$D105)/ABS($D105)+1)*100),0,(($E105-$D105)/ABS($D105)+1)*100)</f>
        <v>2.3089709902539668</v>
      </c>
      <c r="S105" s="115">
        <f>IF(ISERROR((($E105-$BG105)/ABS($BG105)+1)*100),0,(($E105-$BG105)/ABS($BG105)+1)*100)</f>
        <v>815.17458124624068</v>
      </c>
      <c r="T105" s="115">
        <f>IF(ISERROR((($P105-$BG105)/ABS($BG105)+1)*100),0,(($P105-$BG105)/ABS($BG105)+1)*100)</f>
        <v>36119.844266878783</v>
      </c>
      <c r="U105" s="119">
        <f>[24]Apr!AD240+[24]Apr!AL90</f>
        <v>0</v>
      </c>
      <c r="V105" s="117">
        <f>IF(ISERROR((($E105-$U105)/ABS($U105)+1)*100),0,(($E105-$U105)/ABS($U105)+1)*100)</f>
        <v>0</v>
      </c>
      <c r="W105" s="3"/>
      <c r="X105" s="142">
        <f>D105*X$201</f>
        <v>67321.870205852058</v>
      </c>
      <c r="Y105" s="119">
        <f>E105*Y$201</f>
        <v>1564.7576092344402</v>
      </c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20"/>
      <c r="AJ105" s="205">
        <f>SUM(X105:AI105)</f>
        <v>68886.627815086496</v>
      </c>
      <c r="AK105" s="116">
        <f>IF(ISERROR((($Y105-$X105)/ABS($X105)+1)*100),0,(($Y105-$X105)/ABS($X105)+1)*100)</f>
        <v>2.324293137504696</v>
      </c>
      <c r="AL105" s="115"/>
      <c r="AM105" s="117"/>
      <c r="AN105" s="3"/>
      <c r="AO105" s="142">
        <f>D105*AO$201</f>
        <v>8068.3092635979447</v>
      </c>
      <c r="AP105" s="119">
        <f>E105*AP$201</f>
        <v>175.97976421555975</v>
      </c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20">
        <f>SUM(AO105:AZ105)</f>
        <v>8244.2890278135037</v>
      </c>
      <c r="BB105" s="115">
        <f>IF(ISERROR((($AP105-$AO105)/ABS($AO105)+1)*100),0,(($AP105-$AO105)/ABS($AO105)+1)*100)</f>
        <v>2.1811231878472226</v>
      </c>
      <c r="BC105" s="115"/>
      <c r="BD105" s="117"/>
      <c r="BF105" s="179">
        <v>0</v>
      </c>
      <c r="BG105" s="148">
        <v>213.54166499999999</v>
      </c>
      <c r="BH105" s="148">
        <v>46.875</v>
      </c>
      <c r="BI105" s="148">
        <v>46.875</v>
      </c>
      <c r="BJ105" s="148">
        <v>46.875</v>
      </c>
      <c r="BK105" s="148">
        <v>109.375</v>
      </c>
      <c r="BL105" s="148">
        <v>312.50000125000003</v>
      </c>
      <c r="BM105" s="148">
        <v>479.16666791666671</v>
      </c>
      <c r="BN105" s="148">
        <v>340.27833514000002</v>
      </c>
      <c r="BO105" s="148">
        <v>673.61167513999999</v>
      </c>
      <c r="BP105" s="148">
        <v>340.27833514000002</v>
      </c>
      <c r="BQ105" s="148">
        <v>340.27833514000002</v>
      </c>
      <c r="BR105" s="102">
        <v>24.07500048</v>
      </c>
      <c r="BS105" s="94">
        <f>SUM(BF105:BG105)</f>
        <v>213.54166499999999</v>
      </c>
      <c r="BU105" s="83">
        <v>0</v>
      </c>
      <c r="BV105" s="96">
        <v>213.54166499999999</v>
      </c>
      <c r="BW105" s="96">
        <v>46.875</v>
      </c>
      <c r="BX105" s="96">
        <v>46.875</v>
      </c>
      <c r="BY105" s="96">
        <v>46.875</v>
      </c>
      <c r="BZ105" s="96">
        <v>109.375</v>
      </c>
      <c r="CA105" s="96">
        <v>312.50000125000003</v>
      </c>
      <c r="CB105" s="96">
        <v>479.16666791666671</v>
      </c>
      <c r="CC105" s="96">
        <v>340.27833514000002</v>
      </c>
      <c r="CD105" s="96">
        <v>673.61167513999999</v>
      </c>
      <c r="CE105" s="96">
        <v>340.27833514000002</v>
      </c>
      <c r="CF105" s="102">
        <v>340.27833514000002</v>
      </c>
      <c r="CG105" s="96">
        <v>340.27833514000002</v>
      </c>
      <c r="CH105" s="105">
        <v>3289.933349866666</v>
      </c>
      <c r="CJ105" s="83">
        <v>0</v>
      </c>
      <c r="CK105" s="96">
        <v>0</v>
      </c>
      <c r="CL105" s="96">
        <v>0</v>
      </c>
      <c r="CM105" s="96">
        <v>0</v>
      </c>
      <c r="CN105" s="96">
        <v>0</v>
      </c>
      <c r="CO105" s="96">
        <v>0</v>
      </c>
      <c r="CP105" s="96">
        <v>0</v>
      </c>
      <c r="CQ105" s="96">
        <v>0</v>
      </c>
      <c r="CR105" s="96">
        <v>0</v>
      </c>
      <c r="CS105" s="96">
        <v>0</v>
      </c>
      <c r="CT105" s="96">
        <v>36.116787707166125</v>
      </c>
      <c r="CU105" s="96">
        <v>39.505995538875943</v>
      </c>
      <c r="CV105" s="96">
        <v>2.8539881668641893</v>
      </c>
      <c r="CW105" s="106">
        <v>78.47677141290626</v>
      </c>
      <c r="CY105" s="179">
        <v>0</v>
      </c>
      <c r="CZ105" s="148">
        <v>0</v>
      </c>
      <c r="DA105" s="148">
        <v>0</v>
      </c>
      <c r="DB105" s="148">
        <v>0</v>
      </c>
      <c r="DC105" s="148">
        <v>0</v>
      </c>
      <c r="DD105" s="148">
        <v>0</v>
      </c>
      <c r="DE105" s="148">
        <v>518.75</v>
      </c>
      <c r="DF105" s="148">
        <v>0</v>
      </c>
      <c r="DG105" s="148">
        <v>0</v>
      </c>
      <c r="DH105" s="148">
        <v>0</v>
      </c>
      <c r="DI105" s="148">
        <v>0</v>
      </c>
      <c r="DJ105" s="148">
        <v>0</v>
      </c>
      <c r="DK105" s="94">
        <f t="shared" ref="DK105:DK113" si="134">SUM(CY105:DJ105)</f>
        <v>518.75</v>
      </c>
    </row>
    <row r="106" spans="1:115" ht="14.45" customHeight="1">
      <c r="A106" s="12"/>
      <c r="B106" s="13"/>
      <c r="C106" s="14"/>
      <c r="D106" s="91"/>
      <c r="E106" s="96"/>
      <c r="F106" s="96"/>
      <c r="G106" s="96"/>
      <c r="H106" s="102"/>
      <c r="I106" s="102"/>
      <c r="J106" s="102"/>
      <c r="K106" s="96"/>
      <c r="L106" s="96"/>
      <c r="M106" s="96"/>
      <c r="N106" s="96"/>
      <c r="O106" s="96"/>
      <c r="P106" s="100"/>
      <c r="Q106" s="101"/>
      <c r="R106" s="89"/>
      <c r="S106" s="89"/>
      <c r="T106" s="89"/>
      <c r="U106" s="89"/>
      <c r="V106" s="90"/>
      <c r="W106" s="3"/>
      <c r="X106" s="91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102"/>
      <c r="AJ106" s="103"/>
      <c r="AK106" s="88"/>
      <c r="AL106" s="89"/>
      <c r="AM106" s="90"/>
      <c r="AN106" s="3"/>
      <c r="AO106" s="91"/>
      <c r="AP106" s="96"/>
      <c r="AQ106" s="96"/>
      <c r="AR106" s="96"/>
      <c r="AS106" s="96"/>
      <c r="AT106" s="96"/>
      <c r="AU106" s="96"/>
      <c r="AV106" s="96"/>
      <c r="AW106" s="96"/>
      <c r="AX106" s="96"/>
      <c r="AY106" s="102"/>
      <c r="AZ106" s="96"/>
      <c r="BA106" s="102"/>
      <c r="BB106" s="89"/>
      <c r="BC106" s="89"/>
      <c r="BD106" s="90"/>
      <c r="BF106" s="91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74"/>
      <c r="BS106" s="206"/>
      <c r="BT106" s="6"/>
      <c r="BU106" s="83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102"/>
      <c r="CG106" s="96"/>
      <c r="CH106" s="105"/>
      <c r="CI106" s="6"/>
      <c r="CJ106" s="83"/>
      <c r="CK106" s="96"/>
      <c r="CL106" s="96"/>
      <c r="CM106" s="96"/>
      <c r="CN106" s="96"/>
      <c r="CO106" s="96"/>
      <c r="CP106" s="96"/>
      <c r="CQ106" s="96"/>
      <c r="CR106" s="96"/>
      <c r="CS106" s="96"/>
      <c r="CT106" s="102"/>
      <c r="CU106" s="96"/>
      <c r="CV106" s="96"/>
      <c r="CW106" s="106"/>
      <c r="CY106" s="91"/>
      <c r="CZ106" s="102"/>
      <c r="DA106" s="102"/>
      <c r="DB106" s="102"/>
      <c r="DC106" s="102"/>
      <c r="DD106" s="102"/>
      <c r="DE106" s="102"/>
      <c r="DF106" s="102"/>
      <c r="DG106" s="102"/>
      <c r="DH106" s="102"/>
      <c r="DI106" s="102"/>
      <c r="DJ106" s="102"/>
      <c r="DK106" s="94"/>
    </row>
    <row r="107" spans="1:115" ht="14.45" customHeight="1">
      <c r="A107" s="12" t="s">
        <v>120</v>
      </c>
      <c r="B107" s="13"/>
      <c r="C107" s="14"/>
      <c r="D107" s="91"/>
      <c r="E107" s="96"/>
      <c r="F107" s="96"/>
      <c r="G107" s="96"/>
      <c r="H107" s="102"/>
      <c r="I107" s="102"/>
      <c r="J107" s="102"/>
      <c r="K107" s="96"/>
      <c r="L107" s="96"/>
      <c r="M107" s="96"/>
      <c r="N107" s="96"/>
      <c r="O107" s="96"/>
      <c r="P107" s="100">
        <f>SUM(D107:O107)</f>
        <v>0</v>
      </c>
      <c r="Q107" s="101"/>
      <c r="R107" s="89"/>
      <c r="S107" s="89"/>
      <c r="T107" s="89"/>
      <c r="U107" s="89"/>
      <c r="V107" s="90"/>
      <c r="W107" s="3"/>
      <c r="X107" s="91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102"/>
      <c r="AJ107" s="103">
        <f>SUM(X107:AI107)</f>
        <v>0</v>
      </c>
      <c r="AK107" s="88">
        <f>IF(ISERROR((($Y107-$X107)/ABS($X107)+1)*100),0,(($Y107-$X107)/ABS($X107)+1)*100)</f>
        <v>0</v>
      </c>
      <c r="AL107" s="89"/>
      <c r="AM107" s="90"/>
      <c r="AN107" s="3"/>
      <c r="AO107" s="91"/>
      <c r="AP107" s="96"/>
      <c r="AQ107" s="96"/>
      <c r="AR107" s="96"/>
      <c r="AS107" s="96"/>
      <c r="AT107" s="96"/>
      <c r="AU107" s="96"/>
      <c r="AV107" s="96"/>
      <c r="AW107" s="96"/>
      <c r="AX107" s="96"/>
      <c r="AY107" s="102"/>
      <c r="AZ107" s="96"/>
      <c r="BA107" s="102"/>
      <c r="BB107" s="89"/>
      <c r="BC107" s="89"/>
      <c r="BD107" s="90"/>
      <c r="BF107" s="91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>
        <v>5792.166666666667</v>
      </c>
      <c r="BR107" s="102">
        <v>0</v>
      </c>
      <c r="BS107" s="94"/>
      <c r="BT107" s="6"/>
      <c r="BU107" s="83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102">
        <v>5792.166666666667</v>
      </c>
      <c r="CG107" s="96">
        <v>5792.166666666667</v>
      </c>
      <c r="CH107" s="105">
        <v>11584.333333333334</v>
      </c>
      <c r="CI107" s="6"/>
      <c r="CJ107" s="83"/>
      <c r="CK107" s="96"/>
      <c r="CL107" s="96"/>
      <c r="CM107" s="96"/>
      <c r="CN107" s="96"/>
      <c r="CO107" s="96"/>
      <c r="CP107" s="96"/>
      <c r="CQ107" s="96"/>
      <c r="CR107" s="96"/>
      <c r="CS107" s="96"/>
      <c r="CT107" s="102"/>
      <c r="CU107" s="96"/>
      <c r="CV107" s="96"/>
      <c r="CW107" s="106"/>
      <c r="CY107" s="91"/>
      <c r="CZ107" s="102"/>
      <c r="DA107" s="102"/>
      <c r="DB107" s="102"/>
      <c r="DC107" s="102"/>
      <c r="DD107" s="102"/>
      <c r="DE107" s="102"/>
      <c r="DF107" s="102"/>
      <c r="DG107" s="102"/>
      <c r="DH107" s="102"/>
      <c r="DI107" s="102"/>
      <c r="DJ107" s="102"/>
      <c r="DK107" s="94"/>
    </row>
    <row r="108" spans="1:115" ht="14.45" customHeight="1">
      <c r="A108" s="12"/>
      <c r="B108" s="13"/>
      <c r="C108" s="14"/>
      <c r="D108" s="91"/>
      <c r="E108" s="96"/>
      <c r="F108" s="96"/>
      <c r="G108" s="96"/>
      <c r="H108" s="102"/>
      <c r="I108" s="102"/>
      <c r="J108" s="102"/>
      <c r="K108" s="96"/>
      <c r="L108" s="96"/>
      <c r="M108" s="96"/>
      <c r="N108" s="96"/>
      <c r="O108" s="96"/>
      <c r="P108" s="100"/>
      <c r="Q108" s="101"/>
      <c r="R108" s="89"/>
      <c r="S108" s="89"/>
      <c r="T108" s="89"/>
      <c r="U108" s="145"/>
      <c r="V108" s="207"/>
      <c r="W108" s="3"/>
      <c r="X108" s="91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102"/>
      <c r="AJ108" s="103"/>
      <c r="AK108" s="88"/>
      <c r="AL108" s="145"/>
      <c r="AM108" s="207"/>
      <c r="AN108" s="3"/>
      <c r="AO108" s="91"/>
      <c r="AP108" s="96"/>
      <c r="AQ108" s="96"/>
      <c r="AR108" s="96"/>
      <c r="AS108" s="96"/>
      <c r="AT108" s="96"/>
      <c r="AU108" s="96"/>
      <c r="AV108" s="96"/>
      <c r="AW108" s="96"/>
      <c r="AX108" s="96"/>
      <c r="AY108" s="102"/>
      <c r="AZ108" s="96"/>
      <c r="BA108" s="102"/>
      <c r="BB108" s="89"/>
      <c r="BC108" s="89"/>
      <c r="BD108" s="90"/>
      <c r="BF108" s="91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48"/>
      <c r="BS108" s="166"/>
      <c r="BT108" s="6"/>
      <c r="BU108" s="83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102"/>
      <c r="CG108" s="96"/>
      <c r="CH108" s="105"/>
      <c r="CI108" s="6"/>
      <c r="CJ108" s="83"/>
      <c r="CK108" s="96"/>
      <c r="CL108" s="96"/>
      <c r="CM108" s="96"/>
      <c r="CN108" s="96"/>
      <c r="CO108" s="96"/>
      <c r="CP108" s="96"/>
      <c r="CQ108" s="96"/>
      <c r="CR108" s="96"/>
      <c r="CS108" s="96"/>
      <c r="CT108" s="102"/>
      <c r="CU108" s="96"/>
      <c r="CV108" s="96"/>
      <c r="CW108" s="106"/>
      <c r="CY108" s="91"/>
      <c r="CZ108" s="102"/>
      <c r="DA108" s="102"/>
      <c r="DB108" s="102"/>
      <c r="DC108" s="102"/>
      <c r="DD108" s="102"/>
      <c r="DE108" s="102"/>
      <c r="DF108" s="102"/>
      <c r="DG108" s="102"/>
      <c r="DH108" s="102"/>
      <c r="DI108" s="102"/>
      <c r="DJ108" s="102"/>
      <c r="DK108" s="94"/>
    </row>
    <row r="109" spans="1:115" ht="14.45" customHeight="1" outlineLevel="1">
      <c r="A109" s="208"/>
      <c r="B109" s="170" t="s">
        <v>88</v>
      </c>
      <c r="C109" s="171"/>
      <c r="D109" s="172">
        <f>SUM([24]Mar!Q220:Q227)+[24]Mar!AA70</f>
        <v>1323964.3861517999</v>
      </c>
      <c r="E109" s="173">
        <f>SUM([24]Apr!N222:N229)+[24]Apr!V70+[24]Apr!V74</f>
        <v>1191684.26285271</v>
      </c>
      <c r="F109" s="173"/>
      <c r="G109" s="173"/>
      <c r="H109" s="174"/>
      <c r="I109" s="174"/>
      <c r="J109" s="174"/>
      <c r="K109" s="173"/>
      <c r="L109" s="173"/>
      <c r="M109" s="173"/>
      <c r="N109" s="173"/>
      <c r="O109" s="173"/>
      <c r="P109" s="188">
        <f>SUM(D109:O109)</f>
        <v>2515648.6490045097</v>
      </c>
      <c r="Q109" s="188">
        <f>SUM(BS109)</f>
        <v>1754853.2416189997</v>
      </c>
      <c r="R109" s="209">
        <f t="shared" ref="R109:R113" si="135">IF(ISERROR((($E109-$D109)/ABS($D109)+1)*100),0,(($E109-$D109)/ABS($D109)+1)*100)</f>
        <v>90.008785381034912</v>
      </c>
      <c r="S109" s="209">
        <f t="shared" ref="S109:S113" si="136">IF(ISERROR((($E109-$BG109)/ABS($BG109)+1)*100),0,(($E109-$BG109)/ABS($BG109)+1)*100)</f>
        <v>138.77852461134762</v>
      </c>
      <c r="T109" s="209">
        <f>IF(ISERROR((($P109-$BG109)/ABS($BG109)+1)*100),0,(($P109-$BG109)/ABS($BG109)+1)*100)</f>
        <v>292.96183463364747</v>
      </c>
      <c r="U109" s="96">
        <f>(+'[24]PF resc'!D115)*1000</f>
        <v>1397235.8009745751</v>
      </c>
      <c r="V109" s="90">
        <f>IF(ISERROR((($E109-$U109)/ABS($U109)+1)*100),0,(($E109-$U109)/ABS($U109)+1)*100)</f>
        <v>85.28870087794111</v>
      </c>
      <c r="W109" s="3"/>
      <c r="X109" s="172">
        <f t="shared" ref="X109:Y112" si="137">D109*X$201</f>
        <v>1182272.7998386116</v>
      </c>
      <c r="Y109" s="173">
        <f t="shared" si="137"/>
        <v>1071210.9974453151</v>
      </c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4"/>
      <c r="AJ109" s="173">
        <f>SUM(X109:AI109)</f>
        <v>2253483.797283927</v>
      </c>
      <c r="AK109" s="210">
        <f t="shared" ref="AK109:AK113" si="138">IF(ISERROR((($Y109-$X109)/ABS($X109)+1)*100),0,(($Y109-$X109)/ABS($X109)+1)*100)</f>
        <v>90.606076498718636</v>
      </c>
      <c r="AL109" s="96">
        <f>(+'[24]PF resc'!R115)*1000</f>
        <v>1269388.7251854015</v>
      </c>
      <c r="AM109" s="90">
        <f t="shared" ref="AM109:AM113" si="139">IF(ISERROR((($Y109-$AL109)/ABS($AL109)+1)*100),0,(($Y109-$AL109)/ABS($AL109)+1)*100)</f>
        <v>84.38794013148798</v>
      </c>
      <c r="AN109" s="3"/>
      <c r="AO109" s="172">
        <f t="shared" ref="AO109:AP112" si="140">D109*AO$201</f>
        <v>141691.58631318834</v>
      </c>
      <c r="AP109" s="173">
        <f t="shared" si="140"/>
        <v>120473.26540739473</v>
      </c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4">
        <f>SUM(AO109:AZ109)</f>
        <v>262164.85172058304</v>
      </c>
      <c r="BB109" s="209">
        <f t="shared" ref="BB109:BB113" si="141">IF(ISERROR((($AP109-$AO109)/ABS($AO109)+1)*100),0,(($AP109-$AO109)/ABS($AO109)+1)*100)</f>
        <v>85.024995867507869</v>
      </c>
      <c r="BC109" s="173">
        <f>(+'[24]PF resc'!AF115)*1000</f>
        <v>127847.07578917361</v>
      </c>
      <c r="BD109" s="211">
        <f t="shared" ref="BD109:BD113" si="142">IF(ISERROR((($AP109-$BC109)/ABS($BC109)+1)*100),0,(($AP109-$BC109)/ABS($BC109)+1)*100)</f>
        <v>94.232319874145048</v>
      </c>
      <c r="BF109" s="172">
        <v>896158.23373500002</v>
      </c>
      <c r="BG109" s="174">
        <v>858695.00788399985</v>
      </c>
      <c r="BH109" s="174">
        <v>935686.3171000001</v>
      </c>
      <c r="BI109" s="174">
        <v>972766.40111200011</v>
      </c>
      <c r="BJ109" s="174">
        <v>1056666.7303490001</v>
      </c>
      <c r="BK109" s="174">
        <v>1003475.2565933336</v>
      </c>
      <c r="BL109" s="174">
        <v>1038810.0326953066</v>
      </c>
      <c r="BM109" s="174">
        <v>1048437.8484286955</v>
      </c>
      <c r="BN109" s="174">
        <v>788869.62337225105</v>
      </c>
      <c r="BO109" s="174">
        <v>1140686.3146072598</v>
      </c>
      <c r="BP109" s="174">
        <v>1086393.0747442301</v>
      </c>
      <c r="BQ109" s="174">
        <v>1007403.48933925</v>
      </c>
      <c r="BR109" s="102">
        <v>271336.40293392999</v>
      </c>
      <c r="BS109" s="94">
        <f t="shared" ref="BS109:BS113" si="143">SUM(BF109:BG109)</f>
        <v>1754853.2416189997</v>
      </c>
      <c r="BU109" s="175">
        <v>842893.21477575507</v>
      </c>
      <c r="BV109" s="173">
        <v>808670.05034850119</v>
      </c>
      <c r="BW109" s="173">
        <v>880898.27401649626</v>
      </c>
      <c r="BX109" s="173">
        <v>915906.26721401128</v>
      </c>
      <c r="BY109" s="173">
        <v>996968.21447181003</v>
      </c>
      <c r="BZ109" s="173">
        <v>925467.85211197624</v>
      </c>
      <c r="CA109" s="173">
        <v>954260.89646917407</v>
      </c>
      <c r="CB109" s="173">
        <v>964160.56951025035</v>
      </c>
      <c r="CC109" s="173">
        <v>717811.28339357954</v>
      </c>
      <c r="CD109" s="173">
        <v>1027448.7468786862</v>
      </c>
      <c r="CE109" s="173">
        <v>971084.44649750495</v>
      </c>
      <c r="CF109" s="174">
        <v>890444.88914123783</v>
      </c>
      <c r="CG109" s="173">
        <v>239170.63480211853</v>
      </c>
      <c r="CH109" s="212">
        <v>11135185.339631101</v>
      </c>
      <c r="CJ109" s="175">
        <v>53265.018959244924</v>
      </c>
      <c r="CK109" s="173">
        <v>50024.957535498535</v>
      </c>
      <c r="CL109" s="173">
        <v>54788.043083503821</v>
      </c>
      <c r="CM109" s="173">
        <v>56860.133897988773</v>
      </c>
      <c r="CN109" s="173">
        <v>59698.515877190068</v>
      </c>
      <c r="CO109" s="173">
        <v>78007.4044813574</v>
      </c>
      <c r="CP109" s="173">
        <v>84549.136226132556</v>
      </c>
      <c r="CQ109" s="173">
        <v>84277.278918445169</v>
      </c>
      <c r="CR109" s="173">
        <v>71058.339978671574</v>
      </c>
      <c r="CS109" s="173">
        <v>113237.56772857359</v>
      </c>
      <c r="CT109" s="173">
        <v>115308.62824672517</v>
      </c>
      <c r="CU109" s="173">
        <v>116958.60019801221</v>
      </c>
      <c r="CV109" s="173">
        <v>32165.76813181147</v>
      </c>
      <c r="CW109" s="212">
        <v>970199.39326315536</v>
      </c>
      <c r="CY109" s="172">
        <v>709189.57744799997</v>
      </c>
      <c r="CZ109" s="174">
        <v>733225.0559090001</v>
      </c>
      <c r="DA109" s="174">
        <v>717180.44820800016</v>
      </c>
      <c r="DB109" s="174">
        <v>782667.26182500005</v>
      </c>
      <c r="DC109" s="174">
        <v>759056.79063800001</v>
      </c>
      <c r="DD109" s="174">
        <v>793501.69628299994</v>
      </c>
      <c r="DE109" s="174">
        <v>860701.06732699997</v>
      </c>
      <c r="DF109" s="174">
        <v>873785.12655199994</v>
      </c>
      <c r="DG109" s="174">
        <v>846457.03844799998</v>
      </c>
      <c r="DH109" s="174">
        <v>808626.24704100005</v>
      </c>
      <c r="DI109" s="174">
        <v>766239.59999899997</v>
      </c>
      <c r="DJ109" s="174">
        <v>893601.39779733308</v>
      </c>
      <c r="DK109" s="206">
        <f t="shared" si="134"/>
        <v>9544231.3074753322</v>
      </c>
    </row>
    <row r="110" spans="1:115" ht="14.45" customHeight="1" outlineLevel="1">
      <c r="A110" s="213"/>
      <c r="B110" s="13" t="s">
        <v>89</v>
      </c>
      <c r="C110" s="14"/>
      <c r="D110" s="91">
        <f>SUM([24]Mar!Q231:Q234)</f>
        <v>51305.762338960005</v>
      </c>
      <c r="E110" s="96">
        <f>SUM([24]Apr!N233:N236)+[24]Apr!V84</f>
        <v>34996.528402310003</v>
      </c>
      <c r="F110" s="96"/>
      <c r="G110" s="96"/>
      <c r="H110" s="102"/>
      <c r="I110" s="102"/>
      <c r="J110" s="102"/>
      <c r="K110" s="96"/>
      <c r="L110" s="96"/>
      <c r="M110" s="96"/>
      <c r="N110" s="96"/>
      <c r="O110" s="96"/>
      <c r="P110" s="100">
        <f>SUM(D110:O110)</f>
        <v>86302.290741270001</v>
      </c>
      <c r="Q110" s="100">
        <f>SUM(BS110)</f>
        <v>25766.196433000001</v>
      </c>
      <c r="R110" s="89">
        <f t="shared" si="135"/>
        <v>68.211691644107447</v>
      </c>
      <c r="S110" s="89">
        <f t="shared" si="136"/>
        <v>244.26095284345956</v>
      </c>
      <c r="T110" s="89">
        <f>IF(ISERROR((($P110-$BG110)/ABS($BG110)+1)*100),0,(($P110-$BG110)/ABS($BG110)+1)*100)</f>
        <v>602.35345422560397</v>
      </c>
      <c r="U110" s="96">
        <f>(+'[24]PF resc'!D116)*1000</f>
        <v>50230.044609479592</v>
      </c>
      <c r="V110" s="90">
        <f>IF(ISERROR((($E110-$U110)/ABS($U110)+1)*100),0,(($E110-$U110)/ABS($U110)+1)*100)</f>
        <v>69.67250113830346</v>
      </c>
      <c r="W110" s="3"/>
      <c r="X110" s="91">
        <f t="shared" si="137"/>
        <v>45814.984090804639</v>
      </c>
      <c r="Y110" s="96">
        <f t="shared" si="137"/>
        <v>31458.555982957823</v>
      </c>
      <c r="Z110" s="96"/>
      <c r="AA110" s="96"/>
      <c r="AB110" s="96"/>
      <c r="AC110" s="96"/>
      <c r="AD110" s="96"/>
      <c r="AE110" s="96"/>
      <c r="AF110" s="96"/>
      <c r="AG110" s="96"/>
      <c r="AH110" s="96"/>
      <c r="AI110" s="102"/>
      <c r="AJ110" s="96">
        <f>SUM(X110:AI110)</f>
        <v>77273.540073762459</v>
      </c>
      <c r="AK110" s="88">
        <f t="shared" si="138"/>
        <v>68.664338987016606</v>
      </c>
      <c r="AL110" s="96">
        <f>(+'[24]PF resc'!R116)*1000</f>
        <v>45633.995527712206</v>
      </c>
      <c r="AM110" s="90">
        <f t="shared" si="139"/>
        <v>68.936667980023685</v>
      </c>
      <c r="AN110" s="3"/>
      <c r="AO110" s="91">
        <f t="shared" si="140"/>
        <v>5490.7782481553695</v>
      </c>
      <c r="AP110" s="96">
        <f t="shared" si="140"/>
        <v>3537.9724193521797</v>
      </c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102">
        <f>SUM(AO110:AZ110)</f>
        <v>9028.7506675075492</v>
      </c>
      <c r="BB110" s="89">
        <f t="shared" si="141"/>
        <v>64.434807953513044</v>
      </c>
      <c r="BC110" s="96">
        <f>(+'[24]PF resc'!AF116)*1000</f>
        <v>4596.0490817673826</v>
      </c>
      <c r="BD110" s="90">
        <f t="shared" si="142"/>
        <v>76.978560420239774</v>
      </c>
      <c r="BF110" s="91">
        <v>11438.679900000001</v>
      </c>
      <c r="BG110" s="102">
        <v>14327.516533</v>
      </c>
      <c r="BH110" s="102">
        <v>20365.910391000001</v>
      </c>
      <c r="BI110" s="102">
        <v>21265.624245999999</v>
      </c>
      <c r="BJ110" s="102">
        <v>15669.532069999999</v>
      </c>
      <c r="BK110" s="102">
        <v>36725.291311000001</v>
      </c>
      <c r="BL110" s="102">
        <v>41768.33182965</v>
      </c>
      <c r="BM110" s="102">
        <v>32419.329701739996</v>
      </c>
      <c r="BN110" s="102">
        <v>37984.809141409998</v>
      </c>
      <c r="BO110" s="102">
        <v>35299.973552399999</v>
      </c>
      <c r="BP110" s="102">
        <v>27287.02982974</v>
      </c>
      <c r="BQ110" s="102">
        <v>16250.095986599999</v>
      </c>
      <c r="BR110" s="102">
        <v>4466.1144033800001</v>
      </c>
      <c r="BS110" s="94">
        <f t="shared" si="143"/>
        <v>25766.196433000001</v>
      </c>
      <c r="BU110" s="83">
        <v>10758.798291142963</v>
      </c>
      <c r="BV110" s="96">
        <v>13492.83902868021</v>
      </c>
      <c r="BW110" s="96">
        <v>19173.407780301211</v>
      </c>
      <c r="BX110" s="96">
        <v>20022.606147647053</v>
      </c>
      <c r="BY110" s="96">
        <v>14784.250285117769</v>
      </c>
      <c r="BZ110" s="96">
        <v>33870.368247208047</v>
      </c>
      <c r="CA110" s="96">
        <v>38368.791714850973</v>
      </c>
      <c r="CB110" s="96">
        <v>29813.345097390422</v>
      </c>
      <c r="CC110" s="96">
        <v>34563.283705486865</v>
      </c>
      <c r="CD110" s="96">
        <v>31795.694510240173</v>
      </c>
      <c r="CE110" s="96">
        <v>24390.812933902776</v>
      </c>
      <c r="CF110" s="102">
        <v>14363.475084658656</v>
      </c>
      <c r="CG110" s="96">
        <v>3936.6756742012817</v>
      </c>
      <c r="CH110" s="106">
        <v>289334.34850082838</v>
      </c>
      <c r="CJ110" s="83">
        <v>679.88160885703871</v>
      </c>
      <c r="CK110" s="96">
        <v>834.67750431978857</v>
      </c>
      <c r="CL110" s="96">
        <v>1192.5026106987902</v>
      </c>
      <c r="CM110" s="96">
        <v>1243.0180983529451</v>
      </c>
      <c r="CN110" s="96">
        <v>885.28178488223102</v>
      </c>
      <c r="CO110" s="96">
        <v>2854.9230637919541</v>
      </c>
      <c r="CP110" s="96">
        <v>3399.5401147990301</v>
      </c>
      <c r="CQ110" s="96">
        <v>2605.9846043495768</v>
      </c>
      <c r="CR110" s="96">
        <v>3421.525435923139</v>
      </c>
      <c r="CS110" s="96">
        <v>3504.2790421598265</v>
      </c>
      <c r="CT110" s="96">
        <v>2896.2168958372231</v>
      </c>
      <c r="CU110" s="96">
        <v>1886.6209019413432</v>
      </c>
      <c r="CV110" s="96">
        <v>529.43872917871852</v>
      </c>
      <c r="CW110" s="106">
        <v>25933.890395091603</v>
      </c>
      <c r="CY110" s="91">
        <v>16071.986253999999</v>
      </c>
      <c r="CZ110" s="102">
        <v>18830.401342000001</v>
      </c>
      <c r="DA110" s="102">
        <v>13138.800753</v>
      </c>
      <c r="DB110" s="102">
        <v>13434.842933</v>
      </c>
      <c r="DC110" s="102">
        <v>13967.435836000001</v>
      </c>
      <c r="DD110" s="102">
        <v>-3775.0604000000003</v>
      </c>
      <c r="DE110" s="102">
        <v>31763.751672999999</v>
      </c>
      <c r="DF110" s="102">
        <v>39712.224589999998</v>
      </c>
      <c r="DG110" s="102">
        <v>24207.520838</v>
      </c>
      <c r="DH110" s="102">
        <v>21259.243412</v>
      </c>
      <c r="DI110" s="102">
        <v>18378.814516000002</v>
      </c>
      <c r="DJ110" s="102">
        <v>19490.502529999998</v>
      </c>
      <c r="DK110" s="94">
        <f t="shared" si="134"/>
        <v>226480.46427700002</v>
      </c>
    </row>
    <row r="111" spans="1:115" ht="14.45" customHeight="1" outlineLevel="1">
      <c r="A111" s="12"/>
      <c r="B111" s="13" t="s">
        <v>90</v>
      </c>
      <c r="C111" s="14"/>
      <c r="D111" s="91">
        <f>SUM([24]Mar!Q228:Q230)</f>
        <v>245993.30593652002</v>
      </c>
      <c r="E111" s="96">
        <f>SUM([24]Apr!N230:N232)</f>
        <v>258094.20337378999</v>
      </c>
      <c r="F111" s="96"/>
      <c r="G111" s="96"/>
      <c r="H111" s="102"/>
      <c r="I111" s="102"/>
      <c r="J111" s="102"/>
      <c r="K111" s="96"/>
      <c r="L111" s="96"/>
      <c r="M111" s="96"/>
      <c r="N111" s="96"/>
      <c r="O111" s="96"/>
      <c r="P111" s="100">
        <f>SUM(D111:O111)</f>
        <v>504087.50931031001</v>
      </c>
      <c r="Q111" s="100">
        <f>SUM(BS111)</f>
        <v>369688.10664399998</v>
      </c>
      <c r="R111" s="89">
        <f t="shared" si="135"/>
        <v>104.91919785833224</v>
      </c>
      <c r="S111" s="89">
        <f t="shared" si="136"/>
        <v>137.53438067686579</v>
      </c>
      <c r="T111" s="89">
        <f>IF(ISERROR((($P111-$BG111)/ABS($BG111)+1)*100),0,(($P111-$BG111)/ABS($BG111)+1)*100)</f>
        <v>268.62038160357173</v>
      </c>
      <c r="U111" s="96">
        <f>(+'[24]PF resc'!D117)*1000</f>
        <v>380866.52912918455</v>
      </c>
      <c r="V111" s="90">
        <f>IF(ISERROR((($E111-$U111)/ABS($U111)+1)*100),0,(($E111-$U111)/ABS($U111)+1)*100)</f>
        <v>67.764999976211641</v>
      </c>
      <c r="W111" s="3"/>
      <c r="X111" s="91">
        <f t="shared" si="137"/>
        <v>219666.93182469052</v>
      </c>
      <c r="Y111" s="96">
        <f t="shared" si="137"/>
        <v>232002.18182713655</v>
      </c>
      <c r="Z111" s="96"/>
      <c r="AA111" s="96"/>
      <c r="AB111" s="96"/>
      <c r="AC111" s="96"/>
      <c r="AD111" s="96"/>
      <c r="AE111" s="96"/>
      <c r="AF111" s="96"/>
      <c r="AG111" s="96"/>
      <c r="AH111" s="96"/>
      <c r="AI111" s="102"/>
      <c r="AJ111" s="96">
        <f>SUM(X111:AI111)</f>
        <v>451669.11365182709</v>
      </c>
      <c r="AK111" s="88">
        <f t="shared" si="138"/>
        <v>105.61543328346316</v>
      </c>
      <c r="AL111" s="96">
        <f>(+'[24]PF resc'!R117)*1000</f>
        <v>346017.24171386415</v>
      </c>
      <c r="AM111" s="90">
        <f t="shared" si="139"/>
        <v>67.049312536566802</v>
      </c>
      <c r="AN111" s="3"/>
      <c r="AO111" s="91">
        <f t="shared" si="140"/>
        <v>26326.374111829493</v>
      </c>
      <c r="AP111" s="96">
        <f t="shared" si="140"/>
        <v>26092.021546653428</v>
      </c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102">
        <f>SUM(AO111:AZ111)</f>
        <v>52418.395658482921</v>
      </c>
      <c r="BB111" s="89">
        <f t="shared" si="141"/>
        <v>99.109818297876572</v>
      </c>
      <c r="BC111" s="96">
        <f>(+'[24]PF resc'!AF117)*1000</f>
        <v>34849.287415320381</v>
      </c>
      <c r="BD111" s="90">
        <f t="shared" si="142"/>
        <v>74.87103318842297</v>
      </c>
      <c r="BF111" s="91">
        <v>182030.15369899999</v>
      </c>
      <c r="BG111" s="102">
        <v>187657.952945</v>
      </c>
      <c r="BH111" s="102">
        <v>174872.36312599998</v>
      </c>
      <c r="BI111" s="102">
        <v>171762.757836</v>
      </c>
      <c r="BJ111" s="102">
        <v>296419.84660699998</v>
      </c>
      <c r="BK111" s="102">
        <v>237558.287274</v>
      </c>
      <c r="BL111" s="102">
        <v>382500.27886557003</v>
      </c>
      <c r="BM111" s="102">
        <v>242091.23981281</v>
      </c>
      <c r="BN111" s="102">
        <v>237864.88985549001</v>
      </c>
      <c r="BO111" s="102">
        <v>250770.44126391</v>
      </c>
      <c r="BP111" s="102">
        <v>233383.76471244002</v>
      </c>
      <c r="BQ111" s="102">
        <v>221473.65739924001</v>
      </c>
      <c r="BR111" s="102">
        <v>77744.011542909997</v>
      </c>
      <c r="BS111" s="94">
        <f t="shared" si="143"/>
        <v>369688.10664399998</v>
      </c>
      <c r="BU111" s="83">
        <v>171210.81485576771</v>
      </c>
      <c r="BV111" s="96">
        <v>176725.57178395757</v>
      </c>
      <c r="BW111" s="96">
        <v>164632.91173084031</v>
      </c>
      <c r="BX111" s="96">
        <v>161722.88248866229</v>
      </c>
      <c r="BY111" s="96">
        <v>279673.01015352557</v>
      </c>
      <c r="BZ111" s="96">
        <v>219091.15987696507</v>
      </c>
      <c r="CA111" s="96">
        <v>351368.43842653529</v>
      </c>
      <c r="CB111" s="96">
        <v>222631.05819880759</v>
      </c>
      <c r="CC111" s="96">
        <v>216438.93591891052</v>
      </c>
      <c r="CD111" s="96">
        <v>225876.09961773772</v>
      </c>
      <c r="CE111" s="96">
        <v>208612.65525890855</v>
      </c>
      <c r="CF111" s="102">
        <v>195760.77351083991</v>
      </c>
      <c r="CG111" s="96">
        <v>68527.792038684333</v>
      </c>
      <c r="CH111" s="106">
        <v>2662272.1038601417</v>
      </c>
      <c r="CJ111" s="83">
        <v>10819.338843232263</v>
      </c>
      <c r="CK111" s="96">
        <v>10932.381161042413</v>
      </c>
      <c r="CL111" s="96">
        <v>10239.451395159673</v>
      </c>
      <c r="CM111" s="96">
        <v>10039.875347337695</v>
      </c>
      <c r="CN111" s="96">
        <v>16746.836453474396</v>
      </c>
      <c r="CO111" s="96">
        <v>18467.127397034939</v>
      </c>
      <c r="CP111" s="96">
        <v>31131.840439034768</v>
      </c>
      <c r="CQ111" s="96">
        <v>19460.181614002449</v>
      </c>
      <c r="CR111" s="96">
        <v>21425.95393657951</v>
      </c>
      <c r="CS111" s="96">
        <v>24894.341646172288</v>
      </c>
      <c r="CT111" s="96">
        <v>24771.109453531473</v>
      </c>
      <c r="CU111" s="96">
        <v>25712.883888400098</v>
      </c>
      <c r="CV111" s="96">
        <v>9216.2195042256571</v>
      </c>
      <c r="CW111" s="106">
        <v>233857.54107922761</v>
      </c>
      <c r="CY111" s="91">
        <v>200552.417464</v>
      </c>
      <c r="CZ111" s="102">
        <v>138291.51501999999</v>
      </c>
      <c r="DA111" s="102">
        <v>144464.48902000001</v>
      </c>
      <c r="DB111" s="102">
        <v>155686.28974799998</v>
      </c>
      <c r="DC111" s="102">
        <v>140570.59388100001</v>
      </c>
      <c r="DD111" s="102">
        <v>143666.734279</v>
      </c>
      <c r="DE111" s="102">
        <v>169525.93344700002</v>
      </c>
      <c r="DF111" s="102">
        <v>152550.548821</v>
      </c>
      <c r="DG111" s="102">
        <v>148979.76955200001</v>
      </c>
      <c r="DH111" s="102">
        <v>150455.93618600001</v>
      </c>
      <c r="DI111" s="102">
        <v>177553.181335</v>
      </c>
      <c r="DJ111" s="102">
        <v>179347.70986966669</v>
      </c>
      <c r="DK111" s="94">
        <f t="shared" si="134"/>
        <v>1901645.1186226669</v>
      </c>
    </row>
    <row r="112" spans="1:115" ht="14.45" customHeight="1" outlineLevel="1">
      <c r="A112" s="176"/>
      <c r="B112" s="177" t="s">
        <v>91</v>
      </c>
      <c r="C112" s="14"/>
      <c r="D112" s="91">
        <f>SUM([24]Mar!Q235:Q237)</f>
        <v>28282.92515626</v>
      </c>
      <c r="E112" s="96">
        <f>SUM([24]Apr!N237:N239)+[24]Apr!V85</f>
        <v>6676.0404727000014</v>
      </c>
      <c r="F112" s="96"/>
      <c r="G112" s="96"/>
      <c r="H112" s="102"/>
      <c r="I112" s="102"/>
      <c r="J112" s="102"/>
      <c r="K112" s="96"/>
      <c r="L112" s="96"/>
      <c r="M112" s="96"/>
      <c r="N112" s="96"/>
      <c r="O112" s="96"/>
      <c r="P112" s="144">
        <f>SUM(D112:O112)</f>
        <v>34958.965628960003</v>
      </c>
      <c r="Q112" s="144">
        <f>SUM(BS112)</f>
        <v>13548.680401</v>
      </c>
      <c r="R112" s="145">
        <f t="shared" si="135"/>
        <v>23.604490821991099</v>
      </c>
      <c r="S112" s="145">
        <f t="shared" si="136"/>
        <v>116.05051947929634</v>
      </c>
      <c r="T112" s="145">
        <f>IF(ISERROR((($P112-$BG112)/ABS($BG112)+1)*100),0,(($P112-$BG112)/ABS($BG112)+1)*100)</f>
        <v>607.69645395197745</v>
      </c>
      <c r="U112" s="96">
        <f>(+'[24]PF resc'!D118)*1000</f>
        <v>13241.547729059625</v>
      </c>
      <c r="V112" s="90">
        <f>IF(ISERROR((($E112-$U112)/ABS($U112)+1)*100),0,(($E112-$U112)/ABS($U112)+1)*100)</f>
        <v>50.417372721837509</v>
      </c>
      <c r="W112" s="3"/>
      <c r="X112" s="179">
        <f t="shared" si="137"/>
        <v>25256.066901699531</v>
      </c>
      <c r="Y112" s="180">
        <f t="shared" si="137"/>
        <v>6001.1264700490283</v>
      </c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48"/>
      <c r="AJ112" s="180">
        <f>SUM(X112:AI112)</f>
        <v>31257.193371748559</v>
      </c>
      <c r="AK112" s="147">
        <f t="shared" si="138"/>
        <v>23.761128339603822</v>
      </c>
      <c r="AL112" s="96">
        <f>(+'[24]PF resc'!R118)*1000</f>
        <v>12029.946111850668</v>
      </c>
      <c r="AM112" s="90">
        <f t="shared" si="139"/>
        <v>49.884899019932718</v>
      </c>
      <c r="AN112" s="3"/>
      <c r="AO112" s="179">
        <f t="shared" si="140"/>
        <v>3026.8582545604686</v>
      </c>
      <c r="AP112" s="180">
        <f t="shared" si="140"/>
        <v>674.91400265097263</v>
      </c>
      <c r="AQ112" s="180"/>
      <c r="AR112" s="180"/>
      <c r="AS112" s="180"/>
      <c r="AT112" s="180"/>
      <c r="AU112" s="180"/>
      <c r="AV112" s="180"/>
      <c r="AW112" s="180"/>
      <c r="AX112" s="180"/>
      <c r="AY112" s="180"/>
      <c r="AZ112" s="180"/>
      <c r="BA112" s="148">
        <f>SUM(AO112:AZ112)</f>
        <v>3701.7722572114412</v>
      </c>
      <c r="BB112" s="145">
        <f t="shared" si="141"/>
        <v>22.297509360872837</v>
      </c>
      <c r="BC112" s="180">
        <f>(+'[24]PF resc'!AF118)*1000</f>
        <v>1211.6016172089558</v>
      </c>
      <c r="BD112" s="207">
        <f t="shared" si="142"/>
        <v>55.704283740203643</v>
      </c>
      <c r="BF112" s="91">
        <v>7795.9784719999998</v>
      </c>
      <c r="BG112" s="102">
        <v>5752.7019289999998</v>
      </c>
      <c r="BH112" s="102">
        <v>-52045.432988</v>
      </c>
      <c r="BI112" s="102">
        <v>16163.761954999998</v>
      </c>
      <c r="BJ112" s="102">
        <v>3730.6132819999998</v>
      </c>
      <c r="BK112" s="102">
        <v>7161.1610869999995</v>
      </c>
      <c r="BL112" s="102">
        <v>48448.831685037774</v>
      </c>
      <c r="BM112" s="102">
        <v>8597.8638441322219</v>
      </c>
      <c r="BN112" s="102">
        <v>17957.046153298888</v>
      </c>
      <c r="BO112" s="102">
        <v>17452.067163440002</v>
      </c>
      <c r="BP112" s="102">
        <v>19827.69054871333</v>
      </c>
      <c r="BQ112" s="102">
        <v>11956.76771416</v>
      </c>
      <c r="BR112" s="102">
        <v>5302.9849158544439</v>
      </c>
      <c r="BS112" s="94">
        <f t="shared" si="143"/>
        <v>13548.680401</v>
      </c>
      <c r="BU112" s="181">
        <v>7332.6083600207148</v>
      </c>
      <c r="BV112" s="180">
        <v>5417.5670242079577</v>
      </c>
      <c r="BW112" s="180">
        <v>-48997.972132011644</v>
      </c>
      <c r="BX112" s="180">
        <v>15218.957870477861</v>
      </c>
      <c r="BY112" s="180">
        <v>3519.8447682855813</v>
      </c>
      <c r="BZ112" s="180">
        <v>6604.4721344829049</v>
      </c>
      <c r="CA112" s="180">
        <v>44505.563193967362</v>
      </c>
      <c r="CB112" s="180">
        <v>7906.7360196448499</v>
      </c>
      <c r="CC112" s="180">
        <v>16339.544537354815</v>
      </c>
      <c r="CD112" s="180">
        <v>15719.575406401545</v>
      </c>
      <c r="CE112" s="180">
        <v>17723.200146829135</v>
      </c>
      <c r="CF112" s="148">
        <v>10568.59819763572</v>
      </c>
      <c r="CG112" s="180">
        <v>4674.3387726703222</v>
      </c>
      <c r="CH112" s="150">
        <v>106533.03429996711</v>
      </c>
      <c r="CJ112" s="181">
        <v>463.37011197928507</v>
      </c>
      <c r="CK112" s="180">
        <v>335.13490479204137</v>
      </c>
      <c r="CL112" s="180">
        <v>-3047.4608559883523</v>
      </c>
      <c r="CM112" s="180">
        <v>944.80408452213646</v>
      </c>
      <c r="CN112" s="180">
        <v>210.76851371441865</v>
      </c>
      <c r="CO112" s="180">
        <v>556.688952517095</v>
      </c>
      <c r="CP112" s="180">
        <v>3943.2684910704115</v>
      </c>
      <c r="CQ112" s="180">
        <v>691.127824487373</v>
      </c>
      <c r="CR112" s="180">
        <v>1617.501615944074</v>
      </c>
      <c r="CS112" s="180">
        <v>1732.4917570384557</v>
      </c>
      <c r="CT112" s="180">
        <v>2104.4904018841953</v>
      </c>
      <c r="CU112" s="180">
        <v>1388.1695165242804</v>
      </c>
      <c r="CV112" s="180">
        <v>628.64614318412134</v>
      </c>
      <c r="CW112" s="150">
        <v>11569.001461669537</v>
      </c>
      <c r="CY112" s="91">
        <v>20685.348749999997</v>
      </c>
      <c r="CZ112" s="102">
        <v>18535.432503</v>
      </c>
      <c r="DA112" s="102">
        <v>15699.889887000001</v>
      </c>
      <c r="DB112" s="102">
        <v>16433.752096</v>
      </c>
      <c r="DC112" s="102">
        <v>16127.497413999999</v>
      </c>
      <c r="DD112" s="102">
        <v>15277.079182000001</v>
      </c>
      <c r="DE112" s="102">
        <v>17407.277150000002</v>
      </c>
      <c r="DF112" s="102">
        <v>13575.013343999999</v>
      </c>
      <c r="DG112" s="102">
        <v>16630.109236</v>
      </c>
      <c r="DH112" s="102">
        <v>13499.2834</v>
      </c>
      <c r="DI112" s="102">
        <v>15608.077637999999</v>
      </c>
      <c r="DJ112" s="102">
        <v>16849.293592999999</v>
      </c>
      <c r="DK112" s="166">
        <f t="shared" si="134"/>
        <v>196328.05419299996</v>
      </c>
    </row>
    <row r="113" spans="1:115" ht="14.45" customHeight="1">
      <c r="A113" s="107" t="s">
        <v>92</v>
      </c>
      <c r="B113" s="136"/>
      <c r="C113" s="137"/>
      <c r="D113" s="118">
        <f t="shared" ref="D113:O113" si="144">SUM(D109:D112)</f>
        <v>1649546.3795835399</v>
      </c>
      <c r="E113" s="111">
        <f t="shared" si="144"/>
        <v>1491451.0351015101</v>
      </c>
      <c r="F113" s="112">
        <f t="shared" si="144"/>
        <v>0</v>
      </c>
      <c r="G113" s="113">
        <f t="shared" si="144"/>
        <v>0</v>
      </c>
      <c r="H113" s="113">
        <f>SUM(H109:H112)</f>
        <v>0</v>
      </c>
      <c r="I113" s="113">
        <f>SUM(I109:I112)</f>
        <v>0</v>
      </c>
      <c r="J113" s="113">
        <f t="shared" si="144"/>
        <v>0</v>
      </c>
      <c r="K113" s="111">
        <f>SUM(K109:K112)</f>
        <v>0</v>
      </c>
      <c r="L113" s="113">
        <f t="shared" si="144"/>
        <v>0</v>
      </c>
      <c r="M113" s="113">
        <f t="shared" si="144"/>
        <v>0</v>
      </c>
      <c r="N113" s="113">
        <f t="shared" si="144"/>
        <v>0</v>
      </c>
      <c r="O113" s="113">
        <f t="shared" si="144"/>
        <v>0</v>
      </c>
      <c r="P113" s="114">
        <f>SUM(D113:O113)</f>
        <v>3140997.41468505</v>
      </c>
      <c r="Q113" s="114">
        <f>SUM(BS113)</f>
        <v>2163856.2250969997</v>
      </c>
      <c r="R113" s="115">
        <f t="shared" si="135"/>
        <v>90.415829076479554</v>
      </c>
      <c r="S113" s="115">
        <f t="shared" si="136"/>
        <v>139.85414783259802</v>
      </c>
      <c r="T113" s="115">
        <f>IF(ISERROR((($P113-$BG113)/ABS($BG113)+1)*100),0,(($P113-$BG113)/ABS($BG113)+1)*100)</f>
        <v>294.53297925082273</v>
      </c>
      <c r="U113" s="111">
        <f t="shared" ref="U113" si="145">SUM(U109:U112)</f>
        <v>1841573.9224422988</v>
      </c>
      <c r="V113" s="117">
        <f>IF(ISERROR((($E113-$U113)/ABS($U113)+1)*100),0,(($E113-$U113)/ABS($U113)+1)*100)</f>
        <v>80.98784506698189</v>
      </c>
      <c r="W113" s="3"/>
      <c r="X113" s="118">
        <f t="shared" ref="X113:AI113" si="146">SUM(X109:X112)</f>
        <v>1473010.7826558063</v>
      </c>
      <c r="Y113" s="111">
        <f t="shared" ref="Y113" si="147">SUM(Y109:Y112)</f>
        <v>1340672.8617254584</v>
      </c>
      <c r="Z113" s="111">
        <f t="shared" si="146"/>
        <v>0</v>
      </c>
      <c r="AA113" s="111">
        <f t="shared" si="146"/>
        <v>0</v>
      </c>
      <c r="AB113" s="111">
        <f t="shared" si="146"/>
        <v>0</v>
      </c>
      <c r="AC113" s="111">
        <f t="shared" si="146"/>
        <v>0</v>
      </c>
      <c r="AD113" s="111">
        <f t="shared" si="146"/>
        <v>0</v>
      </c>
      <c r="AE113" s="111">
        <f t="shared" si="146"/>
        <v>0</v>
      </c>
      <c r="AF113" s="111">
        <f t="shared" si="146"/>
        <v>0</v>
      </c>
      <c r="AG113" s="113">
        <f t="shared" si="146"/>
        <v>0</v>
      </c>
      <c r="AH113" s="113">
        <f t="shared" ref="AH113" si="148">SUM(AH109:AH112)</f>
        <v>0</v>
      </c>
      <c r="AI113" s="113">
        <f t="shared" si="146"/>
        <v>0</v>
      </c>
      <c r="AJ113" s="119">
        <f>SUM(X113:AI113)</f>
        <v>2813683.6443812647</v>
      </c>
      <c r="AK113" s="116">
        <f t="shared" si="138"/>
        <v>91.015821303646831</v>
      </c>
      <c r="AL113" s="111">
        <f t="shared" ref="AL113" si="149">SUM(AL109:AL112)</f>
        <v>1673069.9085388284</v>
      </c>
      <c r="AM113" s="117">
        <f t="shared" si="139"/>
        <v>80.132507009006687</v>
      </c>
      <c r="AN113" s="3"/>
      <c r="AO113" s="118">
        <f t="shared" ref="AO113:AZ113" si="150">SUM(AO109:AO112)</f>
        <v>176535.59692773368</v>
      </c>
      <c r="AP113" s="111">
        <f t="shared" si="150"/>
        <v>150778.17337605133</v>
      </c>
      <c r="AQ113" s="111">
        <f t="shared" si="150"/>
        <v>0</v>
      </c>
      <c r="AR113" s="111">
        <f t="shared" si="150"/>
        <v>0</v>
      </c>
      <c r="AS113" s="111">
        <f t="shared" si="150"/>
        <v>0</v>
      </c>
      <c r="AT113" s="111">
        <f t="shared" si="150"/>
        <v>0</v>
      </c>
      <c r="AU113" s="111">
        <f t="shared" si="150"/>
        <v>0</v>
      </c>
      <c r="AV113" s="111">
        <f t="shared" si="150"/>
        <v>0</v>
      </c>
      <c r="AW113" s="111">
        <f>SUM(AW109:AW112)</f>
        <v>0</v>
      </c>
      <c r="AX113" s="113">
        <f>SUM(AX109:AX112)</f>
        <v>0</v>
      </c>
      <c r="AY113" s="113">
        <f t="shared" si="150"/>
        <v>0</v>
      </c>
      <c r="AZ113" s="111">
        <f t="shared" si="150"/>
        <v>0</v>
      </c>
      <c r="BA113" s="120">
        <f>SUM(AO113:AZ113)</f>
        <v>327313.77030378499</v>
      </c>
      <c r="BB113" s="115">
        <f t="shared" si="141"/>
        <v>85.409501539666039</v>
      </c>
      <c r="BC113" s="111">
        <f t="shared" ref="BC113" si="151">SUM(BC109:BC112)</f>
        <v>168504.0139034703</v>
      </c>
      <c r="BD113" s="117">
        <f t="shared" si="142"/>
        <v>89.480463926768266</v>
      </c>
      <c r="BF113" s="118">
        <v>1097423.045806</v>
      </c>
      <c r="BG113" s="113">
        <v>1066433.1792909999</v>
      </c>
      <c r="BH113" s="113">
        <v>1078879.157629</v>
      </c>
      <c r="BI113" s="113">
        <v>1181958.5451490001</v>
      </c>
      <c r="BJ113" s="113">
        <v>1372486.7223079999</v>
      </c>
      <c r="BK113" s="113">
        <v>1284919.9962653336</v>
      </c>
      <c r="BL113" s="113">
        <v>1511527.4750755643</v>
      </c>
      <c r="BM113" s="113">
        <v>1331546.2817873778</v>
      </c>
      <c r="BN113" s="113">
        <v>1082676.3685224499</v>
      </c>
      <c r="BO113" s="113">
        <v>1444208.7965870097</v>
      </c>
      <c r="BP113" s="113">
        <v>1366891.5598351236</v>
      </c>
      <c r="BQ113" s="113">
        <v>1257084.0104392502</v>
      </c>
      <c r="BR113" s="113">
        <v>358849.51379607449</v>
      </c>
      <c r="BS113" s="121">
        <f t="shared" si="143"/>
        <v>2163856.2250969997</v>
      </c>
      <c r="BU113" s="110">
        <v>1032195.4362826864</v>
      </c>
      <c r="BV113" s="111">
        <v>1004306.0281853469</v>
      </c>
      <c r="BW113" s="111">
        <v>1015706.621395626</v>
      </c>
      <c r="BX113" s="111">
        <v>1112870.7137207985</v>
      </c>
      <c r="BY113" s="111">
        <v>1294945.3196787389</v>
      </c>
      <c r="BZ113" s="111">
        <v>1185033.8523706321</v>
      </c>
      <c r="CA113" s="111">
        <v>1388503.6898045277</v>
      </c>
      <c r="CB113" s="111">
        <v>1224511.7088260932</v>
      </c>
      <c r="CC113" s="111">
        <v>985153.04755533184</v>
      </c>
      <c r="CD113" s="113">
        <v>1300840.1164130659</v>
      </c>
      <c r="CE113" s="113">
        <v>1221811.1148371454</v>
      </c>
      <c r="CF113" s="113">
        <v>1111137.7359343721</v>
      </c>
      <c r="CG113" s="111">
        <v>316309.44128767442</v>
      </c>
      <c r="CH113" s="122">
        <v>14193324.826292038</v>
      </c>
      <c r="CJ113" s="110">
        <v>65227.609523313506</v>
      </c>
      <c r="CK113" s="111">
        <v>62127.151105652789</v>
      </c>
      <c r="CL113" s="111">
        <v>63172.536233373932</v>
      </c>
      <c r="CM113" s="111">
        <v>69087.831428201549</v>
      </c>
      <c r="CN113" s="111">
        <v>77541.402629261109</v>
      </c>
      <c r="CO113" s="111">
        <v>99886.143894701396</v>
      </c>
      <c r="CP113" s="111">
        <v>123023.78527103677</v>
      </c>
      <c r="CQ113" s="111">
        <v>107034.57296128456</v>
      </c>
      <c r="CR113" s="111">
        <v>97523.320967118285</v>
      </c>
      <c r="CS113" s="113">
        <v>143368.68017394416</v>
      </c>
      <c r="CT113" s="113">
        <v>145080.44499797805</v>
      </c>
      <c r="CU113" s="111">
        <v>145946.27450487792</v>
      </c>
      <c r="CV113" s="111">
        <v>42540.072508399964</v>
      </c>
      <c r="CW113" s="122">
        <v>1241559.8261991441</v>
      </c>
      <c r="CY113" s="118">
        <v>946499.32991600002</v>
      </c>
      <c r="CZ113" s="113">
        <v>908882.40477400005</v>
      </c>
      <c r="DA113" s="113">
        <v>890483.62786800007</v>
      </c>
      <c r="DB113" s="113">
        <v>968222.14660199999</v>
      </c>
      <c r="DC113" s="113">
        <v>929722.31776899996</v>
      </c>
      <c r="DD113" s="113">
        <v>948670.44934399996</v>
      </c>
      <c r="DE113" s="113">
        <v>1079398.029597</v>
      </c>
      <c r="DF113" s="113">
        <v>1079622.913307</v>
      </c>
      <c r="DG113" s="113">
        <v>1036274.4380739999</v>
      </c>
      <c r="DH113" s="113">
        <v>993840.71003900003</v>
      </c>
      <c r="DI113" s="113">
        <v>977779.67348799994</v>
      </c>
      <c r="DJ113" s="113">
        <v>1109288.9037899997</v>
      </c>
      <c r="DK113" s="121">
        <f t="shared" si="134"/>
        <v>11868684.944568001</v>
      </c>
    </row>
    <row r="114" spans="1:115" ht="15" outlineLevel="1">
      <c r="A114" s="123"/>
      <c r="B114" s="13"/>
      <c r="C114" s="14"/>
      <c r="D114" s="91"/>
      <c r="E114" s="96"/>
      <c r="F114" s="104"/>
      <c r="G114" s="102"/>
      <c r="H114" s="102"/>
      <c r="I114" s="102"/>
      <c r="J114" s="102"/>
      <c r="K114" s="96"/>
      <c r="L114" s="102"/>
      <c r="M114" s="102"/>
      <c r="N114" s="102"/>
      <c r="O114" s="102"/>
      <c r="P114" s="100"/>
      <c r="Q114" s="101"/>
      <c r="R114" s="89"/>
      <c r="S114" s="89"/>
      <c r="T114" s="89"/>
      <c r="U114" s="89"/>
      <c r="V114" s="90"/>
      <c r="W114" s="3"/>
      <c r="X114" s="91"/>
      <c r="Y114" s="96"/>
      <c r="Z114" s="96"/>
      <c r="AA114" s="96"/>
      <c r="AB114" s="96"/>
      <c r="AC114" s="96"/>
      <c r="AD114" s="96"/>
      <c r="AE114" s="96"/>
      <c r="AF114" s="96"/>
      <c r="AG114" s="102"/>
      <c r="AH114" s="102"/>
      <c r="AI114" s="102"/>
      <c r="AJ114" s="103"/>
      <c r="AK114" s="88"/>
      <c r="AL114" s="89"/>
      <c r="AM114" s="90"/>
      <c r="AN114" s="3"/>
      <c r="AO114" s="91"/>
      <c r="AP114" s="96"/>
      <c r="AQ114" s="96"/>
      <c r="AR114" s="96"/>
      <c r="AS114" s="96"/>
      <c r="AT114" s="96"/>
      <c r="AU114" s="96"/>
      <c r="AV114" s="96"/>
      <c r="AW114" s="96"/>
      <c r="AX114" s="102"/>
      <c r="AY114" s="102"/>
      <c r="AZ114" s="96"/>
      <c r="BA114" s="102"/>
      <c r="BB114" s="89"/>
      <c r="BC114" s="89"/>
      <c r="BD114" s="90"/>
      <c r="BF114" s="91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94"/>
      <c r="BU114" s="83"/>
      <c r="BV114" s="96"/>
      <c r="BW114" s="96"/>
      <c r="BX114" s="96"/>
      <c r="BY114" s="96"/>
      <c r="BZ114" s="96"/>
      <c r="CA114" s="96"/>
      <c r="CB114" s="96"/>
      <c r="CC114" s="96"/>
      <c r="CD114" s="102"/>
      <c r="CE114" s="102"/>
      <c r="CF114" s="102"/>
      <c r="CG114" s="96"/>
      <c r="CH114" s="105"/>
      <c r="CJ114" s="83"/>
      <c r="CK114" s="96"/>
      <c r="CL114" s="96"/>
      <c r="CM114" s="96"/>
      <c r="CN114" s="96"/>
      <c r="CO114" s="96"/>
      <c r="CP114" s="96"/>
      <c r="CQ114" s="96"/>
      <c r="CR114" s="96"/>
      <c r="CS114" s="102"/>
      <c r="CT114" s="102"/>
      <c r="CU114" s="96"/>
      <c r="CV114" s="96"/>
      <c r="CW114" s="106"/>
      <c r="CY114" s="91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94"/>
    </row>
    <row r="115" spans="1:115" ht="14.45" customHeight="1" outlineLevel="1">
      <c r="A115" s="123"/>
      <c r="B115" s="13" t="s">
        <v>93</v>
      </c>
      <c r="C115" s="14"/>
      <c r="D115" s="91">
        <f>SUM([24]Mar!Q246:Q247)-[24]Adj!AD47+[24]Adj!AF58</f>
        <v>158379.28614637713</v>
      </c>
      <c r="E115" s="96">
        <f>SUM([24]Apr!N248:N249)+[24]Apr!V96</f>
        <v>88970.978090839999</v>
      </c>
      <c r="F115" s="96"/>
      <c r="G115" s="96"/>
      <c r="H115" s="102"/>
      <c r="I115" s="102"/>
      <c r="J115" s="102"/>
      <c r="K115" s="96"/>
      <c r="L115" s="96"/>
      <c r="M115" s="96"/>
      <c r="N115" s="96"/>
      <c r="O115" s="96"/>
      <c r="P115" s="100">
        <f t="shared" ref="P115:P125" si="152">SUM(D115:O115)</f>
        <v>247350.26423721714</v>
      </c>
      <c r="Q115" s="101">
        <f t="shared" ref="Q115:Q125" si="153">SUM(BS115)</f>
        <v>252728.71735299999</v>
      </c>
      <c r="R115" s="89">
        <f t="shared" ref="R115:R125" si="154">IF(ISERROR((($E115-$D115)/ABS($D115)+1)*100),0,(($E115-$D115)/ABS($D115)+1)*100)</f>
        <v>56.175892855465534</v>
      </c>
      <c r="S115" s="89">
        <f t="shared" ref="S115:S125" si="155">IF(ISERROR((($E115-$BG115)/ABS($BG115)+1)*100),0,(($E115-$BG115)/ABS($BG115)+1)*100)</f>
        <v>65.101340988101214</v>
      </c>
      <c r="T115" s="89">
        <f t="shared" ref="T115:T125" si="156">IF(ISERROR((($P115-$BG115)/ABS($BG115)+1)*100),0,(($P115-$BG115)/ABS($BG115)+1)*100)</f>
        <v>180.98973666629695</v>
      </c>
      <c r="U115" s="96">
        <f>(+'[24]PF resc'!D121)*1000</f>
        <v>378766.97385042021</v>
      </c>
      <c r="V115" s="90">
        <f t="shared" ref="V115:V125" si="157">IF(ISERROR((($E115-$U115)/ABS($U115)+1)*100),0,(($E115-$U115)/ABS($U115)+1)*100)</f>
        <v>23.489634586244502</v>
      </c>
      <c r="W115" s="3"/>
      <c r="X115" s="91">
        <f t="shared" ref="X115:Y124" si="158">D115*X$201</f>
        <v>141429.42516223312</v>
      </c>
      <c r="Y115" s="96">
        <f t="shared" si="158"/>
        <v>79976.461177916673</v>
      </c>
      <c r="Z115" s="96"/>
      <c r="AA115" s="96"/>
      <c r="AB115" s="96"/>
      <c r="AC115" s="96"/>
      <c r="AD115" s="96"/>
      <c r="AE115" s="96"/>
      <c r="AF115" s="96"/>
      <c r="AG115" s="96"/>
      <c r="AH115" s="96"/>
      <c r="AI115" s="102"/>
      <c r="AJ115" s="103">
        <f t="shared" ref="AJ115:AJ125" si="159">SUM(X115:AI115)</f>
        <v>221405.88634014979</v>
      </c>
      <c r="AK115" s="88">
        <f t="shared" ref="AK115:AK125" si="160">IF(ISERROR((($Y115-$X115)/ABS($X115)+1)*100),0,(($Y115-$X115)/ABS($X115)+1)*100)</f>
        <v>56.548671597990307</v>
      </c>
      <c r="AL115" s="96">
        <f>(+'[24]PF resc'!R121)*1000</f>
        <v>344109.79574310675</v>
      </c>
      <c r="AM115" s="90">
        <f t="shared" ref="AM115:AM125" si="161">IF(ISERROR((($Y115-$AL115)/ABS($AL115)+1)*100),0,(($Y115-$AL115)/ABS($AL115)+1)*100)</f>
        <v>23.241553180782638</v>
      </c>
      <c r="AN115" s="3"/>
      <c r="AO115" s="91">
        <f t="shared" ref="AO115:AP124" si="162">D115*AO$201</f>
        <v>16949.860984143994</v>
      </c>
      <c r="AP115" s="96">
        <f t="shared" si="162"/>
        <v>8994.5169129233291</v>
      </c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102">
        <f t="shared" ref="BA115:BA125" si="163">SUM(AO115:AZ115)</f>
        <v>25944.377897067323</v>
      </c>
      <c r="BB115" s="89">
        <f t="shared" ref="BB115:BB125" si="164">IF(ISERROR((($AP115-$AO115)/ABS($AO115)+1)*100),0,(($AP115-$AO115)/ABS($AO115)+1)*100)</f>
        <v>53.065431753908697</v>
      </c>
      <c r="BC115" s="96">
        <f>(+'[24]PF resc'!AF121)*1000</f>
        <v>34657.178107313448</v>
      </c>
      <c r="BD115" s="90">
        <f t="shared" ref="BD115:BD125" si="165">IF(ISERROR((($AP115-$BC115)/ABS($BC115)+1)*100),0,(($AP115-$BC115)/ABS($BC115)+1)*100)</f>
        <v>25.952825371622744</v>
      </c>
      <c r="BF115" s="91">
        <v>116063.36339799999</v>
      </c>
      <c r="BG115" s="102">
        <v>136665.353955</v>
      </c>
      <c r="BH115" s="102">
        <v>140197.38821500001</v>
      </c>
      <c r="BI115" s="102">
        <v>153943.121874</v>
      </c>
      <c r="BJ115" s="102">
        <v>191731.109532</v>
      </c>
      <c r="BK115" s="102">
        <v>167978.010454</v>
      </c>
      <c r="BL115" s="102">
        <v>202700.16839282663</v>
      </c>
      <c r="BM115" s="102">
        <v>150015.02510774779</v>
      </c>
      <c r="BN115" s="102">
        <v>193193.73174157104</v>
      </c>
      <c r="BO115" s="102">
        <v>220413.25808372331</v>
      </c>
      <c r="BP115" s="102">
        <v>187926.87017159339</v>
      </c>
      <c r="BQ115" s="102">
        <v>153565.20982771</v>
      </c>
      <c r="BR115" s="102">
        <v>41836.125138590003</v>
      </c>
      <c r="BS115" s="94">
        <f t="shared" ref="BS115:BS125" si="166">SUM(BF115:BG115)</f>
        <v>252728.71735299999</v>
      </c>
      <c r="BU115" s="83">
        <v>109164.89723527509</v>
      </c>
      <c r="BV115" s="96">
        <v>128703.64640412029</v>
      </c>
      <c r="BW115" s="96">
        <v>131988.29035245508</v>
      </c>
      <c r="BX115" s="96">
        <v>144944.83974539855</v>
      </c>
      <c r="BY115" s="96">
        <v>180898.87420386876</v>
      </c>
      <c r="BZ115" s="96">
        <v>154919.86226413472</v>
      </c>
      <c r="CA115" s="96">
        <v>186202.32604330836</v>
      </c>
      <c r="CB115" s="96">
        <v>137956.2672787442</v>
      </c>
      <c r="CC115" s="96">
        <v>175791.58382623314</v>
      </c>
      <c r="CD115" s="96">
        <v>198532.51758485564</v>
      </c>
      <c r="CE115" s="96">
        <v>167980.50810987965</v>
      </c>
      <c r="CF115" s="102">
        <v>135736.43300627638</v>
      </c>
      <c r="CG115" s="96">
        <v>36876.631734127761</v>
      </c>
      <c r="CH115" s="105">
        <v>1889696.6777886776</v>
      </c>
      <c r="CJ115" s="83">
        <v>6898.4661627248925</v>
      </c>
      <c r="CK115" s="96">
        <v>7961.707550879707</v>
      </c>
      <c r="CL115" s="96">
        <v>8209.0978625449115</v>
      </c>
      <c r="CM115" s="96">
        <v>8998.282128601435</v>
      </c>
      <c r="CN115" s="96">
        <v>10832.235328131244</v>
      </c>
      <c r="CO115" s="96">
        <v>13058.148189865304</v>
      </c>
      <c r="CP115" s="96">
        <v>16497.842349518291</v>
      </c>
      <c r="CQ115" s="96">
        <v>12058.757829003594</v>
      </c>
      <c r="CR115" s="96">
        <v>17402.147915337922</v>
      </c>
      <c r="CS115" s="96">
        <v>21880.740498867679</v>
      </c>
      <c r="CT115" s="96">
        <v>19946.362061713739</v>
      </c>
      <c r="CU115" s="96">
        <v>17828.776821433639</v>
      </c>
      <c r="CV115" s="96">
        <v>4959.4934044622414</v>
      </c>
      <c r="CW115" s="106">
        <v>166532.05810308456</v>
      </c>
      <c r="CY115" s="91">
        <v>109148.083</v>
      </c>
      <c r="CZ115" s="102">
        <v>117349.846009</v>
      </c>
      <c r="DA115" s="102">
        <v>110410.553509</v>
      </c>
      <c r="DB115" s="102">
        <v>100763.99755499999</v>
      </c>
      <c r="DC115" s="102">
        <v>119011.25400299999</v>
      </c>
      <c r="DD115" s="102">
        <v>117668.466266</v>
      </c>
      <c r="DE115" s="102">
        <v>118070.57588999999</v>
      </c>
      <c r="DF115" s="102">
        <v>121718.021301</v>
      </c>
      <c r="DG115" s="102">
        <v>130554.27212933333</v>
      </c>
      <c r="DH115" s="102">
        <v>139837.300391</v>
      </c>
      <c r="DI115" s="102">
        <v>122330.48426500001</v>
      </c>
      <c r="DJ115" s="102">
        <v>133154.38030200001</v>
      </c>
      <c r="DK115" s="94">
        <f t="shared" ref="DK115:DK125" si="167">SUM(CY115:DJ115)</f>
        <v>1440017.2346203334</v>
      </c>
    </row>
    <row r="116" spans="1:115" ht="14.45" customHeight="1" outlineLevel="1">
      <c r="A116" s="123"/>
      <c r="B116" s="13" t="s">
        <v>94</v>
      </c>
      <c r="C116" s="14"/>
      <c r="D116" s="91">
        <f>[24]Mar!Q248</f>
        <v>55700.817320709997</v>
      </c>
      <c r="E116" s="96">
        <f>[24]Apr!N250+[24]Apr!V98</f>
        <v>60082.663288880001</v>
      </c>
      <c r="F116" s="96"/>
      <c r="G116" s="96"/>
      <c r="H116" s="102"/>
      <c r="I116" s="102"/>
      <c r="J116" s="102"/>
      <c r="K116" s="96"/>
      <c r="L116" s="96"/>
      <c r="M116" s="96"/>
      <c r="N116" s="96"/>
      <c r="O116" s="96"/>
      <c r="P116" s="100">
        <f t="shared" si="152"/>
        <v>115783.48060959</v>
      </c>
      <c r="Q116" s="101">
        <f t="shared" si="153"/>
        <v>26946.732756999998</v>
      </c>
      <c r="R116" s="89">
        <f t="shared" si="154"/>
        <v>107.86675344984712</v>
      </c>
      <c r="S116" s="89">
        <f t="shared" si="155"/>
        <v>455.34432027230309</v>
      </c>
      <c r="T116" s="89">
        <f t="shared" si="156"/>
        <v>877.48024789528131</v>
      </c>
      <c r="U116" s="96">
        <f>(+'[24]PF resc'!D122)*1000</f>
        <v>39246.694927888013</v>
      </c>
      <c r="V116" s="90">
        <f t="shared" si="157"/>
        <v>153.08974016608548</v>
      </c>
      <c r="W116" s="3"/>
      <c r="X116" s="91">
        <f t="shared" si="158"/>
        <v>49739.67724197104</v>
      </c>
      <c r="Y116" s="96">
        <f t="shared" si="158"/>
        <v>54008.609224041669</v>
      </c>
      <c r="Z116" s="96"/>
      <c r="AA116" s="96"/>
      <c r="AB116" s="96"/>
      <c r="AC116" s="96"/>
      <c r="AD116" s="96"/>
      <c r="AE116" s="96"/>
      <c r="AF116" s="96"/>
      <c r="AG116" s="96"/>
      <c r="AH116" s="96"/>
      <c r="AI116" s="102"/>
      <c r="AJ116" s="103">
        <f t="shared" si="159"/>
        <v>103748.28646601271</v>
      </c>
      <c r="AK116" s="88">
        <f t="shared" si="160"/>
        <v>108.58254861868795</v>
      </c>
      <c r="AL116" s="96">
        <f>(+'[24]PF resc'!R122)*1000</f>
        <v>35655.622341986258</v>
      </c>
      <c r="AM116" s="90">
        <f t="shared" si="161"/>
        <v>151.47291135749961</v>
      </c>
      <c r="AN116" s="3"/>
      <c r="AO116" s="91">
        <f t="shared" si="162"/>
        <v>5961.1400787389575</v>
      </c>
      <c r="AP116" s="96">
        <f t="shared" si="162"/>
        <v>6074.0540648383303</v>
      </c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102">
        <f t="shared" si="163"/>
        <v>12035.194143577288</v>
      </c>
      <c r="BB116" s="89">
        <f t="shared" si="164"/>
        <v>101.89416763585362</v>
      </c>
      <c r="BC116" s="96">
        <f>(+'[24]PF resc'!AF122)*1000</f>
        <v>3591.0725859017534</v>
      </c>
      <c r="BD116" s="90">
        <f t="shared" si="165"/>
        <v>169.14317156062376</v>
      </c>
      <c r="BF116" s="91">
        <v>13751.737099</v>
      </c>
      <c r="BG116" s="102">
        <v>13194.995658</v>
      </c>
      <c r="BH116" s="102">
        <v>11675.637224</v>
      </c>
      <c r="BI116" s="102">
        <v>3068.7294630000001</v>
      </c>
      <c r="BJ116" s="102">
        <v>7873.9074220000002</v>
      </c>
      <c r="BK116" s="102">
        <v>4955.2122419999996</v>
      </c>
      <c r="BL116" s="102">
        <v>24162.856177190002</v>
      </c>
      <c r="BM116" s="102">
        <v>21813.842964285548</v>
      </c>
      <c r="BN116" s="102">
        <v>22376.277245430003</v>
      </c>
      <c r="BO116" s="102">
        <v>61572.621346056665</v>
      </c>
      <c r="BP116" s="102">
        <v>46639.167359660001</v>
      </c>
      <c r="BQ116" s="102">
        <v>90961.84410083</v>
      </c>
      <c r="BR116" s="102">
        <v>10642.249913330001</v>
      </c>
      <c r="BS116" s="94">
        <f t="shared" si="166"/>
        <v>26946.732756999998</v>
      </c>
      <c r="BU116" s="83">
        <v>12934.374149325437</v>
      </c>
      <c r="BV116" s="96">
        <v>12426.295372785686</v>
      </c>
      <c r="BW116" s="96">
        <v>10991.983628168366</v>
      </c>
      <c r="BX116" s="96">
        <v>2889.3561129712366</v>
      </c>
      <c r="BY116" s="96">
        <v>7429.0551580392166</v>
      </c>
      <c r="BZ116" s="96">
        <v>4570.0076810375995</v>
      </c>
      <c r="CA116" s="96">
        <v>22196.232295788865</v>
      </c>
      <c r="CB116" s="96">
        <v>20060.366274618631</v>
      </c>
      <c r="CC116" s="96">
        <v>20360.708298604834</v>
      </c>
      <c r="CD116" s="96">
        <v>55460.218847127333</v>
      </c>
      <c r="CE116" s="96">
        <v>41688.934763527192</v>
      </c>
      <c r="CF116" s="102">
        <v>80401.259320206707</v>
      </c>
      <c r="CG116" s="96">
        <v>9380.65677871357</v>
      </c>
      <c r="CH116" s="105">
        <v>300789.44868091471</v>
      </c>
      <c r="CJ116" s="83">
        <v>817.36294967456388</v>
      </c>
      <c r="CK116" s="96">
        <v>768.70028521431311</v>
      </c>
      <c r="CL116" s="96">
        <v>683.65359583163331</v>
      </c>
      <c r="CM116" s="96">
        <v>179.37335002876335</v>
      </c>
      <c r="CN116" s="96">
        <v>444.85226396078377</v>
      </c>
      <c r="CO116" s="96">
        <v>385.20456096240105</v>
      </c>
      <c r="CP116" s="96">
        <v>1966.6238814011372</v>
      </c>
      <c r="CQ116" s="96">
        <v>1753.4766896669191</v>
      </c>
      <c r="CR116" s="96">
        <v>2015.5689468251717</v>
      </c>
      <c r="CS116" s="96">
        <v>6112.4024989293339</v>
      </c>
      <c r="CT116" s="96">
        <v>4950.2325961328079</v>
      </c>
      <c r="CU116" s="96">
        <v>10560.584780623301</v>
      </c>
      <c r="CV116" s="96">
        <v>1261.5931346164302</v>
      </c>
      <c r="CW116" s="106">
        <v>31899.629533867555</v>
      </c>
      <c r="CY116" s="91">
        <v>9446.3462500000005</v>
      </c>
      <c r="CZ116" s="102">
        <v>9221.7064169999994</v>
      </c>
      <c r="DA116" s="102">
        <v>-14542.252995999999</v>
      </c>
      <c r="DB116" s="102">
        <v>9475.2455019999998</v>
      </c>
      <c r="DC116" s="102">
        <v>18908.627753000001</v>
      </c>
      <c r="DD116" s="102">
        <v>10897.581086</v>
      </c>
      <c r="DE116" s="102">
        <v>17282.034089000001</v>
      </c>
      <c r="DF116" s="102">
        <v>15821.652586</v>
      </c>
      <c r="DG116" s="102">
        <v>14094.140834</v>
      </c>
      <c r="DH116" s="102">
        <v>14408.348802</v>
      </c>
      <c r="DI116" s="102">
        <v>12960.608206000001</v>
      </c>
      <c r="DJ116" s="102">
        <v>16010.532810999999</v>
      </c>
      <c r="DK116" s="94">
        <f t="shared" si="167"/>
        <v>133984.57134000002</v>
      </c>
    </row>
    <row r="117" spans="1:115" ht="14.45" customHeight="1" outlineLevel="1">
      <c r="A117" s="123"/>
      <c r="B117" s="13" t="s">
        <v>95</v>
      </c>
      <c r="C117" s="14"/>
      <c r="D117" s="91">
        <f>SUM([24]Mar!Q249:Q250)</f>
        <v>1226.5725963899999</v>
      </c>
      <c r="E117" s="96">
        <f>SUM([24]Apr!N251:N252)</f>
        <v>2199.1721453999999</v>
      </c>
      <c r="F117" s="96"/>
      <c r="G117" s="96"/>
      <c r="H117" s="102"/>
      <c r="I117" s="102"/>
      <c r="J117" s="102"/>
      <c r="K117" s="96"/>
      <c r="L117" s="96"/>
      <c r="M117" s="96"/>
      <c r="N117" s="96"/>
      <c r="O117" s="96"/>
      <c r="P117" s="100">
        <f t="shared" si="152"/>
        <v>3425.7447417899998</v>
      </c>
      <c r="Q117" s="101">
        <f t="shared" si="153"/>
        <v>1172.1761200000001</v>
      </c>
      <c r="R117" s="89">
        <f t="shared" si="154"/>
        <v>179.29408759599852</v>
      </c>
      <c r="S117" s="89">
        <f t="shared" si="155"/>
        <v>455.23660011007541</v>
      </c>
      <c r="T117" s="89">
        <f t="shared" si="156"/>
        <v>709.14157054939926</v>
      </c>
      <c r="U117" s="96">
        <f>(+'[24]PF resc'!D123)*1000</f>
        <v>1757.133137503944</v>
      </c>
      <c r="V117" s="90">
        <f t="shared" si="157"/>
        <v>125.15683066133421</v>
      </c>
      <c r="W117" s="3"/>
      <c r="X117" s="91">
        <f t="shared" si="158"/>
        <v>1095.3039469243347</v>
      </c>
      <c r="Y117" s="96">
        <f t="shared" si="158"/>
        <v>1976.8469391284204</v>
      </c>
      <c r="Z117" s="96"/>
      <c r="AA117" s="96"/>
      <c r="AB117" s="96"/>
      <c r="AC117" s="96"/>
      <c r="AD117" s="96"/>
      <c r="AE117" s="96"/>
      <c r="AF117" s="96"/>
      <c r="AG117" s="96"/>
      <c r="AH117" s="96"/>
      <c r="AI117" s="102"/>
      <c r="AJ117" s="103">
        <f t="shared" si="159"/>
        <v>3072.1508860527551</v>
      </c>
      <c r="AK117" s="88">
        <f t="shared" si="160"/>
        <v>180.48386885480511</v>
      </c>
      <c r="AL117" s="96">
        <f>(+'[24]PF resc'!R123)*1000</f>
        <v>1596.3554554223331</v>
      </c>
      <c r="AM117" s="90">
        <f t="shared" si="161"/>
        <v>123.83501007959561</v>
      </c>
      <c r="AN117" s="3"/>
      <c r="AO117" s="91">
        <f t="shared" si="162"/>
        <v>131.26864946566516</v>
      </c>
      <c r="AP117" s="96">
        <f t="shared" si="162"/>
        <v>222.32520627157948</v>
      </c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102">
        <f t="shared" si="163"/>
        <v>353.59385573724467</v>
      </c>
      <c r="BB117" s="89">
        <f t="shared" si="164"/>
        <v>169.36656785650194</v>
      </c>
      <c r="BC117" s="96">
        <f>(+'[24]PF resc'!AF123)*1000</f>
        <v>160.77768208161089</v>
      </c>
      <c r="BD117" s="90">
        <f t="shared" si="165"/>
        <v>138.28113665597382</v>
      </c>
      <c r="BF117" s="91">
        <v>689.09278600000005</v>
      </c>
      <c r="BG117" s="102">
        <v>483.08333399999998</v>
      </c>
      <c r="BH117" s="102">
        <v>1693.4277850000001</v>
      </c>
      <c r="BI117" s="102">
        <v>391.47778099999999</v>
      </c>
      <c r="BJ117" s="102">
        <v>1012.532781</v>
      </c>
      <c r="BK117" s="102">
        <v>805.48056599999995</v>
      </c>
      <c r="BL117" s="102">
        <v>60</v>
      </c>
      <c r="BM117" s="102">
        <v>70.944443939999999</v>
      </c>
      <c r="BN117" s="102">
        <v>19.055555770000002</v>
      </c>
      <c r="BO117" s="102">
        <v>596.50001193000003</v>
      </c>
      <c r="BP117" s="102">
        <v>3833.6666305799999</v>
      </c>
      <c r="BQ117" s="102">
        <v>2753.5000191099998</v>
      </c>
      <c r="BR117" s="102">
        <v>282.33333898000001</v>
      </c>
      <c r="BS117" s="94">
        <f t="shared" si="166"/>
        <v>1172.1761200000001</v>
      </c>
      <c r="BU117" s="83">
        <v>648.13513038823146</v>
      </c>
      <c r="BV117" s="96">
        <v>454.94036932968288</v>
      </c>
      <c r="BW117" s="96">
        <v>1594.2710561392671</v>
      </c>
      <c r="BX117" s="96">
        <v>368.59512487587602</v>
      </c>
      <c r="BY117" s="96">
        <v>955.3277015112767</v>
      </c>
      <c r="BZ117" s="96">
        <v>742.86472380460202</v>
      </c>
      <c r="CA117" s="96">
        <v>55.116577609088324</v>
      </c>
      <c r="CB117" s="96">
        <v>65.241669380109613</v>
      </c>
      <c r="CC117" s="96">
        <v>17.339104635021712</v>
      </c>
      <c r="CD117" s="96">
        <v>537.28459956286326</v>
      </c>
      <c r="CE117" s="96">
        <v>3426.7652515082509</v>
      </c>
      <c r="CF117" s="102">
        <v>2433.8212495918069</v>
      </c>
      <c r="CG117" s="96">
        <v>248.8639311920515</v>
      </c>
      <c r="CH117" s="105">
        <v>11548.56648952813</v>
      </c>
      <c r="CJ117" s="83">
        <v>40.957655611768544</v>
      </c>
      <c r="CK117" s="96">
        <v>28.142964670317077</v>
      </c>
      <c r="CL117" s="96">
        <v>99.156728860732883</v>
      </c>
      <c r="CM117" s="96">
        <v>22.882656124123951</v>
      </c>
      <c r="CN117" s="96">
        <v>57.205079488723314</v>
      </c>
      <c r="CO117" s="96">
        <v>62.615842195397995</v>
      </c>
      <c r="CP117" s="96">
        <v>4.8834223909116794</v>
      </c>
      <c r="CQ117" s="96">
        <v>5.7027745598903863</v>
      </c>
      <c r="CR117" s="96">
        <v>1.7164511349782907</v>
      </c>
      <c r="CS117" s="96">
        <v>59.215412367136707</v>
      </c>
      <c r="CT117" s="96">
        <v>406.90137907174881</v>
      </c>
      <c r="CU117" s="96">
        <v>319.67876951819295</v>
      </c>
      <c r="CV117" s="96">
        <v>33.469407787948505</v>
      </c>
      <c r="CW117" s="106">
        <v>1142.5285437818711</v>
      </c>
      <c r="CY117" s="91">
        <v>3.3333330000000001</v>
      </c>
      <c r="CZ117" s="102">
        <v>299</v>
      </c>
      <c r="DA117" s="102">
        <v>53.333334000000001</v>
      </c>
      <c r="DB117" s="102">
        <v>35.000000999999997</v>
      </c>
      <c r="DC117" s="102">
        <v>12.5</v>
      </c>
      <c r="DD117" s="102">
        <v>45.000000999999997</v>
      </c>
      <c r="DE117" s="102">
        <v>476.83333699999997</v>
      </c>
      <c r="DF117" s="102">
        <v>265</v>
      </c>
      <c r="DG117" s="102">
        <v>593.91666799999996</v>
      </c>
      <c r="DH117" s="102">
        <v>801.91110800000001</v>
      </c>
      <c r="DI117" s="102">
        <v>-10.061105</v>
      </c>
      <c r="DJ117" s="102">
        <v>376.33333900000002</v>
      </c>
      <c r="DK117" s="94">
        <f t="shared" si="167"/>
        <v>2952.1000160000003</v>
      </c>
    </row>
    <row r="118" spans="1:115" ht="14.45" customHeight="1" outlineLevel="1">
      <c r="A118" s="123"/>
      <c r="B118" s="13" t="s">
        <v>96</v>
      </c>
      <c r="C118" s="14"/>
      <c r="D118" s="91">
        <f>[24]Mar!Q252</f>
        <v>-6558.22154108</v>
      </c>
      <c r="E118" s="96">
        <f>[24]Apr!N254</f>
        <v>16066.664530550001</v>
      </c>
      <c r="F118" s="96"/>
      <c r="G118" s="96"/>
      <c r="H118" s="102"/>
      <c r="I118" s="102"/>
      <c r="J118" s="102"/>
      <c r="K118" s="96"/>
      <c r="L118" s="96"/>
      <c r="M118" s="96"/>
      <c r="N118" s="96"/>
      <c r="O118" s="96"/>
      <c r="P118" s="100">
        <f t="shared" si="152"/>
        <v>9508.4429894700006</v>
      </c>
      <c r="Q118" s="101">
        <f t="shared" si="153"/>
        <v>14201.050221</v>
      </c>
      <c r="R118" s="89">
        <f t="shared" si="154"/>
        <v>444.98508368328407</v>
      </c>
      <c r="S118" s="89">
        <f t="shared" si="155"/>
        <v>193.45608595961409</v>
      </c>
      <c r="T118" s="89">
        <f t="shared" si="156"/>
        <v>114.48961051096454</v>
      </c>
      <c r="U118" s="96">
        <f>(+'[24]PF resc'!D124)*1000</f>
        <v>12692.385286322793</v>
      </c>
      <c r="V118" s="90">
        <f t="shared" si="157"/>
        <v>126.58506788210488</v>
      </c>
      <c r="W118" s="3"/>
      <c r="X118" s="91">
        <f t="shared" si="158"/>
        <v>-5856.356125915876</v>
      </c>
      <c r="Y118" s="96">
        <f t="shared" si="158"/>
        <v>14442.405823325835</v>
      </c>
      <c r="Z118" s="96"/>
      <c r="AA118" s="96"/>
      <c r="AB118" s="96"/>
      <c r="AC118" s="96"/>
      <c r="AD118" s="96"/>
      <c r="AE118" s="96"/>
      <c r="AF118" s="96"/>
      <c r="AG118" s="96"/>
      <c r="AH118" s="96"/>
      <c r="AI118" s="102"/>
      <c r="AJ118" s="103">
        <f t="shared" si="159"/>
        <v>8586.0496974099588</v>
      </c>
      <c r="AK118" s="88">
        <f t="shared" si="160"/>
        <v>446.61078515041959</v>
      </c>
      <c r="AL118" s="96">
        <f>(+'[24]PF resc'!R124)*1000</f>
        <v>11531.032032624256</v>
      </c>
      <c r="AM118" s="90">
        <f t="shared" si="161"/>
        <v>125.24816323868109</v>
      </c>
      <c r="AN118" s="3"/>
      <c r="AO118" s="91">
        <f t="shared" si="162"/>
        <v>-701.8654151641241</v>
      </c>
      <c r="AP118" s="96">
        <f t="shared" si="162"/>
        <v>1624.2587072241654</v>
      </c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102">
        <f t="shared" si="163"/>
        <v>922.39329206004129</v>
      </c>
      <c r="BB118" s="89">
        <f t="shared" si="164"/>
        <v>431.42025125206499</v>
      </c>
      <c r="BC118" s="96">
        <f>(+'[24]PF resc'!AF124)*1000</f>
        <v>1161.3532536985356</v>
      </c>
      <c r="BD118" s="90">
        <f t="shared" si="165"/>
        <v>139.8591429482309</v>
      </c>
      <c r="BF118" s="91">
        <v>5895.9796150000002</v>
      </c>
      <c r="BG118" s="102">
        <v>8305.0706059999993</v>
      </c>
      <c r="BH118" s="102">
        <v>8152.4200790000004</v>
      </c>
      <c r="BI118" s="102">
        <v>7844.8755138888882</v>
      </c>
      <c r="BJ118" s="102">
        <v>9303.2967659999995</v>
      </c>
      <c r="BK118" s="102">
        <v>8745.5684079999992</v>
      </c>
      <c r="BL118" s="102">
        <v>12900.251326261112</v>
      </c>
      <c r="BM118" s="102">
        <v>12746.656921600001</v>
      </c>
      <c r="BN118" s="102">
        <v>8709.1079378699997</v>
      </c>
      <c r="BO118" s="102">
        <v>7303.46681274</v>
      </c>
      <c r="BP118" s="102">
        <v>7997.62071268</v>
      </c>
      <c r="BQ118" s="102">
        <v>7969.3073793000003</v>
      </c>
      <c r="BR118" s="102">
        <v>11636.640994740001</v>
      </c>
      <c r="BS118" s="94">
        <f t="shared" si="166"/>
        <v>14201.050221</v>
      </c>
      <c r="BU118" s="83">
        <v>5545.5398665781122</v>
      </c>
      <c r="BV118" s="96">
        <v>7821.2424707715809</v>
      </c>
      <c r="BW118" s="96">
        <v>7675.0644370927794</v>
      </c>
      <c r="BX118" s="96">
        <v>7386.3269130913386</v>
      </c>
      <c r="BY118" s="96">
        <v>8777.6882711514627</v>
      </c>
      <c r="BZ118" s="96">
        <v>8065.7119912725157</v>
      </c>
      <c r="CA118" s="96">
        <v>11850.29505667692</v>
      </c>
      <c r="CB118" s="96">
        <v>11722.03389576265</v>
      </c>
      <c r="CC118" s="96">
        <v>7924.6250088472798</v>
      </c>
      <c r="CD118" s="96">
        <v>6578.4411792504088</v>
      </c>
      <c r="CE118" s="96">
        <v>7148.7615887999618</v>
      </c>
      <c r="CF118" s="102">
        <v>7044.0782675347018</v>
      </c>
      <c r="CG118" s="96">
        <v>10257.167057506887</v>
      </c>
      <c r="CH118" s="105">
        <v>107796.97600433658</v>
      </c>
      <c r="CJ118" s="83">
        <v>350.43974842188766</v>
      </c>
      <c r="CK118" s="96">
        <v>483.82813522841764</v>
      </c>
      <c r="CL118" s="96">
        <v>477.3556419072205</v>
      </c>
      <c r="CM118" s="96">
        <v>458.54860079754974</v>
      </c>
      <c r="CN118" s="96">
        <v>525.60849484853622</v>
      </c>
      <c r="CO118" s="96">
        <v>679.85641672748443</v>
      </c>
      <c r="CP118" s="96">
        <v>1049.9562695841933</v>
      </c>
      <c r="CQ118" s="96">
        <v>1024.6230258373521</v>
      </c>
      <c r="CR118" s="96">
        <v>784.48292902272044</v>
      </c>
      <c r="CS118" s="96">
        <v>725.02563348959075</v>
      </c>
      <c r="CT118" s="96">
        <v>848.8591238800376</v>
      </c>
      <c r="CU118" s="96">
        <v>925.22911176529908</v>
      </c>
      <c r="CV118" s="96">
        <v>1379.4739372331132</v>
      </c>
      <c r="CW118" s="106">
        <v>9713.2870687434024</v>
      </c>
      <c r="CY118" s="91">
        <v>5241.9154189999999</v>
      </c>
      <c r="CZ118" s="102">
        <v>8614.4030000000002</v>
      </c>
      <c r="DA118" s="102">
        <v>2570.4692500000001</v>
      </c>
      <c r="DB118" s="102">
        <v>5794.2852519999997</v>
      </c>
      <c r="DC118" s="102">
        <v>12985.308499999999</v>
      </c>
      <c r="DD118" s="102">
        <v>7431.4743340000005</v>
      </c>
      <c r="DE118" s="102">
        <v>5723.0785839999999</v>
      </c>
      <c r="DF118" s="102">
        <v>7706.4301670000004</v>
      </c>
      <c r="DG118" s="102">
        <v>3228.1017499999998</v>
      </c>
      <c r="DH118" s="102">
        <v>5877.5948639999997</v>
      </c>
      <c r="DI118" s="102">
        <v>6953.8722710000002</v>
      </c>
      <c r="DJ118" s="102">
        <v>10505.202809</v>
      </c>
      <c r="DK118" s="94">
        <f t="shared" si="167"/>
        <v>82632.136199999994</v>
      </c>
    </row>
    <row r="119" spans="1:115" ht="14.45" customHeight="1" outlineLevel="1">
      <c r="A119" s="123"/>
      <c r="B119" s="13" t="s">
        <v>97</v>
      </c>
      <c r="C119" s="14"/>
      <c r="D119" s="91">
        <f>SUM([24]Mar!Q253:Q254)</f>
        <v>2347.6282780000001</v>
      </c>
      <c r="E119" s="96">
        <f>SUM([24]Apr!N255:N256)</f>
        <v>2072.4402550599998</v>
      </c>
      <c r="F119" s="96"/>
      <c r="G119" s="96"/>
      <c r="H119" s="102"/>
      <c r="I119" s="102"/>
      <c r="J119" s="102"/>
      <c r="K119" s="96"/>
      <c r="L119" s="96"/>
      <c r="M119" s="96"/>
      <c r="N119" s="96"/>
      <c r="O119" s="96"/>
      <c r="P119" s="100">
        <f t="shared" si="152"/>
        <v>4420.0685330599999</v>
      </c>
      <c r="Q119" s="101">
        <f t="shared" si="153"/>
        <v>14754.597018999999</v>
      </c>
      <c r="R119" s="89">
        <f t="shared" si="154"/>
        <v>88.278041054504612</v>
      </c>
      <c r="S119" s="89">
        <f t="shared" si="155"/>
        <v>1200.2183724547913</v>
      </c>
      <c r="T119" s="89">
        <f t="shared" si="156"/>
        <v>2333.2502799449412</v>
      </c>
      <c r="U119" s="96">
        <f>(+'[24]PF resc'!D125)*1000</f>
        <v>10887.878950336231</v>
      </c>
      <c r="V119" s="90">
        <f t="shared" si="157"/>
        <v>19.034380015732999</v>
      </c>
      <c r="W119" s="3"/>
      <c r="X119" s="91">
        <f t="shared" si="158"/>
        <v>2096.3834724275789</v>
      </c>
      <c r="Y119" s="96">
        <f t="shared" si="158"/>
        <v>1862.92700337777</v>
      </c>
      <c r="Z119" s="96"/>
      <c r="AA119" s="96"/>
      <c r="AB119" s="96"/>
      <c r="AC119" s="96"/>
      <c r="AD119" s="96"/>
      <c r="AE119" s="96"/>
      <c r="AF119" s="96"/>
      <c r="AG119" s="96"/>
      <c r="AH119" s="96"/>
      <c r="AI119" s="102"/>
      <c r="AJ119" s="103">
        <f t="shared" si="159"/>
        <v>3959.3104758053487</v>
      </c>
      <c r="AK119" s="88">
        <f t="shared" si="160"/>
        <v>88.86384709093943</v>
      </c>
      <c r="AL119" s="96">
        <f>(+'[24]PF resc'!R125)*1000</f>
        <v>9891.6380263804658</v>
      </c>
      <c r="AM119" s="90">
        <f t="shared" si="161"/>
        <v>18.833351952522371</v>
      </c>
      <c r="AN119" s="3"/>
      <c r="AO119" s="91">
        <f t="shared" si="162"/>
        <v>251.24480557242103</v>
      </c>
      <c r="AP119" s="96">
        <f t="shared" si="162"/>
        <v>209.51325168222971</v>
      </c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102">
        <f t="shared" si="163"/>
        <v>460.75805725465074</v>
      </c>
      <c r="BB119" s="89">
        <f t="shared" si="164"/>
        <v>83.390082913311318</v>
      </c>
      <c r="BC119" s="96">
        <f>(+'[24]PF resc'!AF125)*1000</f>
        <v>996.24092395576508</v>
      </c>
      <c r="BD119" s="90">
        <f t="shared" si="165"/>
        <v>21.030379965753387</v>
      </c>
      <c r="BF119" s="91">
        <v>14961.795797999999</v>
      </c>
      <c r="BG119" s="102">
        <v>-207.198779</v>
      </c>
      <c r="BH119" s="102">
        <v>8568.3995219999997</v>
      </c>
      <c r="BI119" s="102">
        <v>6155.6029060000001</v>
      </c>
      <c r="BJ119" s="102">
        <v>1438.0340080000001</v>
      </c>
      <c r="BK119" s="102">
        <v>1953.1908330000001</v>
      </c>
      <c r="BL119" s="102">
        <v>24832.565548226667</v>
      </c>
      <c r="BM119" s="102">
        <v>6965.3328961433335</v>
      </c>
      <c r="BN119" s="102">
        <v>955.39728089666687</v>
      </c>
      <c r="BO119" s="102">
        <v>8912.0500893000008</v>
      </c>
      <c r="BP119" s="102">
        <v>11218.085623319999</v>
      </c>
      <c r="BQ119" s="102">
        <v>-1934.04927172</v>
      </c>
      <c r="BR119" s="102">
        <v>4254.2755130100004</v>
      </c>
      <c r="BS119" s="94">
        <f t="shared" si="166"/>
        <v>14754.597018999999</v>
      </c>
      <c r="BU119" s="83">
        <v>14072.510505688015</v>
      </c>
      <c r="BV119" s="96">
        <v>-195.12800878972021</v>
      </c>
      <c r="BW119" s="96">
        <v>8066.6866791500825</v>
      </c>
      <c r="BX119" s="96">
        <v>5795.7956541686217</v>
      </c>
      <c r="BY119" s="96">
        <v>1356.7893794025113</v>
      </c>
      <c r="BZ119" s="96">
        <v>1801.3551536068044</v>
      </c>
      <c r="CA119" s="96">
        <v>22811.433771193468</v>
      </c>
      <c r="CB119" s="96">
        <v>6405.4338958088219</v>
      </c>
      <c r="CC119" s="96">
        <v>869.33877035288049</v>
      </c>
      <c r="CD119" s="96">
        <v>8027.3380850755866</v>
      </c>
      <c r="CE119" s="96">
        <v>10027.409711579787</v>
      </c>
      <c r="CF119" s="102">
        <v>-1709.5079653535493</v>
      </c>
      <c r="CG119" s="96">
        <v>3749.9493767427493</v>
      </c>
      <c r="CH119" s="105">
        <v>81079.405008626054</v>
      </c>
      <c r="CJ119" s="83">
        <v>889.28529231198434</v>
      </c>
      <c r="CK119" s="96">
        <v>-12.070770210279779</v>
      </c>
      <c r="CL119" s="96">
        <v>501.71284284991651</v>
      </c>
      <c r="CM119" s="96">
        <v>359.80725183137815</v>
      </c>
      <c r="CN119" s="96">
        <v>81.244628597488713</v>
      </c>
      <c r="CO119" s="96">
        <v>151.8356793931959</v>
      </c>
      <c r="CP119" s="96">
        <v>2021.1317770332009</v>
      </c>
      <c r="CQ119" s="96">
        <v>559.89900033451204</v>
      </c>
      <c r="CR119" s="96">
        <v>86.058510543786497</v>
      </c>
      <c r="CS119" s="96">
        <v>884.71200422441382</v>
      </c>
      <c r="CT119" s="96">
        <v>1190.6759117402116</v>
      </c>
      <c r="CU119" s="96">
        <v>-224.54130636645087</v>
      </c>
      <c r="CV119" s="96">
        <v>504.32613626725123</v>
      </c>
      <c r="CW119" s="106">
        <v>6994.0769585506096</v>
      </c>
      <c r="CY119" s="91">
        <v>12219.23875</v>
      </c>
      <c r="CZ119" s="102">
        <v>35557.166584999999</v>
      </c>
      <c r="DA119" s="102">
        <v>3293.5511780000002</v>
      </c>
      <c r="DB119" s="102">
        <v>16029.015834</v>
      </c>
      <c r="DC119" s="102">
        <v>-3755.4106660000002</v>
      </c>
      <c r="DD119" s="102">
        <v>7451.2531669999998</v>
      </c>
      <c r="DE119" s="102">
        <v>13101.008001</v>
      </c>
      <c r="DF119" s="102">
        <v>2232.3169189999999</v>
      </c>
      <c r="DG119" s="102">
        <v>8225.3129179999996</v>
      </c>
      <c r="DH119" s="102">
        <v>25455.608495999997</v>
      </c>
      <c r="DI119" s="102">
        <v>-965.35230799999999</v>
      </c>
      <c r="DJ119" s="102">
        <v>5894.6719679999997</v>
      </c>
      <c r="DK119" s="94">
        <f t="shared" si="167"/>
        <v>124738.38084199998</v>
      </c>
    </row>
    <row r="120" spans="1:115" ht="14.45" customHeight="1" outlineLevel="1">
      <c r="A120" s="123"/>
      <c r="B120" s="13" t="s">
        <v>98</v>
      </c>
      <c r="C120" s="14"/>
      <c r="D120" s="91">
        <f>SUM([24]Mar!Q255:Q256)</f>
        <v>43.640675049999999</v>
      </c>
      <c r="E120" s="96">
        <f>SUM([24]Apr!N257:N258)</f>
        <v>0</v>
      </c>
      <c r="F120" s="96"/>
      <c r="G120" s="96"/>
      <c r="H120" s="102"/>
      <c r="I120" s="102"/>
      <c r="J120" s="102"/>
      <c r="K120" s="96"/>
      <c r="L120" s="96"/>
      <c r="M120" s="96"/>
      <c r="N120" s="96"/>
      <c r="O120" s="96"/>
      <c r="P120" s="100">
        <f t="shared" si="152"/>
        <v>43.640675049999999</v>
      </c>
      <c r="Q120" s="101">
        <f t="shared" si="153"/>
        <v>0</v>
      </c>
      <c r="R120" s="89">
        <f t="shared" si="154"/>
        <v>0</v>
      </c>
      <c r="S120" s="89">
        <f t="shared" si="155"/>
        <v>0</v>
      </c>
      <c r="T120" s="89">
        <f t="shared" si="156"/>
        <v>0</v>
      </c>
      <c r="U120" s="96">
        <f>(+'[24]PF resc'!D126)*1000</f>
        <v>0</v>
      </c>
      <c r="V120" s="90">
        <f t="shared" si="157"/>
        <v>0</v>
      </c>
      <c r="W120" s="3"/>
      <c r="X120" s="91">
        <f t="shared" si="158"/>
        <v>38.970219756571957</v>
      </c>
      <c r="Y120" s="96">
        <f t="shared" si="158"/>
        <v>0</v>
      </c>
      <c r="Z120" s="96"/>
      <c r="AA120" s="96"/>
      <c r="AB120" s="96"/>
      <c r="AC120" s="96"/>
      <c r="AD120" s="96"/>
      <c r="AE120" s="96"/>
      <c r="AF120" s="96"/>
      <c r="AG120" s="96"/>
      <c r="AH120" s="96"/>
      <c r="AI120" s="102"/>
      <c r="AJ120" s="103">
        <f t="shared" si="159"/>
        <v>38.970219756571957</v>
      </c>
      <c r="AK120" s="88">
        <f t="shared" si="160"/>
        <v>0</v>
      </c>
      <c r="AL120" s="96">
        <f>(+'[24]PF resc'!R126)*1000</f>
        <v>0</v>
      </c>
      <c r="AM120" s="90">
        <f t="shared" si="161"/>
        <v>0</v>
      </c>
      <c r="AN120" s="3"/>
      <c r="AO120" s="91">
        <f t="shared" si="162"/>
        <v>4.6704552934280397</v>
      </c>
      <c r="AP120" s="96">
        <f t="shared" si="162"/>
        <v>0</v>
      </c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102">
        <f t="shared" si="163"/>
        <v>4.6704552934280397</v>
      </c>
      <c r="BB120" s="89">
        <f t="shared" si="164"/>
        <v>0</v>
      </c>
      <c r="BC120" s="96">
        <f>(+'[24]PF resc'!AF126)*1000</f>
        <v>0</v>
      </c>
      <c r="BD120" s="90">
        <f t="shared" si="165"/>
        <v>0</v>
      </c>
      <c r="BF120" s="91">
        <v>0</v>
      </c>
      <c r="BG120" s="102">
        <v>0</v>
      </c>
      <c r="BH120" s="102">
        <v>0</v>
      </c>
      <c r="BI120" s="102">
        <v>0</v>
      </c>
      <c r="BJ120" s="102">
        <v>0</v>
      </c>
      <c r="BK120" s="102">
        <v>0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 s="102">
        <v>0</v>
      </c>
      <c r="BR120" s="102">
        <v>0</v>
      </c>
      <c r="BS120" s="94">
        <f t="shared" si="166"/>
        <v>0</v>
      </c>
      <c r="BU120" s="83">
        <v>0</v>
      </c>
      <c r="BV120" s="96">
        <v>0</v>
      </c>
      <c r="BW120" s="96">
        <v>0</v>
      </c>
      <c r="BX120" s="96">
        <v>0</v>
      </c>
      <c r="BY120" s="96">
        <v>0</v>
      </c>
      <c r="BZ120" s="96">
        <v>0</v>
      </c>
      <c r="CA120" s="96">
        <v>0</v>
      </c>
      <c r="CB120" s="96">
        <v>0</v>
      </c>
      <c r="CC120" s="96">
        <v>0</v>
      </c>
      <c r="CD120" s="96">
        <v>0</v>
      </c>
      <c r="CE120" s="96">
        <v>0</v>
      </c>
      <c r="CF120" s="102">
        <v>0</v>
      </c>
      <c r="CG120" s="96">
        <v>0</v>
      </c>
      <c r="CH120" s="105">
        <v>0</v>
      </c>
      <c r="CJ120" s="83">
        <v>0</v>
      </c>
      <c r="CK120" s="96">
        <v>0</v>
      </c>
      <c r="CL120" s="96">
        <v>0</v>
      </c>
      <c r="CM120" s="96">
        <v>0</v>
      </c>
      <c r="CN120" s="96">
        <v>0</v>
      </c>
      <c r="CO120" s="96">
        <v>0</v>
      </c>
      <c r="CP120" s="96">
        <v>0</v>
      </c>
      <c r="CQ120" s="96">
        <v>0</v>
      </c>
      <c r="CR120" s="96">
        <v>0</v>
      </c>
      <c r="CS120" s="96">
        <v>0</v>
      </c>
      <c r="CT120" s="96">
        <v>0</v>
      </c>
      <c r="CU120" s="96">
        <v>0</v>
      </c>
      <c r="CV120" s="96">
        <v>0</v>
      </c>
      <c r="CW120" s="106">
        <v>0</v>
      </c>
      <c r="CY120" s="91">
        <v>0</v>
      </c>
      <c r="CZ120" s="102">
        <v>0</v>
      </c>
      <c r="DA120" s="102">
        <v>0</v>
      </c>
      <c r="DB120" s="102">
        <v>0</v>
      </c>
      <c r="DC120" s="102">
        <v>0</v>
      </c>
      <c r="DD120" s="102">
        <v>0</v>
      </c>
      <c r="DE120" s="102">
        <v>0</v>
      </c>
      <c r="DF120" s="102">
        <v>0</v>
      </c>
      <c r="DG120" s="102">
        <v>0</v>
      </c>
      <c r="DH120" s="102">
        <v>0</v>
      </c>
      <c r="DI120" s="102">
        <v>0</v>
      </c>
      <c r="DJ120" s="102">
        <v>0</v>
      </c>
      <c r="DK120" s="94">
        <f t="shared" si="167"/>
        <v>0</v>
      </c>
    </row>
    <row r="121" spans="1:115" ht="14.45" customHeight="1" outlineLevel="1">
      <c r="A121" s="123"/>
      <c r="B121" s="13" t="s">
        <v>121</v>
      </c>
      <c r="C121" s="14"/>
      <c r="D121" s="91">
        <f>SUM([24]Mar!Q257:Q258)</f>
        <v>6037.4653171199998</v>
      </c>
      <c r="E121" s="96">
        <f>SUM([24]Apr!N259:N260)</f>
        <v>3272.626769</v>
      </c>
      <c r="F121" s="96"/>
      <c r="G121" s="96"/>
      <c r="H121" s="102"/>
      <c r="I121" s="102"/>
      <c r="J121" s="102"/>
      <c r="K121" s="96"/>
      <c r="L121" s="96"/>
      <c r="M121" s="96"/>
      <c r="N121" s="96"/>
      <c r="O121" s="96"/>
      <c r="P121" s="100">
        <f t="shared" si="152"/>
        <v>9310.0920861199993</v>
      </c>
      <c r="Q121" s="101">
        <f t="shared" si="153"/>
        <v>2381.2400160000002</v>
      </c>
      <c r="R121" s="89">
        <f t="shared" si="154"/>
        <v>54.205309630848753</v>
      </c>
      <c r="S121" s="89">
        <f t="shared" si="155"/>
        <v>467.06734449744653</v>
      </c>
      <c r="T121" s="89">
        <f t="shared" si="156"/>
        <v>1328.7308008604632</v>
      </c>
      <c r="U121" s="96">
        <f>(+'[24]PF resc'!D127)*1000</f>
        <v>2013.3398318695649</v>
      </c>
      <c r="V121" s="90">
        <f t="shared" si="157"/>
        <v>162.54716254041799</v>
      </c>
      <c r="W121" s="3"/>
      <c r="X121" s="91">
        <f t="shared" si="158"/>
        <v>5391.331594006766</v>
      </c>
      <c r="Y121" s="96">
        <f t="shared" si="158"/>
        <v>2941.7807172301514</v>
      </c>
      <c r="Z121" s="96"/>
      <c r="AA121" s="96"/>
      <c r="AB121" s="96"/>
      <c r="AC121" s="96"/>
      <c r="AD121" s="96"/>
      <c r="AE121" s="96"/>
      <c r="AF121" s="96"/>
      <c r="AG121" s="96"/>
      <c r="AH121" s="96"/>
      <c r="AI121" s="102"/>
      <c r="AJ121" s="103">
        <f t="shared" si="159"/>
        <v>8333.1123112369169</v>
      </c>
      <c r="AK121" s="88">
        <f t="shared" si="160"/>
        <v>54.565011740334434</v>
      </c>
      <c r="AL121" s="96">
        <f>(+'[24]PF resc'!R127)*1000</f>
        <v>1829.1192372534999</v>
      </c>
      <c r="AM121" s="90">
        <f t="shared" si="161"/>
        <v>160.83045092496866</v>
      </c>
      <c r="AN121" s="3"/>
      <c r="AO121" s="91">
        <f t="shared" si="162"/>
        <v>646.1337231132336</v>
      </c>
      <c r="AP121" s="96">
        <f t="shared" si="162"/>
        <v>330.84605176984871</v>
      </c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102">
        <f t="shared" si="163"/>
        <v>976.97977488308231</v>
      </c>
      <c r="BB121" s="89">
        <f t="shared" si="164"/>
        <v>51.203959789585006</v>
      </c>
      <c r="BC121" s="96">
        <f>(+'[24]PF resc'!AF127)*1000</f>
        <v>184.2205946160652</v>
      </c>
      <c r="BD121" s="90">
        <f t="shared" si="165"/>
        <v>179.5923265036497</v>
      </c>
      <c r="BF121" s="91">
        <v>1680.5644480000001</v>
      </c>
      <c r="BG121" s="102">
        <v>700.675568</v>
      </c>
      <c r="BH121" s="102">
        <v>177.346665</v>
      </c>
      <c r="BI121" s="102">
        <v>57.5</v>
      </c>
      <c r="BJ121" s="102">
        <v>3484.833302</v>
      </c>
      <c r="BK121" s="102">
        <v>1489.5666530000001</v>
      </c>
      <c r="BL121" s="102">
        <v>3065.3333026800001</v>
      </c>
      <c r="BM121" s="102">
        <v>1374.9999862499999</v>
      </c>
      <c r="BN121" s="102">
        <v>1374.9999862499999</v>
      </c>
      <c r="BO121" s="102">
        <v>1391.1110971999999</v>
      </c>
      <c r="BP121" s="102">
        <v>1374.9999862499999</v>
      </c>
      <c r="BQ121" s="102">
        <v>1374.9999862499999</v>
      </c>
      <c r="BR121" s="102">
        <v>5634.5555497699997</v>
      </c>
      <c r="BS121" s="94">
        <f t="shared" si="166"/>
        <v>2381.2400160000002</v>
      </c>
      <c r="BU121" s="83">
        <v>1580.6766225968099</v>
      </c>
      <c r="BV121" s="96">
        <v>659.85634206582938</v>
      </c>
      <c r="BW121" s="96">
        <v>166.96233368600764</v>
      </c>
      <c r="BX121" s="96">
        <v>54.139010459862781</v>
      </c>
      <c r="BY121" s="96">
        <v>3287.9506234471364</v>
      </c>
      <c r="BZ121" s="96">
        <v>1373.7718412803899</v>
      </c>
      <c r="CA121" s="96">
        <v>2815.8446812480875</v>
      </c>
      <c r="CB121" s="96">
        <v>1264.4724451776112</v>
      </c>
      <c r="CC121" s="96">
        <v>1251.145278705359</v>
      </c>
      <c r="CD121" s="96">
        <v>1253.0135018576802</v>
      </c>
      <c r="CE121" s="96">
        <v>1229.05892132644</v>
      </c>
      <c r="CF121" s="102">
        <v>1215.3637775551445</v>
      </c>
      <c r="CG121" s="96">
        <v>4966.6031284214905</v>
      </c>
      <c r="CH121" s="105">
        <v>21118.858507827848</v>
      </c>
      <c r="CJ121" s="83">
        <v>99.887825403190192</v>
      </c>
      <c r="CK121" s="96">
        <v>40.819225934170504</v>
      </c>
      <c r="CL121" s="96">
        <v>10.384331313992362</v>
      </c>
      <c r="CM121" s="96">
        <v>3.3609895401372145</v>
      </c>
      <c r="CN121" s="96">
        <v>196.88267855286369</v>
      </c>
      <c r="CO121" s="96">
        <v>115.79481171961035</v>
      </c>
      <c r="CP121" s="96">
        <v>249.48862143191266</v>
      </c>
      <c r="CQ121" s="96">
        <v>110.52754107238874</v>
      </c>
      <c r="CR121" s="96">
        <v>123.85470754464099</v>
      </c>
      <c r="CS121" s="96">
        <v>138.09759534231966</v>
      </c>
      <c r="CT121" s="96">
        <v>145.94106492355982</v>
      </c>
      <c r="CU121" s="96">
        <v>159.63620869485538</v>
      </c>
      <c r="CV121" s="96">
        <v>667.95242134850935</v>
      </c>
      <c r="CW121" s="106">
        <v>2062.6280228221508</v>
      </c>
      <c r="CY121" s="91">
        <v>2150.4562500000002</v>
      </c>
      <c r="CZ121" s="102">
        <v>1351.6287500000001</v>
      </c>
      <c r="DA121" s="102">
        <v>170.375</v>
      </c>
      <c r="DB121" s="102">
        <v>3764.65625</v>
      </c>
      <c r="DC121" s="102">
        <v>2466.4312500000001</v>
      </c>
      <c r="DD121" s="102">
        <v>1031.51875</v>
      </c>
      <c r="DE121" s="102">
        <v>352.45833399999998</v>
      </c>
      <c r="DF121" s="102">
        <v>1065.76875</v>
      </c>
      <c r="DG121" s="102">
        <v>2694.0741779999998</v>
      </c>
      <c r="DH121" s="102">
        <v>1231.7866650000001</v>
      </c>
      <c r="DI121" s="102">
        <v>5607.7451039999996</v>
      </c>
      <c r="DJ121" s="102">
        <v>5082.2310850000003</v>
      </c>
      <c r="DK121" s="94">
        <f t="shared" si="167"/>
        <v>26969.130365999998</v>
      </c>
    </row>
    <row r="122" spans="1:115" ht="14.45" customHeight="1" outlineLevel="1">
      <c r="A122" s="123"/>
      <c r="B122" s="13" t="s">
        <v>122</v>
      </c>
      <c r="C122" s="14"/>
      <c r="D122" s="91">
        <f>SUM([24]Mar!Q259:Q260)</f>
        <v>37847.467370359998</v>
      </c>
      <c r="E122" s="96">
        <f>SUM([24]Apr!N261:N262)</f>
        <v>55028.97950619</v>
      </c>
      <c r="F122" s="96"/>
      <c r="G122" s="96"/>
      <c r="H122" s="102"/>
      <c r="I122" s="102"/>
      <c r="J122" s="102"/>
      <c r="K122" s="96"/>
      <c r="L122" s="96"/>
      <c r="M122" s="96"/>
      <c r="N122" s="96"/>
      <c r="O122" s="96"/>
      <c r="P122" s="100">
        <f t="shared" si="152"/>
        <v>92876.446876550006</v>
      </c>
      <c r="Q122" s="101">
        <f t="shared" si="153"/>
        <v>119938.713674</v>
      </c>
      <c r="R122" s="89">
        <f t="shared" si="154"/>
        <v>145.39672884237848</v>
      </c>
      <c r="S122" s="89">
        <f t="shared" si="155"/>
        <v>90.819560782931347</v>
      </c>
      <c r="T122" s="89">
        <f t="shared" si="156"/>
        <v>153.28283729954882</v>
      </c>
      <c r="U122" s="96">
        <f>(+'[24]PF resc'!D128)*1000</f>
        <v>104225.51680553524</v>
      </c>
      <c r="V122" s="90">
        <f t="shared" si="157"/>
        <v>52.79799150227624</v>
      </c>
      <c r="W122" s="3"/>
      <c r="X122" s="91">
        <f t="shared" si="158"/>
        <v>33797.00517837466</v>
      </c>
      <c r="Y122" s="96">
        <f t="shared" si="158"/>
        <v>49465.827369501334</v>
      </c>
      <c r="Z122" s="96"/>
      <c r="AA122" s="96"/>
      <c r="AB122" s="96"/>
      <c r="AC122" s="96"/>
      <c r="AD122" s="96"/>
      <c r="AE122" s="96"/>
      <c r="AF122" s="96"/>
      <c r="AG122" s="96"/>
      <c r="AH122" s="96"/>
      <c r="AI122" s="102"/>
      <c r="AJ122" s="103">
        <f t="shared" si="159"/>
        <v>83262.832547875994</v>
      </c>
      <c r="AK122" s="88">
        <f t="shared" si="160"/>
        <v>146.36156993328072</v>
      </c>
      <c r="AL122" s="96">
        <f>(+'[24]PF resc'!R128)*1000</f>
        <v>94688.882017828757</v>
      </c>
      <c r="AM122" s="90">
        <f t="shared" si="161"/>
        <v>52.240375338033374</v>
      </c>
      <c r="AN122" s="3"/>
      <c r="AO122" s="91">
        <f t="shared" si="162"/>
        <v>4050.4621919853384</v>
      </c>
      <c r="AP122" s="96">
        <f t="shared" si="162"/>
        <v>5563.1521366886682</v>
      </c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102">
        <f t="shared" si="163"/>
        <v>9613.6143286740062</v>
      </c>
      <c r="BB122" s="89">
        <f t="shared" si="164"/>
        <v>137.3461070120959</v>
      </c>
      <c r="BC122" s="96">
        <f>(+'[24]PF resc'!AF128)*1000</f>
        <v>9536.6347877064745</v>
      </c>
      <c r="BD122" s="90">
        <f t="shared" si="165"/>
        <v>58.334541067463753</v>
      </c>
      <c r="BF122" s="91">
        <v>59347.163757000002</v>
      </c>
      <c r="BG122" s="102">
        <v>60591.549916999997</v>
      </c>
      <c r="BH122" s="102">
        <v>72765.302890999999</v>
      </c>
      <c r="BI122" s="102">
        <v>67148.324447000006</v>
      </c>
      <c r="BJ122" s="102">
        <v>83045.02364900001</v>
      </c>
      <c r="BK122" s="102">
        <v>75947.075450000004</v>
      </c>
      <c r="BL122" s="102">
        <v>30860.497476457775</v>
      </c>
      <c r="BM122" s="102">
        <v>42503.480686132221</v>
      </c>
      <c r="BN122" s="102">
        <v>37048.411851797784</v>
      </c>
      <c r="BO122" s="102">
        <v>38371.029644964445</v>
      </c>
      <c r="BP122" s="102">
        <v>35671.51854321111</v>
      </c>
      <c r="BQ122" s="102">
        <v>40621.52403898778</v>
      </c>
      <c r="BR122" s="102">
        <v>23342.65310005111</v>
      </c>
      <c r="BS122" s="94">
        <f t="shared" si="166"/>
        <v>119938.713674</v>
      </c>
      <c r="BU122" s="83">
        <v>55819.742277515179</v>
      </c>
      <c r="BV122" s="96">
        <v>57061.670642311779</v>
      </c>
      <c r="BW122" s="96">
        <v>68504.613729559322</v>
      </c>
      <c r="BX122" s="96">
        <v>63223.371123450313</v>
      </c>
      <c r="BY122" s="96">
        <v>78353.227720879877</v>
      </c>
      <c r="BZ122" s="96">
        <v>70043.158841316515</v>
      </c>
      <c r="CA122" s="96">
        <v>28348.750070270988</v>
      </c>
      <c r="CB122" s="96">
        <v>39086.895046689307</v>
      </c>
      <c r="CC122" s="96">
        <v>33711.233480318493</v>
      </c>
      <c r="CD122" s="96">
        <v>34561.882456473126</v>
      </c>
      <c r="CE122" s="96">
        <v>31885.380757250285</v>
      </c>
      <c r="CF122" s="102">
        <v>35905.403199833163</v>
      </c>
      <c r="CG122" s="96">
        <v>20575.481577620405</v>
      </c>
      <c r="CH122" s="105">
        <v>617080.81092348858</v>
      </c>
      <c r="CJ122" s="83">
        <v>3527.4214794848217</v>
      </c>
      <c r="CK122" s="96">
        <v>3529.879274688215</v>
      </c>
      <c r="CL122" s="96">
        <v>4260.689161440675</v>
      </c>
      <c r="CM122" s="96">
        <v>3924.9533235496879</v>
      </c>
      <c r="CN122" s="96">
        <v>4691.795928120132</v>
      </c>
      <c r="CO122" s="96">
        <v>5903.9166086834994</v>
      </c>
      <c r="CP122" s="96">
        <v>2511.7474061867879</v>
      </c>
      <c r="CQ122" s="96">
        <v>3416.5856394429188</v>
      </c>
      <c r="CR122" s="96">
        <v>3337.1783714792937</v>
      </c>
      <c r="CS122" s="96">
        <v>3809.1471884913176</v>
      </c>
      <c r="CT122" s="96">
        <v>3786.137785960826</v>
      </c>
      <c r="CU122" s="96">
        <v>4716.1208391546179</v>
      </c>
      <c r="CV122" s="96">
        <v>2767.171522430705</v>
      </c>
      <c r="CW122" s="106">
        <v>50182.744529113494</v>
      </c>
      <c r="CY122" s="91">
        <v>62268.618740999998</v>
      </c>
      <c r="CZ122" s="102">
        <v>76822.947050999996</v>
      </c>
      <c r="DA122" s="102">
        <v>87617.791312999994</v>
      </c>
      <c r="DB122" s="102">
        <v>74378.688571000006</v>
      </c>
      <c r="DC122" s="102">
        <v>80318.557724999991</v>
      </c>
      <c r="DD122" s="102">
        <v>86477.639067000011</v>
      </c>
      <c r="DE122" s="102">
        <v>49262.153729999998</v>
      </c>
      <c r="DF122" s="102">
        <v>38823.707706000001</v>
      </c>
      <c r="DG122" s="102">
        <v>47412.544185000006</v>
      </c>
      <c r="DH122" s="102">
        <v>50075.388012999996</v>
      </c>
      <c r="DI122" s="102">
        <v>43491.339017999999</v>
      </c>
      <c r="DJ122" s="102">
        <v>56940.457608999997</v>
      </c>
      <c r="DK122" s="94">
        <f t="shared" si="167"/>
        <v>753889.83272900002</v>
      </c>
    </row>
    <row r="123" spans="1:115" ht="14.45" customHeight="1" outlineLevel="1">
      <c r="A123" s="123"/>
      <c r="B123" s="13" t="s">
        <v>101</v>
      </c>
      <c r="C123" s="14"/>
      <c r="D123" s="91">
        <f>SUM([24]Mar!Q262:Q263)</f>
        <v>0</v>
      </c>
      <c r="E123" s="96">
        <f>SUM([24]Apr!N264:N265)</f>
        <v>0</v>
      </c>
      <c r="F123" s="96"/>
      <c r="G123" s="96"/>
      <c r="H123" s="102"/>
      <c r="I123" s="102"/>
      <c r="J123" s="102"/>
      <c r="K123" s="96"/>
      <c r="L123" s="96"/>
      <c r="M123" s="96"/>
      <c r="N123" s="96"/>
      <c r="O123" s="96"/>
      <c r="P123" s="100">
        <f t="shared" si="152"/>
        <v>0</v>
      </c>
      <c r="Q123" s="101">
        <f t="shared" si="153"/>
        <v>0</v>
      </c>
      <c r="R123" s="89">
        <f t="shared" si="154"/>
        <v>0</v>
      </c>
      <c r="S123" s="89">
        <f t="shared" si="155"/>
        <v>0</v>
      </c>
      <c r="T123" s="89">
        <f t="shared" si="156"/>
        <v>0</v>
      </c>
      <c r="U123" s="96">
        <f>(+'[24]PF resc'!D129)*1000</f>
        <v>0</v>
      </c>
      <c r="V123" s="90">
        <f t="shared" si="157"/>
        <v>0</v>
      </c>
      <c r="W123" s="3"/>
      <c r="X123" s="91">
        <f t="shared" si="158"/>
        <v>0</v>
      </c>
      <c r="Y123" s="96">
        <f t="shared" si="158"/>
        <v>0</v>
      </c>
      <c r="Z123" s="96"/>
      <c r="AA123" s="96"/>
      <c r="AB123" s="96"/>
      <c r="AC123" s="96"/>
      <c r="AD123" s="96"/>
      <c r="AE123" s="96"/>
      <c r="AF123" s="96"/>
      <c r="AG123" s="96"/>
      <c r="AH123" s="96"/>
      <c r="AI123" s="102"/>
      <c r="AJ123" s="103">
        <f t="shared" si="159"/>
        <v>0</v>
      </c>
      <c r="AK123" s="88">
        <f t="shared" si="160"/>
        <v>0</v>
      </c>
      <c r="AL123" s="96">
        <f>(+'[24]PF resc'!R129)*1000</f>
        <v>0</v>
      </c>
      <c r="AM123" s="90">
        <f t="shared" si="161"/>
        <v>0</v>
      </c>
      <c r="AN123" s="3"/>
      <c r="AO123" s="91">
        <f t="shared" si="162"/>
        <v>0</v>
      </c>
      <c r="AP123" s="96">
        <f t="shared" si="162"/>
        <v>0</v>
      </c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102">
        <f t="shared" si="163"/>
        <v>0</v>
      </c>
      <c r="BB123" s="89">
        <f t="shared" si="164"/>
        <v>0</v>
      </c>
      <c r="BC123" s="96">
        <f>(+'[24]PF resc'!AF129)*1000</f>
        <v>0</v>
      </c>
      <c r="BD123" s="90">
        <f t="shared" si="165"/>
        <v>0</v>
      </c>
      <c r="BF123" s="91">
        <v>0</v>
      </c>
      <c r="BG123" s="102">
        <v>0</v>
      </c>
      <c r="BH123" s="102">
        <v>0</v>
      </c>
      <c r="BI123" s="102">
        <v>0</v>
      </c>
      <c r="BJ123" s="102">
        <v>0</v>
      </c>
      <c r="BK123" s="102">
        <v>0</v>
      </c>
      <c r="BL123" s="102">
        <v>0</v>
      </c>
      <c r="BM123" s="102">
        <v>0</v>
      </c>
      <c r="BN123" s="102">
        <v>0</v>
      </c>
      <c r="BO123" s="102">
        <v>0</v>
      </c>
      <c r="BP123" s="102">
        <v>0</v>
      </c>
      <c r="BQ123" s="102">
        <v>0</v>
      </c>
      <c r="BR123" s="102">
        <v>0</v>
      </c>
      <c r="BS123" s="94">
        <f t="shared" si="166"/>
        <v>0</v>
      </c>
      <c r="BU123" s="83">
        <v>0</v>
      </c>
      <c r="BV123" s="96">
        <v>0</v>
      </c>
      <c r="BW123" s="96">
        <v>0</v>
      </c>
      <c r="BX123" s="96">
        <v>0</v>
      </c>
      <c r="BY123" s="96">
        <v>0</v>
      </c>
      <c r="BZ123" s="96">
        <v>0</v>
      </c>
      <c r="CA123" s="96">
        <v>0</v>
      </c>
      <c r="CB123" s="96">
        <v>0</v>
      </c>
      <c r="CC123" s="119">
        <v>0</v>
      </c>
      <c r="CD123" s="96">
        <v>0</v>
      </c>
      <c r="CE123" s="96">
        <v>0</v>
      </c>
      <c r="CF123" s="102">
        <v>0</v>
      </c>
      <c r="CG123" s="96">
        <v>0</v>
      </c>
      <c r="CH123" s="105">
        <v>0</v>
      </c>
      <c r="CJ123" s="83">
        <v>0</v>
      </c>
      <c r="CK123" s="96">
        <v>0</v>
      </c>
      <c r="CL123" s="96">
        <v>0</v>
      </c>
      <c r="CM123" s="96">
        <v>0</v>
      </c>
      <c r="CN123" s="96">
        <v>0</v>
      </c>
      <c r="CO123" s="96">
        <v>0</v>
      </c>
      <c r="CP123" s="96">
        <v>0</v>
      </c>
      <c r="CQ123" s="96">
        <v>0</v>
      </c>
      <c r="CR123" s="96">
        <v>0</v>
      </c>
      <c r="CS123" s="96">
        <v>0</v>
      </c>
      <c r="CT123" s="96">
        <v>0</v>
      </c>
      <c r="CU123" s="96">
        <v>0</v>
      </c>
      <c r="CV123" s="96">
        <v>0</v>
      </c>
      <c r="CW123" s="106">
        <v>0</v>
      </c>
      <c r="CY123" s="91">
        <v>0</v>
      </c>
      <c r="CZ123" s="102">
        <v>0</v>
      </c>
      <c r="DA123" s="102">
        <v>0</v>
      </c>
      <c r="DB123" s="102">
        <v>0</v>
      </c>
      <c r="DC123" s="102">
        <v>0</v>
      </c>
      <c r="DD123" s="102">
        <v>0</v>
      </c>
      <c r="DE123" s="102">
        <v>0</v>
      </c>
      <c r="DF123" s="102">
        <v>0</v>
      </c>
      <c r="DG123" s="102">
        <v>0</v>
      </c>
      <c r="DH123" s="102">
        <v>0</v>
      </c>
      <c r="DI123" s="102">
        <v>0</v>
      </c>
      <c r="DJ123" s="102">
        <v>0</v>
      </c>
      <c r="DK123" s="94">
        <f t="shared" si="167"/>
        <v>0</v>
      </c>
    </row>
    <row r="124" spans="1:115" ht="14.45" customHeight="1" outlineLevel="1">
      <c r="A124" s="214"/>
      <c r="B124" s="177" t="s">
        <v>91</v>
      </c>
      <c r="C124" s="14"/>
      <c r="D124" s="91">
        <f>[24]Mar!Q261</f>
        <v>-1348.1414167</v>
      </c>
      <c r="E124" s="96">
        <f>[24]Apr!N263+[24]Apr!V114+[24]Apr!V115</f>
        <v>121.5</v>
      </c>
      <c r="F124" s="96"/>
      <c r="G124" s="96"/>
      <c r="H124" s="102"/>
      <c r="I124" s="102"/>
      <c r="J124" s="102"/>
      <c r="K124" s="96"/>
      <c r="L124" s="96"/>
      <c r="M124" s="96"/>
      <c r="N124" s="96"/>
      <c r="O124" s="96"/>
      <c r="P124" s="100">
        <f t="shared" si="152"/>
        <v>-1226.6414167</v>
      </c>
      <c r="Q124" s="101">
        <f t="shared" si="153"/>
        <v>3269.910249</v>
      </c>
      <c r="R124" s="89">
        <f t="shared" si="154"/>
        <v>209.01240763727961</v>
      </c>
      <c r="S124" s="89">
        <f t="shared" si="155"/>
        <v>0</v>
      </c>
      <c r="T124" s="89">
        <f t="shared" si="156"/>
        <v>0</v>
      </c>
      <c r="U124" s="96">
        <f>(+'[24]PF resc'!D130)*1000</f>
        <v>696.6211868296748</v>
      </c>
      <c r="V124" s="90">
        <f t="shared" si="157"/>
        <v>17.441329993557453</v>
      </c>
      <c r="W124" s="3"/>
      <c r="X124" s="179">
        <f t="shared" si="158"/>
        <v>-1203.8623878192107</v>
      </c>
      <c r="Y124" s="180">
        <f t="shared" si="158"/>
        <v>109.21696312246456</v>
      </c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48"/>
      <c r="AJ124" s="103">
        <f t="shared" si="159"/>
        <v>-1094.645424696746</v>
      </c>
      <c r="AK124" s="88">
        <f t="shared" si="160"/>
        <v>209.07221325523017</v>
      </c>
      <c r="AL124" s="96">
        <f>(+'[24]PF resc'!R130)*1000</f>
        <v>632.88034823475959</v>
      </c>
      <c r="AM124" s="90">
        <f t="shared" si="161"/>
        <v>17.257126631770813</v>
      </c>
      <c r="AN124" s="3"/>
      <c r="AO124" s="179">
        <f t="shared" si="162"/>
        <v>-144.27902888078933</v>
      </c>
      <c r="AP124" s="180">
        <f t="shared" si="162"/>
        <v>12.283036877535428</v>
      </c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02">
        <f t="shared" si="163"/>
        <v>-131.99599200325389</v>
      </c>
      <c r="BB124" s="89">
        <f t="shared" si="164"/>
        <v>208.51339031931263</v>
      </c>
      <c r="BC124" s="96">
        <f>(+'[24]PF resc'!AF130)*1000</f>
        <v>63.740838594915239</v>
      </c>
      <c r="BD124" s="90">
        <f t="shared" si="165"/>
        <v>19.270278126706785</v>
      </c>
      <c r="BF124" s="91">
        <v>3269.910249</v>
      </c>
      <c r="BG124" s="102">
        <v>0</v>
      </c>
      <c r="BH124" s="102">
        <v>0</v>
      </c>
      <c r="BI124" s="102">
        <v>390.75</v>
      </c>
      <c r="BJ124" s="102">
        <v>312.5</v>
      </c>
      <c r="BK124" s="102">
        <v>0</v>
      </c>
      <c r="BL124" s="102">
        <v>0</v>
      </c>
      <c r="BM124" s="102">
        <v>0</v>
      </c>
      <c r="BN124" s="102">
        <v>0</v>
      </c>
      <c r="BO124" s="102">
        <v>0</v>
      </c>
      <c r="BP124" s="102">
        <v>0</v>
      </c>
      <c r="BQ124" s="102">
        <v>0</v>
      </c>
      <c r="BR124" s="102">
        <v>1491.75776286</v>
      </c>
      <c r="BS124" s="94">
        <f t="shared" si="166"/>
        <v>3269.910249</v>
      </c>
      <c r="BU124" s="181">
        <v>3075.5563672283597</v>
      </c>
      <c r="BV124" s="180">
        <v>0</v>
      </c>
      <c r="BW124" s="180">
        <v>0</v>
      </c>
      <c r="BX124" s="180">
        <v>367.90988412506755</v>
      </c>
      <c r="BY124" s="180">
        <v>294.84468288269073</v>
      </c>
      <c r="BZ124" s="180">
        <v>0</v>
      </c>
      <c r="CA124" s="180">
        <v>0</v>
      </c>
      <c r="CB124" s="180">
        <v>0</v>
      </c>
      <c r="CC124" s="180">
        <v>0</v>
      </c>
      <c r="CD124" s="180">
        <v>0</v>
      </c>
      <c r="CE124" s="180">
        <v>0</v>
      </c>
      <c r="CF124" s="148">
        <v>0</v>
      </c>
      <c r="CG124" s="180">
        <v>1314.9162709328423</v>
      </c>
      <c r="CH124" s="105">
        <v>5053.2272051689606</v>
      </c>
      <c r="CJ124" s="181">
        <v>194.35388177164043</v>
      </c>
      <c r="CK124" s="180">
        <v>0</v>
      </c>
      <c r="CL124" s="180">
        <v>0</v>
      </c>
      <c r="CM124" s="180">
        <v>22.840115874932462</v>
      </c>
      <c r="CN124" s="180">
        <v>17.655317117309249</v>
      </c>
      <c r="CO124" s="180">
        <v>0</v>
      </c>
      <c r="CP124" s="180">
        <v>0</v>
      </c>
      <c r="CQ124" s="180">
        <v>0</v>
      </c>
      <c r="CR124" s="180">
        <v>0</v>
      </c>
      <c r="CS124" s="180">
        <v>0</v>
      </c>
      <c r="CT124" s="180">
        <v>0</v>
      </c>
      <c r="CU124" s="180">
        <v>0</v>
      </c>
      <c r="CV124" s="180">
        <v>176.84149192715759</v>
      </c>
      <c r="CW124" s="106">
        <v>411.69080669103971</v>
      </c>
      <c r="CY124" s="91">
        <v>3.625</v>
      </c>
      <c r="CZ124" s="102">
        <v>150.66667000000001</v>
      </c>
      <c r="DA124" s="102">
        <v>0</v>
      </c>
      <c r="DB124" s="102">
        <v>2500</v>
      </c>
      <c r="DC124" s="102">
        <v>2500</v>
      </c>
      <c r="DD124" s="102">
        <v>2412.25</v>
      </c>
      <c r="DE124" s="102">
        <v>0</v>
      </c>
      <c r="DF124" s="102">
        <v>0</v>
      </c>
      <c r="DG124" s="102">
        <v>0</v>
      </c>
      <c r="DH124" s="102">
        <v>0</v>
      </c>
      <c r="DI124" s="102">
        <v>53</v>
      </c>
      <c r="DJ124" s="102">
        <v>198.48500000000001</v>
      </c>
      <c r="DK124" s="94">
        <f t="shared" si="167"/>
        <v>7818.0266700000002</v>
      </c>
    </row>
    <row r="125" spans="1:115" ht="14.45" customHeight="1">
      <c r="A125" s="107" t="s">
        <v>102</v>
      </c>
      <c r="B125" s="136"/>
      <c r="C125" s="137"/>
      <c r="D125" s="118">
        <f t="shared" ref="D125:O125" si="168">SUM(D115:D124)</f>
        <v>253676.5147462271</v>
      </c>
      <c r="E125" s="111">
        <f t="shared" ref="E125" si="169">SUM(E115:E124)</f>
        <v>227815.02458592001</v>
      </c>
      <c r="F125" s="112">
        <f t="shared" si="168"/>
        <v>0</v>
      </c>
      <c r="G125" s="113">
        <f t="shared" si="168"/>
        <v>0</v>
      </c>
      <c r="H125" s="113">
        <f>SUM(H115:H124)</f>
        <v>0</v>
      </c>
      <c r="I125" s="113">
        <f>SUM(I115:I124)</f>
        <v>0</v>
      </c>
      <c r="J125" s="113">
        <f t="shared" si="168"/>
        <v>0</v>
      </c>
      <c r="K125" s="111">
        <f>SUM(K115:K124)</f>
        <v>0</v>
      </c>
      <c r="L125" s="113">
        <f t="shared" si="168"/>
        <v>0</v>
      </c>
      <c r="M125" s="113">
        <f t="shared" si="168"/>
        <v>0</v>
      </c>
      <c r="N125" s="113">
        <f t="shared" si="168"/>
        <v>0</v>
      </c>
      <c r="O125" s="113">
        <f t="shared" si="168"/>
        <v>0</v>
      </c>
      <c r="P125" s="114">
        <f t="shared" si="152"/>
        <v>481491.53933214711</v>
      </c>
      <c r="Q125" s="114">
        <f t="shared" si="153"/>
        <v>435393.13740899996</v>
      </c>
      <c r="R125" s="115">
        <f t="shared" si="154"/>
        <v>89.805327392573815</v>
      </c>
      <c r="S125" s="115">
        <f t="shared" si="155"/>
        <v>103.67786123373814</v>
      </c>
      <c r="T125" s="115">
        <f t="shared" si="156"/>
        <v>219.12520076686195</v>
      </c>
      <c r="U125" s="111">
        <f t="shared" ref="U125" si="170">SUM(U115:U124)</f>
        <v>550286.54397670564</v>
      </c>
      <c r="V125" s="117">
        <f t="shared" si="157"/>
        <v>41.39934495573705</v>
      </c>
      <c r="W125" s="3"/>
      <c r="X125" s="118">
        <f t="shared" ref="X125:AI125" si="171">SUM(X115:X124)</f>
        <v>226527.87830195896</v>
      </c>
      <c r="Y125" s="111">
        <f t="shared" si="171"/>
        <v>204784.07521764425</v>
      </c>
      <c r="Z125" s="111">
        <f t="shared" si="171"/>
        <v>0</v>
      </c>
      <c r="AA125" s="111">
        <f t="shared" si="171"/>
        <v>0</v>
      </c>
      <c r="AB125" s="111">
        <f t="shared" si="171"/>
        <v>0</v>
      </c>
      <c r="AC125" s="111">
        <f t="shared" si="171"/>
        <v>0</v>
      </c>
      <c r="AD125" s="111">
        <f t="shared" si="171"/>
        <v>0</v>
      </c>
      <c r="AE125" s="111">
        <f t="shared" si="171"/>
        <v>0</v>
      </c>
      <c r="AF125" s="215">
        <f t="shared" si="171"/>
        <v>0</v>
      </c>
      <c r="AG125" s="113">
        <f t="shared" si="171"/>
        <v>0</v>
      </c>
      <c r="AH125" s="113">
        <f t="shared" si="171"/>
        <v>0</v>
      </c>
      <c r="AI125" s="113">
        <f t="shared" si="171"/>
        <v>0</v>
      </c>
      <c r="AJ125" s="119">
        <f t="shared" si="159"/>
        <v>431311.95351960324</v>
      </c>
      <c r="AK125" s="116">
        <f t="shared" si="160"/>
        <v>90.40126837928068</v>
      </c>
      <c r="AL125" s="111">
        <f t="shared" ref="AL125" si="172">SUM(AL115:AL124)</f>
        <v>499935.32520283706</v>
      </c>
      <c r="AM125" s="117">
        <f t="shared" si="161"/>
        <v>40.962113476289744</v>
      </c>
      <c r="AN125" s="3"/>
      <c r="AO125" s="118">
        <f t="shared" ref="AO125:AZ125" si="173">SUM(AO115:AO124)</f>
        <v>27148.636444268126</v>
      </c>
      <c r="AP125" s="111">
        <f t="shared" si="173"/>
        <v>23030.949368275684</v>
      </c>
      <c r="AQ125" s="111">
        <f t="shared" si="173"/>
        <v>0</v>
      </c>
      <c r="AR125" s="111">
        <f t="shared" si="173"/>
        <v>0</v>
      </c>
      <c r="AS125" s="111">
        <f t="shared" si="173"/>
        <v>0</v>
      </c>
      <c r="AT125" s="111">
        <f t="shared" si="173"/>
        <v>0</v>
      </c>
      <c r="AU125" s="111">
        <f t="shared" si="173"/>
        <v>0</v>
      </c>
      <c r="AV125" s="111">
        <f t="shared" si="173"/>
        <v>0</v>
      </c>
      <c r="AW125" s="111">
        <f t="shared" si="173"/>
        <v>0</v>
      </c>
      <c r="AX125" s="113">
        <f t="shared" si="173"/>
        <v>0</v>
      </c>
      <c r="AY125" s="113">
        <f t="shared" si="173"/>
        <v>0</v>
      </c>
      <c r="AZ125" s="111">
        <f t="shared" si="173"/>
        <v>0</v>
      </c>
      <c r="BA125" s="120">
        <f t="shared" si="163"/>
        <v>50179.58581254381</v>
      </c>
      <c r="BB125" s="115">
        <f t="shared" si="164"/>
        <v>84.832803354800504</v>
      </c>
      <c r="BC125" s="111">
        <f t="shared" ref="BC125" si="174">SUM(BC115:BC124)</f>
        <v>50351.218773868583</v>
      </c>
      <c r="BD125" s="117">
        <f t="shared" si="165"/>
        <v>45.740599590467809</v>
      </c>
      <c r="BF125" s="118">
        <v>215659.60715</v>
      </c>
      <c r="BG125" s="113">
        <v>219733.53025899999</v>
      </c>
      <c r="BH125" s="113">
        <v>243229.92238100001</v>
      </c>
      <c r="BI125" s="113">
        <v>239000.38198488887</v>
      </c>
      <c r="BJ125" s="113">
        <v>298201.23745999997</v>
      </c>
      <c r="BK125" s="113">
        <v>261874.10460600001</v>
      </c>
      <c r="BL125" s="113">
        <v>298581.67222364218</v>
      </c>
      <c r="BM125" s="113">
        <v>235490.28300609891</v>
      </c>
      <c r="BN125" s="113">
        <v>263676.9815995855</v>
      </c>
      <c r="BO125" s="113">
        <v>338560.03708591446</v>
      </c>
      <c r="BP125" s="113">
        <v>294661.92902729451</v>
      </c>
      <c r="BQ125" s="113">
        <v>295312.33608046779</v>
      </c>
      <c r="BR125" s="113">
        <v>99120.591311331125</v>
      </c>
      <c r="BS125" s="121">
        <f t="shared" si="166"/>
        <v>435393.13740899996</v>
      </c>
      <c r="BU125" s="110">
        <v>202841.43215459521</v>
      </c>
      <c r="BV125" s="111">
        <v>206932.52359259507</v>
      </c>
      <c r="BW125" s="111">
        <v>228987.87221625089</v>
      </c>
      <c r="BX125" s="111">
        <v>225030.33356854084</v>
      </c>
      <c r="BY125" s="111">
        <v>281353.75774118293</v>
      </c>
      <c r="BZ125" s="111">
        <v>241516.73249645316</v>
      </c>
      <c r="CA125" s="111">
        <v>274279.99849609577</v>
      </c>
      <c r="CB125" s="111">
        <v>216560.71050618132</v>
      </c>
      <c r="CC125" s="111">
        <v>239925.97376769705</v>
      </c>
      <c r="CD125" s="113">
        <v>304950.69625420269</v>
      </c>
      <c r="CE125" s="113">
        <v>263386.81910387159</v>
      </c>
      <c r="CF125" s="113">
        <v>261026.85085564433</v>
      </c>
      <c r="CG125" s="111">
        <v>87370.269855257749</v>
      </c>
      <c r="CH125" s="122">
        <v>3034163.9706085683</v>
      </c>
      <c r="CJ125" s="110">
        <v>12818.174995404748</v>
      </c>
      <c r="CK125" s="111">
        <v>12801.006666404861</v>
      </c>
      <c r="CL125" s="111">
        <v>14242.050164749082</v>
      </c>
      <c r="CM125" s="111">
        <v>13970.048416348009</v>
      </c>
      <c r="CN125" s="111">
        <v>16847.479718817085</v>
      </c>
      <c r="CO125" s="111">
        <v>20357.372109546894</v>
      </c>
      <c r="CP125" s="111">
        <v>24301.673727546433</v>
      </c>
      <c r="CQ125" s="111">
        <v>18929.572499917573</v>
      </c>
      <c r="CR125" s="111">
        <v>23751.007831888513</v>
      </c>
      <c r="CS125" s="113">
        <v>33609.340831711786</v>
      </c>
      <c r="CT125" s="113">
        <v>31275.109923422926</v>
      </c>
      <c r="CU125" s="111">
        <v>34285.485224823453</v>
      </c>
      <c r="CV125" s="111">
        <v>11750.321456073356</v>
      </c>
      <c r="CW125" s="122">
        <v>268938.6435666547</v>
      </c>
      <c r="CY125" s="118">
        <v>200481.61674299999</v>
      </c>
      <c r="CZ125" s="113">
        <v>249367.364482</v>
      </c>
      <c r="DA125" s="113">
        <v>189573.820588</v>
      </c>
      <c r="DB125" s="113">
        <v>212740.88896499999</v>
      </c>
      <c r="DC125" s="113">
        <v>232447.26856499995</v>
      </c>
      <c r="DD125" s="113">
        <v>233415.18267099999</v>
      </c>
      <c r="DE125" s="113">
        <v>204268.14196499999</v>
      </c>
      <c r="DF125" s="113">
        <v>187632.897429</v>
      </c>
      <c r="DG125" s="113">
        <v>206802.36266233335</v>
      </c>
      <c r="DH125" s="113">
        <v>237687.93833899999</v>
      </c>
      <c r="DI125" s="113">
        <v>190421.63545100001</v>
      </c>
      <c r="DJ125" s="113">
        <v>228162.29492300004</v>
      </c>
      <c r="DK125" s="121">
        <f t="shared" si="167"/>
        <v>2573001.4127833336</v>
      </c>
    </row>
    <row r="126" spans="1:115" ht="14.45" customHeight="1" outlineLevel="1">
      <c r="A126" s="216"/>
      <c r="B126" s="13"/>
      <c r="C126" s="14"/>
      <c r="D126" s="91"/>
      <c r="E126" s="96"/>
      <c r="F126" s="104"/>
      <c r="G126" s="102"/>
      <c r="H126" s="102"/>
      <c r="I126" s="102"/>
      <c r="J126" s="102"/>
      <c r="K126" s="96"/>
      <c r="L126" s="102"/>
      <c r="M126" s="102"/>
      <c r="N126" s="102"/>
      <c r="O126" s="102"/>
      <c r="P126" s="100"/>
      <c r="Q126" s="101"/>
      <c r="R126" s="89"/>
      <c r="S126" s="89"/>
      <c r="T126" s="89"/>
      <c r="U126" s="89"/>
      <c r="V126" s="90"/>
      <c r="W126" s="3"/>
      <c r="X126" s="91"/>
      <c r="Y126" s="96"/>
      <c r="Z126" s="96"/>
      <c r="AA126" s="96"/>
      <c r="AB126" s="96"/>
      <c r="AC126" s="96"/>
      <c r="AD126" s="96"/>
      <c r="AE126" s="96"/>
      <c r="AF126" s="96"/>
      <c r="AG126" s="102"/>
      <c r="AH126" s="102"/>
      <c r="AI126" s="102"/>
      <c r="AJ126" s="103"/>
      <c r="AK126" s="88"/>
      <c r="AL126" s="89"/>
      <c r="AM126" s="90"/>
      <c r="AN126" s="3"/>
      <c r="AO126" s="91"/>
      <c r="AP126" s="96"/>
      <c r="AQ126" s="96"/>
      <c r="AR126" s="96"/>
      <c r="AS126" s="96"/>
      <c r="AT126" s="96"/>
      <c r="AU126" s="96"/>
      <c r="AV126" s="96"/>
      <c r="AW126" s="96"/>
      <c r="AX126" s="102"/>
      <c r="AY126" s="102"/>
      <c r="AZ126" s="96"/>
      <c r="BA126" s="102"/>
      <c r="BB126" s="89"/>
      <c r="BC126" s="89"/>
      <c r="BD126" s="90"/>
      <c r="BF126" s="91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94"/>
      <c r="BU126" s="83"/>
      <c r="BV126" s="96"/>
      <c r="BW126" s="96"/>
      <c r="BX126" s="96"/>
      <c r="BY126" s="96"/>
      <c r="BZ126" s="96"/>
      <c r="CA126" s="96"/>
      <c r="CB126" s="96"/>
      <c r="CC126" s="96"/>
      <c r="CD126" s="102"/>
      <c r="CE126" s="102"/>
      <c r="CF126" s="102"/>
      <c r="CG126" s="96"/>
      <c r="CH126" s="105"/>
      <c r="CJ126" s="83"/>
      <c r="CK126" s="96"/>
      <c r="CL126" s="96"/>
      <c r="CM126" s="96"/>
      <c r="CN126" s="96"/>
      <c r="CO126" s="96"/>
      <c r="CP126" s="96"/>
      <c r="CQ126" s="96"/>
      <c r="CR126" s="96"/>
      <c r="CS126" s="102"/>
      <c r="CT126" s="102"/>
      <c r="CU126" s="96"/>
      <c r="CV126" s="96"/>
      <c r="CW126" s="106"/>
      <c r="CY126" s="91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102"/>
      <c r="DJ126" s="102"/>
      <c r="DK126" s="94"/>
    </row>
    <row r="127" spans="1:115" ht="14.45" customHeight="1" outlineLevel="1">
      <c r="A127" s="134"/>
      <c r="B127" s="13" t="s">
        <v>123</v>
      </c>
      <c r="C127" s="14"/>
      <c r="D127" s="91">
        <f>[24]Mar!Q266-[24]Adj!AD50+[24]Adj!AG58</f>
        <v>263211.23207009921</v>
      </c>
      <c r="E127" s="96">
        <f>[24]Apr!N268</f>
        <v>269294.91719705</v>
      </c>
      <c r="F127" s="96"/>
      <c r="G127" s="96"/>
      <c r="H127" s="102"/>
      <c r="I127" s="102"/>
      <c r="J127" s="102"/>
      <c r="K127" s="96"/>
      <c r="L127" s="96"/>
      <c r="M127" s="96"/>
      <c r="N127" s="96"/>
      <c r="O127" s="96"/>
      <c r="P127" s="100">
        <f t="shared" ref="P127:P133" si="175">SUM(D127:O127)</f>
        <v>532506.14926714916</v>
      </c>
      <c r="Q127" s="101">
        <f>SUM(BS127)</f>
        <v>223515.314491</v>
      </c>
      <c r="R127" s="89">
        <f t="shared" ref="R127:R131" si="176">IF(ISERROR((($E127-$D127)/ABS($D127)+1)*100),0,(($E127-$D127)/ABS($D127)+1)*100)</f>
        <v>102.3113318831814</v>
      </c>
      <c r="S127" s="89">
        <f t="shared" ref="S127:S131" si="177">IF(ISERROR((($E127-$BG127)/ABS($BG127)+1)*100),0,(($E127-$BG127)/ABS($BG127)+1)*100)</f>
        <v>245.51756218368067</v>
      </c>
      <c r="T127" s="89">
        <f>IF(ISERROR((($P127-$BG127)/ABS($BG127)+1)*100),0,(($P127-$BG127)/ABS($BG127)+1)*100)</f>
        <v>485.48859732181324</v>
      </c>
      <c r="U127" s="96">
        <f>(+'[24]PF resc'!D134)*1000</f>
        <v>290040.1898459341</v>
      </c>
      <c r="V127" s="90">
        <f>IF(ISERROR((($E127-$U127)/ABS($U127)+1)*100),0,(($E127-$U127)/ABS($U127)+1)*100)</f>
        <v>92.84744894840135</v>
      </c>
      <c r="W127" s="3"/>
      <c r="X127" s="91">
        <f t="shared" ref="X127:Y131" si="178">D127*X$201</f>
        <v>235042.18356883156</v>
      </c>
      <c r="Y127" s="96">
        <f t="shared" si="178"/>
        <v>242070.56000475193</v>
      </c>
      <c r="Z127" s="96"/>
      <c r="AA127" s="96"/>
      <c r="AB127" s="96"/>
      <c r="AC127" s="96"/>
      <c r="AD127" s="96"/>
      <c r="AE127" s="96"/>
      <c r="AF127" s="96"/>
      <c r="AG127" s="96"/>
      <c r="AH127" s="96"/>
      <c r="AI127" s="102"/>
      <c r="AJ127" s="103">
        <f>SUM(X127:AI127)</f>
        <v>477112.74357358349</v>
      </c>
      <c r="AK127" s="88">
        <f t="shared" ref="AK127:AK131" si="179">IF(ISERROR((($Y127-$X127)/ABS($X127)+1)*100),0,(($Y127-$X127)/ABS($X127)+1)*100)</f>
        <v>102.99026171779167</v>
      </c>
      <c r="AL127" s="96">
        <f>(+'[24]PF resc'!R134)*1000</f>
        <v>263501.51247503114</v>
      </c>
      <c r="AM127" s="90">
        <f t="shared" ref="AM127:AM131" si="180">IF(ISERROR((($Y127-$AL127)/ABS($AL127)+1)*100),0,(($Y127-$AL127)/ABS($AL127)+1)*100)</f>
        <v>91.866857890498849</v>
      </c>
      <c r="AN127" s="3"/>
      <c r="AO127" s="91">
        <f t="shared" ref="AO127:AP131" si="181">D127*AO$201</f>
        <v>28169.048501267655</v>
      </c>
      <c r="AP127" s="96">
        <f t="shared" si="181"/>
        <v>27224.357192298066</v>
      </c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102">
        <f>SUM(AO127:AZ127)</f>
        <v>55393.405693565721</v>
      </c>
      <c r="BB127" s="89">
        <f t="shared" ref="BB127:BB131" si="182">IF(ISERROR((($AP127-$AO127)/ABS($AO127)+1)*100),0,(($AP127-$AO127)/ABS($AO127)+1)*100)</f>
        <v>96.646349950630821</v>
      </c>
      <c r="BC127" s="96">
        <f>(+'[24]PF resc'!AF134)*1000</f>
        <v>26538.677370902969</v>
      </c>
      <c r="BD127" s="90">
        <f t="shared" ref="BD127:BD131" si="183">IF(ISERROR((($AP127-$BC127)/ABS($BC127)+1)*100),0,(($AP127-$BC127)/ABS($BC127)+1)*100)</f>
        <v>102.58370005336768</v>
      </c>
      <c r="BF127" s="91">
        <v>113830.7303</v>
      </c>
      <c r="BG127" s="102">
        <v>109684.584191</v>
      </c>
      <c r="BH127" s="102">
        <v>123840.446947</v>
      </c>
      <c r="BI127" s="102">
        <v>126342.186663</v>
      </c>
      <c r="BJ127" s="102">
        <v>120826.064743</v>
      </c>
      <c r="BK127" s="102">
        <v>124339.232945</v>
      </c>
      <c r="BL127" s="102">
        <v>152606.24031227111</v>
      </c>
      <c r="BM127" s="102">
        <v>163923.42713959113</v>
      </c>
      <c r="BN127" s="102">
        <v>158484.45943576776</v>
      </c>
      <c r="BO127" s="102">
        <v>162173.90049524666</v>
      </c>
      <c r="BP127" s="102">
        <v>157846.28811400666</v>
      </c>
      <c r="BQ127" s="102">
        <v>165227.0000304</v>
      </c>
      <c r="BR127" s="102">
        <v>34936.172983969998</v>
      </c>
      <c r="BS127" s="94">
        <f t="shared" ref="BS127:BS130" si="184">SUM(BF127:BG127)</f>
        <v>223515.314491</v>
      </c>
      <c r="BU127" s="83">
        <v>107064.96530523554</v>
      </c>
      <c r="BV127" s="96">
        <v>103294.69416476751</v>
      </c>
      <c r="BW127" s="96">
        <v>116589.11108922932</v>
      </c>
      <c r="BX127" s="96">
        <v>118957.23417861032</v>
      </c>
      <c r="BY127" s="96">
        <v>113999.75277796254</v>
      </c>
      <c r="BZ127" s="96">
        <v>114673.44320727348</v>
      </c>
      <c r="CA127" s="96">
        <v>140185.56146337456</v>
      </c>
      <c r="CB127" s="96">
        <v>150746.66095262504</v>
      </c>
      <c r="CC127" s="96">
        <v>144208.78920298375</v>
      </c>
      <c r="CD127" s="96">
        <v>146074.66461771246</v>
      </c>
      <c r="CE127" s="96">
        <v>141092.64766895084</v>
      </c>
      <c r="CF127" s="102">
        <v>146044.30030484369</v>
      </c>
      <c r="CG127" s="96">
        <v>30794.639347258282</v>
      </c>
      <c r="CH127" s="105">
        <v>1573726.4642808272</v>
      </c>
      <c r="CJ127" s="83">
        <v>6765.7649947644441</v>
      </c>
      <c r="CK127" s="96">
        <v>6389.8900262324769</v>
      </c>
      <c r="CL127" s="96">
        <v>7251.3358577706667</v>
      </c>
      <c r="CM127" s="96">
        <v>7384.9524843896788</v>
      </c>
      <c r="CN127" s="96">
        <v>6826.3119650374501</v>
      </c>
      <c r="CO127" s="96">
        <v>9665.7897377265235</v>
      </c>
      <c r="CP127" s="96">
        <v>12420.678848896554</v>
      </c>
      <c r="CQ127" s="96">
        <v>13176.766186966122</v>
      </c>
      <c r="CR127" s="96">
        <v>14275.670232784001</v>
      </c>
      <c r="CS127" s="96">
        <v>16099.235877534187</v>
      </c>
      <c r="CT127" s="96">
        <v>16753.640445055804</v>
      </c>
      <c r="CU127" s="96">
        <v>19182.699725556315</v>
      </c>
      <c r="CV127" s="96">
        <v>4141.5336367117179</v>
      </c>
      <c r="CW127" s="106">
        <v>140334.27001942592</v>
      </c>
      <c r="CY127" s="91">
        <v>81971.144845999996</v>
      </c>
      <c r="CZ127" s="102">
        <v>79207.008596</v>
      </c>
      <c r="DA127" s="102">
        <v>82259.937346000006</v>
      </c>
      <c r="DB127" s="102">
        <v>81830.093596000006</v>
      </c>
      <c r="DC127" s="102">
        <v>81588.508596</v>
      </c>
      <c r="DD127" s="102">
        <v>100013.83128100001</v>
      </c>
      <c r="DE127" s="102">
        <v>106809.470216</v>
      </c>
      <c r="DF127" s="102">
        <v>99420.652677999999</v>
      </c>
      <c r="DG127" s="102">
        <v>99908.140178000001</v>
      </c>
      <c r="DH127" s="102">
        <v>123251.235271</v>
      </c>
      <c r="DI127" s="102">
        <v>122576.088101</v>
      </c>
      <c r="DJ127" s="102">
        <v>118544.425197</v>
      </c>
      <c r="DK127" s="94">
        <f t="shared" ref="DK127:DK131" si="185">SUM(CY127:DJ127)</f>
        <v>1177380.5359019998</v>
      </c>
    </row>
    <row r="128" spans="1:115" ht="14.45" customHeight="1" outlineLevel="1">
      <c r="A128" s="134"/>
      <c r="B128" s="13" t="s">
        <v>104</v>
      </c>
      <c r="C128" s="14"/>
      <c r="D128" s="91">
        <f>[24]Mar!Q265</f>
        <v>55746.275653680001</v>
      </c>
      <c r="E128" s="96">
        <f>[24]Apr!N267+[24]Apr!V125</f>
        <v>54107.576729230001</v>
      </c>
      <c r="F128" s="96"/>
      <c r="G128" s="96"/>
      <c r="H128" s="102"/>
      <c r="I128" s="102"/>
      <c r="J128" s="102"/>
      <c r="K128" s="96"/>
      <c r="L128" s="96"/>
      <c r="M128" s="96"/>
      <c r="N128" s="96"/>
      <c r="O128" s="96"/>
      <c r="P128" s="100">
        <f t="shared" si="175"/>
        <v>109853.85238291</v>
      </c>
      <c r="Q128" s="101">
        <f>SUM(BS128)</f>
        <v>52716.930380000005</v>
      </c>
      <c r="R128" s="89">
        <f t="shared" si="176"/>
        <v>97.060433355888549</v>
      </c>
      <c r="S128" s="89">
        <f t="shared" si="177"/>
        <v>204.87610013094857</v>
      </c>
      <c r="T128" s="89">
        <f>IF(ISERROR((($P128-$BG128)/ABS($BG128)+1)*100),0,(($P128-$BG128)/ABS($BG128)+1)*100)</f>
        <v>415.95706592443059</v>
      </c>
      <c r="U128" s="96">
        <f>(+'[24]PF resc'!D135)*1000</f>
        <v>72251.874396127198</v>
      </c>
      <c r="V128" s="90">
        <f>IF(ISERROR((($E128-$U128)/ABS($U128)+1)*100),0,(($E128-$U128)/ABS($U128)+1)*100)</f>
        <v>74.887436736354402</v>
      </c>
      <c r="W128" s="3"/>
      <c r="X128" s="91">
        <f t="shared" si="178"/>
        <v>49780.270592637105</v>
      </c>
      <c r="Y128" s="96">
        <f t="shared" si="178"/>
        <v>48637.573763639797</v>
      </c>
      <c r="Z128" s="96"/>
      <c r="AA128" s="96"/>
      <c r="AB128" s="96"/>
      <c r="AC128" s="96"/>
      <c r="AD128" s="96"/>
      <c r="AE128" s="96"/>
      <c r="AF128" s="96"/>
      <c r="AG128" s="96"/>
      <c r="AH128" s="96"/>
      <c r="AI128" s="102"/>
      <c r="AJ128" s="103">
        <f>SUM(X128:AI128)</f>
        <v>98417.84435627691</v>
      </c>
      <c r="AK128" s="88">
        <f t="shared" si="179"/>
        <v>97.704518646858617</v>
      </c>
      <c r="AL128" s="96">
        <f>(+'[24]PF resc'!R135)*1000</f>
        <v>65640.827888881555</v>
      </c>
      <c r="AM128" s="90">
        <f t="shared" si="180"/>
        <v>74.096527005988875</v>
      </c>
      <c r="AN128" s="3"/>
      <c r="AO128" s="91">
        <f t="shared" si="181"/>
        <v>5966.0050610428962</v>
      </c>
      <c r="AP128" s="96">
        <f t="shared" si="181"/>
        <v>5470.0029655902053</v>
      </c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102">
        <f>SUM(AO128:AZ128)</f>
        <v>11436.008026633102</v>
      </c>
      <c r="BB128" s="89">
        <f t="shared" si="182"/>
        <v>91.686193853714457</v>
      </c>
      <c r="BC128" s="96">
        <f>(+'[24]PF resc'!AF135)*1000</f>
        <v>6611.0465072456382</v>
      </c>
      <c r="BD128" s="90">
        <f t="shared" si="183"/>
        <v>82.740349195776176</v>
      </c>
      <c r="BF128" s="91">
        <v>26307.028642000001</v>
      </c>
      <c r="BG128" s="102">
        <v>26409.901738</v>
      </c>
      <c r="BH128" s="102">
        <v>26541.254816000001</v>
      </c>
      <c r="BI128" s="102">
        <v>33875.795544000001</v>
      </c>
      <c r="BJ128" s="102">
        <v>37814.187103999997</v>
      </c>
      <c r="BK128" s="102">
        <v>40328.765291000003</v>
      </c>
      <c r="BL128" s="102">
        <v>43962.018741682223</v>
      </c>
      <c r="BM128" s="102">
        <v>40090.798719846665</v>
      </c>
      <c r="BN128" s="102">
        <v>47721.811897860003</v>
      </c>
      <c r="BO128" s="102">
        <v>40445.881424370004</v>
      </c>
      <c r="BP128" s="102">
        <v>21006.749985449998</v>
      </c>
      <c r="BQ128" s="102">
        <v>37403.42346125</v>
      </c>
      <c r="BR128" s="102">
        <v>10308.164471829999</v>
      </c>
      <c r="BS128" s="94">
        <f t="shared" si="184"/>
        <v>52716.930380000005</v>
      </c>
      <c r="BU128" s="83">
        <v>24743.415959965674</v>
      </c>
      <c r="BV128" s="96">
        <v>24871.341246987326</v>
      </c>
      <c r="BW128" s="96">
        <v>24987.161969097921</v>
      </c>
      <c r="BX128" s="96">
        <v>31895.687813787637</v>
      </c>
      <c r="BY128" s="96">
        <v>35677.798416465965</v>
      </c>
      <c r="BZ128" s="96">
        <v>37193.718078207909</v>
      </c>
      <c r="CA128" s="96">
        <v>40383.933630468731</v>
      </c>
      <c r="CB128" s="96">
        <v>36868.153304250962</v>
      </c>
      <c r="CC128" s="96">
        <v>43423.214723157806</v>
      </c>
      <c r="CD128" s="96">
        <v>36430.760721610583</v>
      </c>
      <c r="CE128" s="96">
        <v>18777.115444273983</v>
      </c>
      <c r="CF128" s="102">
        <v>33060.921080688866</v>
      </c>
      <c r="CG128" s="96">
        <v>9086.1757350433709</v>
      </c>
      <c r="CH128" s="105">
        <v>397399.39812400675</v>
      </c>
      <c r="CJ128" s="83">
        <v>1563.6126820343279</v>
      </c>
      <c r="CK128" s="96">
        <v>1538.5604910126742</v>
      </c>
      <c r="CL128" s="96">
        <v>1554.0928469020796</v>
      </c>
      <c r="CM128" s="96">
        <v>1980.1077302123629</v>
      </c>
      <c r="CN128" s="96">
        <v>2136.3886875340345</v>
      </c>
      <c r="CO128" s="96">
        <v>3135.0472127920966</v>
      </c>
      <c r="CP128" s="96">
        <v>3578.0851112134974</v>
      </c>
      <c r="CQ128" s="96">
        <v>3222.6454155957072</v>
      </c>
      <c r="CR128" s="96">
        <v>4298.5971747022049</v>
      </c>
      <c r="CS128" s="96">
        <v>4015.1207027594205</v>
      </c>
      <c r="CT128" s="96">
        <v>2229.6345411760167</v>
      </c>
      <c r="CU128" s="96">
        <v>4342.5023805611372</v>
      </c>
      <c r="CV128" s="96">
        <v>1221.9887367866279</v>
      </c>
      <c r="CW128" s="106">
        <v>34816.383713282186</v>
      </c>
      <c r="CY128" s="91">
        <v>21445.214011</v>
      </c>
      <c r="CZ128" s="102">
        <v>19813.131011000001</v>
      </c>
      <c r="DA128" s="102">
        <v>22236.756595999999</v>
      </c>
      <c r="DB128" s="102">
        <v>19853.746679</v>
      </c>
      <c r="DC128" s="102">
        <v>17964.080123</v>
      </c>
      <c r="DD128" s="102">
        <v>18747.934884999999</v>
      </c>
      <c r="DE128" s="102">
        <v>24442.762482999999</v>
      </c>
      <c r="DF128" s="102">
        <v>24179.372040999999</v>
      </c>
      <c r="DG128" s="102">
        <v>21960.663529000001</v>
      </c>
      <c r="DH128" s="102">
        <v>22547.882934000001</v>
      </c>
      <c r="DI128" s="102">
        <v>26557.626723000001</v>
      </c>
      <c r="DJ128" s="102">
        <v>24765.753914000001</v>
      </c>
      <c r="DK128" s="94">
        <f t="shared" si="185"/>
        <v>264514.92492899997</v>
      </c>
    </row>
    <row r="129" spans="1:115" ht="14.45" customHeight="1" outlineLevel="1">
      <c r="A129" s="134"/>
      <c r="B129" s="13" t="s">
        <v>105</v>
      </c>
      <c r="C129" s="14"/>
      <c r="D129" s="91">
        <f>SUM([24]Mar!Q267:Q271)</f>
        <v>64614.195616319994</v>
      </c>
      <c r="E129" s="96">
        <f>SUM([24]Apr!N269:N273)</f>
        <v>81529.519430069995</v>
      </c>
      <c r="F129" s="96"/>
      <c r="G129" s="96"/>
      <c r="H129" s="102"/>
      <c r="I129" s="102"/>
      <c r="J129" s="102"/>
      <c r="K129" s="96"/>
      <c r="L129" s="96"/>
      <c r="M129" s="96"/>
      <c r="N129" s="96"/>
      <c r="O129" s="96"/>
      <c r="P129" s="100">
        <f t="shared" si="175"/>
        <v>146143.71504638999</v>
      </c>
      <c r="Q129" s="101">
        <f>SUM(BS129)</f>
        <v>68149.153581999999</v>
      </c>
      <c r="R129" s="89">
        <f t="shared" si="176"/>
        <v>126.17895905443663</v>
      </c>
      <c r="S129" s="89">
        <f t="shared" si="177"/>
        <v>236.63724207313015</v>
      </c>
      <c r="T129" s="89">
        <f>IF(ISERROR((($P129-$BG129)/ABS($BG129)+1)*100),0,(($P129-$BG129)/ABS($BG129)+1)*100)</f>
        <v>424.1782107468685</v>
      </c>
      <c r="U129" s="96">
        <f>(+'[24]PF resc'!D136)*1000</f>
        <v>94799.031480737409</v>
      </c>
      <c r="V129" s="90">
        <f>IF(ISERROR((($E129-$U129)/ABS($U129)+1)*100),0,(($E129-$U129)/ABS($U129)+1)*100)</f>
        <v>86.002481414207594</v>
      </c>
      <c r="W129" s="3"/>
      <c r="X129" s="91">
        <f t="shared" si="178"/>
        <v>57699.139614067877</v>
      </c>
      <c r="Y129" s="96">
        <f t="shared" si="178"/>
        <v>73287.296436100514</v>
      </c>
      <c r="Z129" s="96"/>
      <c r="AA129" s="96"/>
      <c r="AB129" s="96"/>
      <c r="AC129" s="96"/>
      <c r="AD129" s="96"/>
      <c r="AE129" s="96"/>
      <c r="AF129" s="96"/>
      <c r="AG129" s="96"/>
      <c r="AH129" s="96"/>
      <c r="AI129" s="102"/>
      <c r="AJ129" s="103">
        <f>SUM(X129:AI129)</f>
        <v>130986.43605016838</v>
      </c>
      <c r="AK129" s="88">
        <f t="shared" si="179"/>
        <v>127.0162725584768</v>
      </c>
      <c r="AL129" s="96">
        <f>(+'[24]PF resc'!R136)*1000</f>
        <v>86124.920100249932</v>
      </c>
      <c r="AM129" s="90">
        <f t="shared" si="180"/>
        <v>85.094182207418783</v>
      </c>
      <c r="AN129" s="3"/>
      <c r="AO129" s="91">
        <f t="shared" si="181"/>
        <v>6915.056002252114</v>
      </c>
      <c r="AP129" s="96">
        <f t="shared" si="181"/>
        <v>8242.2229939694735</v>
      </c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102">
        <f>SUM(AO129:AZ129)</f>
        <v>15157.278996221587</v>
      </c>
      <c r="BB129" s="89">
        <f t="shared" si="182"/>
        <v>119.19242579214288</v>
      </c>
      <c r="BC129" s="96">
        <f>(+'[24]PF resc'!AF136)*1000</f>
        <v>8674.1113804874731</v>
      </c>
      <c r="BD129" s="90">
        <f t="shared" si="183"/>
        <v>95.020949494728214</v>
      </c>
      <c r="BF129" s="91">
        <v>33695.777302000002</v>
      </c>
      <c r="BG129" s="102">
        <v>34453.376279999997</v>
      </c>
      <c r="BH129" s="102">
        <v>50924.614113000003</v>
      </c>
      <c r="BI129" s="102">
        <v>40639.324219000002</v>
      </c>
      <c r="BJ129" s="102">
        <v>43596.147956000001</v>
      </c>
      <c r="BK129" s="102">
        <v>43094.903248000002</v>
      </c>
      <c r="BL129" s="102">
        <v>51800.494014545555</v>
      </c>
      <c r="BM129" s="102">
        <v>53961.956290820002</v>
      </c>
      <c r="BN129" s="102">
        <v>46825.41076667</v>
      </c>
      <c r="BO129" s="102">
        <v>50026.700882099998</v>
      </c>
      <c r="BP129" s="102">
        <v>54753.662307909995</v>
      </c>
      <c r="BQ129" s="102">
        <v>63547.376882530007</v>
      </c>
      <c r="BR129" s="102">
        <v>17480.747787759999</v>
      </c>
      <c r="BS129" s="94">
        <f t="shared" si="184"/>
        <v>68149.153581999999</v>
      </c>
      <c r="BU129" s="83">
        <v>31692.99905450553</v>
      </c>
      <c r="BV129" s="96">
        <v>32446.22744422339</v>
      </c>
      <c r="BW129" s="96">
        <v>47942.78152547092</v>
      </c>
      <c r="BX129" s="96">
        <v>38263.874764768625</v>
      </c>
      <c r="BY129" s="96">
        <v>41133.095740779798</v>
      </c>
      <c r="BZ129" s="96">
        <v>39744.82408395136</v>
      </c>
      <c r="CA129" s="96">
        <v>47584.432475696922</v>
      </c>
      <c r="CB129" s="96">
        <v>49624.296363603367</v>
      </c>
      <c r="CC129" s="96">
        <v>42607.557956372497</v>
      </c>
      <c r="CD129" s="96">
        <v>45060.478479997866</v>
      </c>
      <c r="CE129" s="96">
        <v>48942.165678390396</v>
      </c>
      <c r="CF129" s="102">
        <v>56169.586032002873</v>
      </c>
      <c r="CG129" s="96">
        <v>15408.480027032445</v>
      </c>
      <c r="CH129" s="105">
        <v>536620.79962679604</v>
      </c>
      <c r="CJ129" s="83">
        <v>2002.7782474944722</v>
      </c>
      <c r="CK129" s="96">
        <v>2007.1488357766041</v>
      </c>
      <c r="CL129" s="96">
        <v>2981.8325875290825</v>
      </c>
      <c r="CM129" s="96">
        <v>2375.4494542313737</v>
      </c>
      <c r="CN129" s="96">
        <v>2463.0522152202029</v>
      </c>
      <c r="CO129" s="96">
        <v>3350.0791640486491</v>
      </c>
      <c r="CP129" s="96">
        <v>4216.0615388486367</v>
      </c>
      <c r="CQ129" s="96">
        <v>4337.6599272166386</v>
      </c>
      <c r="CR129" s="96">
        <v>4217.8528102975079</v>
      </c>
      <c r="CS129" s="96">
        <v>4966.2224021021284</v>
      </c>
      <c r="CT129" s="96">
        <v>5811.4966295195945</v>
      </c>
      <c r="CU129" s="96">
        <v>7377.7908505271371</v>
      </c>
      <c r="CV129" s="96">
        <v>2072.2677607275541</v>
      </c>
      <c r="CW129" s="106">
        <v>48179.692423539571</v>
      </c>
      <c r="CY129" s="91">
        <v>24284.37125</v>
      </c>
      <c r="CZ129" s="102">
        <v>16886.549584</v>
      </c>
      <c r="DA129" s="102">
        <v>28092.622917000001</v>
      </c>
      <c r="DB129" s="102">
        <v>21318.190834000001</v>
      </c>
      <c r="DC129" s="102">
        <v>32925.39875</v>
      </c>
      <c r="DD129" s="102">
        <v>25739.900001000002</v>
      </c>
      <c r="DE129" s="102">
        <v>25683.14</v>
      </c>
      <c r="DF129" s="102">
        <v>42031.759586</v>
      </c>
      <c r="DG129" s="102">
        <v>39117.363749999997</v>
      </c>
      <c r="DH129" s="102">
        <v>42349.465510000002</v>
      </c>
      <c r="DI129" s="102">
        <v>40104.896785999998</v>
      </c>
      <c r="DJ129" s="102">
        <v>40034.635060000001</v>
      </c>
      <c r="DK129" s="94">
        <f t="shared" si="185"/>
        <v>378568.29402799997</v>
      </c>
    </row>
    <row r="130" spans="1:115" ht="14.45" customHeight="1" outlineLevel="1">
      <c r="A130" s="134"/>
      <c r="B130" s="13" t="s">
        <v>106</v>
      </c>
      <c r="C130" s="14"/>
      <c r="D130" s="91">
        <f>SUM([24]Mar!Q272:Q273)</f>
        <v>6639.8268105400002</v>
      </c>
      <c r="E130" s="96">
        <f>SUM([24]Apr!N274:N275)</f>
        <v>6414.3589842000001</v>
      </c>
      <c r="F130" s="96"/>
      <c r="G130" s="96"/>
      <c r="H130" s="102"/>
      <c r="I130" s="102"/>
      <c r="J130" s="102"/>
      <c r="K130" s="96"/>
      <c r="L130" s="96"/>
      <c r="M130" s="96"/>
      <c r="N130" s="96"/>
      <c r="O130" s="96"/>
      <c r="P130" s="100">
        <f t="shared" si="175"/>
        <v>13054.18579474</v>
      </c>
      <c r="Q130" s="101">
        <f>SUM(BS130)</f>
        <v>4370.7722080000003</v>
      </c>
      <c r="R130" s="89">
        <f t="shared" si="176"/>
        <v>96.604311636832236</v>
      </c>
      <c r="S130" s="89">
        <f t="shared" si="177"/>
        <v>186.36415103973508</v>
      </c>
      <c r="T130" s="89">
        <f>IF(ISERROR((($P130-$BG130)/ABS($BG130)+1)*100),0,(($P130-$BG130)/ABS($BG130)+1)*100)</f>
        <v>379.27909229032849</v>
      </c>
      <c r="U130" s="96">
        <f>(+'[24]PF resc'!D137)*1000</f>
        <v>3320.7940367813703</v>
      </c>
      <c r="V130" s="90">
        <f>IF(ISERROR((($E130-$U130)/ABS($U130)+1)*100),0,(($E130-$U130)/ABS($U130)+1)*100)</f>
        <v>193.15738685248368</v>
      </c>
      <c r="W130" s="3"/>
      <c r="X130" s="91">
        <f t="shared" si="178"/>
        <v>5929.2279428734937</v>
      </c>
      <c r="Y130" s="96">
        <f t="shared" si="178"/>
        <v>5765.8996595195122</v>
      </c>
      <c r="Z130" s="96"/>
      <c r="AA130" s="96"/>
      <c r="AB130" s="96"/>
      <c r="AC130" s="96"/>
      <c r="AD130" s="96"/>
      <c r="AE130" s="96"/>
      <c r="AF130" s="96"/>
      <c r="AG130" s="96"/>
      <c r="AH130" s="96"/>
      <c r="AI130" s="102"/>
      <c r="AJ130" s="103">
        <f>SUM(X130:AI130)</f>
        <v>11695.127602393006</v>
      </c>
      <c r="AK130" s="88">
        <f t="shared" si="179"/>
        <v>97.245370140470129</v>
      </c>
      <c r="AL130" s="96">
        <f>(+'[24]PF resc'!R137)*1000</f>
        <v>3016.9413824158751</v>
      </c>
      <c r="AM130" s="90">
        <f t="shared" si="180"/>
        <v>191.11739104796112</v>
      </c>
      <c r="AN130" s="3"/>
      <c r="AO130" s="91">
        <f t="shared" si="181"/>
        <v>710.59886766650652</v>
      </c>
      <c r="AP130" s="96">
        <f t="shared" si="181"/>
        <v>648.45932468048807</v>
      </c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102">
        <f>SUM(AO130:AZ130)</f>
        <v>1359.0581923469945</v>
      </c>
      <c r="BB130" s="89">
        <f t="shared" si="182"/>
        <v>91.255327609784288</v>
      </c>
      <c r="BC130" s="96">
        <f>(+'[24]PF resc'!AF137)*1000</f>
        <v>303.85265436549537</v>
      </c>
      <c r="BD130" s="90">
        <f t="shared" si="183"/>
        <v>213.41242716296156</v>
      </c>
      <c r="BF130" s="91">
        <v>928.93055100000004</v>
      </c>
      <c r="BG130" s="102">
        <v>3441.8416569999999</v>
      </c>
      <c r="BH130" s="102">
        <v>1453.993048</v>
      </c>
      <c r="BI130" s="102">
        <v>1918.057499</v>
      </c>
      <c r="BJ130" s="102">
        <v>1194.761117</v>
      </c>
      <c r="BK130" s="102">
        <v>1683.2263819999998</v>
      </c>
      <c r="BL130" s="102">
        <v>2834.50001479</v>
      </c>
      <c r="BM130" s="102">
        <v>6084.9306045900003</v>
      </c>
      <c r="BN130" s="102">
        <v>1607.00278452</v>
      </c>
      <c r="BO130" s="102">
        <v>1257.8216756900001</v>
      </c>
      <c r="BP130" s="102">
        <v>1442.4933392200001</v>
      </c>
      <c r="BQ130" s="102">
        <v>1202.9466870700001</v>
      </c>
      <c r="BR130" s="102">
        <v>559.18277517999991</v>
      </c>
      <c r="BS130" s="94">
        <f t="shared" si="184"/>
        <v>4370.7722080000003</v>
      </c>
      <c r="BU130" s="83">
        <v>873.71764155138999</v>
      </c>
      <c r="BV130" s="96">
        <v>3241.3304380520558</v>
      </c>
      <c r="BW130" s="96">
        <v>1368.8561465608125</v>
      </c>
      <c r="BX130" s="96">
        <v>1805.9432174083347</v>
      </c>
      <c r="BY130" s="96">
        <v>1127.26068051979</v>
      </c>
      <c r="BZ130" s="96">
        <v>1552.3769959771439</v>
      </c>
      <c r="CA130" s="96">
        <v>2603.7990008022507</v>
      </c>
      <c r="CB130" s="96">
        <v>5595.801568919469</v>
      </c>
      <c r="CC130" s="96">
        <v>1462.2501576905477</v>
      </c>
      <c r="CD130" s="96">
        <v>1132.9559125371791</v>
      </c>
      <c r="CE130" s="96">
        <v>1289.3886001828373</v>
      </c>
      <c r="CF130" s="102">
        <v>1063.2857050291057</v>
      </c>
      <c r="CG130" s="96">
        <v>492.8940527850088</v>
      </c>
      <c r="CH130" s="105">
        <v>23609.860118015924</v>
      </c>
      <c r="CJ130" s="83">
        <v>55.212909448610006</v>
      </c>
      <c r="CK130" s="96">
        <v>200.51121894794366</v>
      </c>
      <c r="CL130" s="96">
        <v>85.136901439187483</v>
      </c>
      <c r="CM130" s="96">
        <v>112.11428159166515</v>
      </c>
      <c r="CN130" s="96">
        <v>67.50043648020997</v>
      </c>
      <c r="CO130" s="96">
        <v>130.84938602285621</v>
      </c>
      <c r="CP130" s="96">
        <v>230.70101398774952</v>
      </c>
      <c r="CQ130" s="96">
        <v>489.12903567053149</v>
      </c>
      <c r="CR130" s="96">
        <v>144.75262682945234</v>
      </c>
      <c r="CS130" s="96">
        <v>124.86576315282095</v>
      </c>
      <c r="CT130" s="96">
        <v>153.10473903716277</v>
      </c>
      <c r="CU130" s="96">
        <v>139.66098204089448</v>
      </c>
      <c r="CV130" s="96">
        <v>66.288722394991126</v>
      </c>
      <c r="CW130" s="106">
        <v>1999.8280170440751</v>
      </c>
      <c r="CY130" s="91">
        <v>6028.1370119999992</v>
      </c>
      <c r="CZ130" s="102">
        <v>4507.3879190000007</v>
      </c>
      <c r="DA130" s="102">
        <v>2482.9858340000001</v>
      </c>
      <c r="DB130" s="102">
        <v>2479.7850020000001</v>
      </c>
      <c r="DC130" s="102">
        <v>1664.9583439999999</v>
      </c>
      <c r="DD130" s="102">
        <v>1766.7770849999999</v>
      </c>
      <c r="DE130" s="102">
        <v>1805.135004</v>
      </c>
      <c r="DF130" s="102">
        <v>4302.7633379999997</v>
      </c>
      <c r="DG130" s="102">
        <v>2129.4829173333333</v>
      </c>
      <c r="DH130" s="102">
        <v>1995.8659749999999</v>
      </c>
      <c r="DI130" s="102">
        <v>1778.4291639999999</v>
      </c>
      <c r="DJ130" s="102">
        <v>2877.9562499999997</v>
      </c>
      <c r="DK130" s="94">
        <f t="shared" si="185"/>
        <v>33819.663844333336</v>
      </c>
    </row>
    <row r="131" spans="1:115" ht="14.45" customHeight="1" outlineLevel="1">
      <c r="A131" s="134"/>
      <c r="B131" s="13" t="s">
        <v>107</v>
      </c>
      <c r="C131" s="14"/>
      <c r="D131" s="91">
        <f>[24]Mar!Q274</f>
        <v>404125.46051266999</v>
      </c>
      <c r="E131" s="96">
        <f>[24]Apr!N276</f>
        <v>386072.93706540001</v>
      </c>
      <c r="F131" s="96"/>
      <c r="G131" s="96"/>
      <c r="H131" s="102"/>
      <c r="I131" s="102"/>
      <c r="J131" s="102"/>
      <c r="K131" s="96"/>
      <c r="L131" s="96"/>
      <c r="M131" s="96"/>
      <c r="N131" s="96"/>
      <c r="O131" s="96"/>
      <c r="P131" s="100">
        <f t="shared" si="175"/>
        <v>790198.39757806994</v>
      </c>
      <c r="Q131" s="101">
        <f>SUM(BS131)</f>
        <v>340541.98011499998</v>
      </c>
      <c r="R131" s="89">
        <f t="shared" si="176"/>
        <v>95.532940828729593</v>
      </c>
      <c r="S131" s="89">
        <f t="shared" si="177"/>
        <v>228.19422929309931</v>
      </c>
      <c r="T131" s="89">
        <f>IF(ISERROR((($P131-$BG131)/ABS($BG131)+1)*100),0,(($P131-$BG131)/ABS($BG131)+1)*100)</f>
        <v>467.05867470172899</v>
      </c>
      <c r="U131" s="96">
        <f>(+'[24]PF resc'!D138)*1000</f>
        <v>398157.9801409638</v>
      </c>
      <c r="V131" s="90">
        <f>IF(ISERROR((($E131-$U131)/ABS($U131)+1)*100),0,(($E131-$U131)/ABS($U131)+1)*100)</f>
        <v>96.964761808545148</v>
      </c>
      <c r="W131" s="3"/>
      <c r="X131" s="91">
        <f t="shared" si="178"/>
        <v>360875.67360864172</v>
      </c>
      <c r="Y131" s="96">
        <f t="shared" si="178"/>
        <v>347042.91135846399</v>
      </c>
      <c r="Z131" s="96"/>
      <c r="AA131" s="96"/>
      <c r="AB131" s="96"/>
      <c r="AC131" s="96"/>
      <c r="AD131" s="96"/>
      <c r="AE131" s="96"/>
      <c r="AF131" s="96"/>
      <c r="AG131" s="96"/>
      <c r="AH131" s="96"/>
      <c r="AI131" s="102"/>
      <c r="AJ131" s="103">
        <f>SUM(X131:AI131)</f>
        <v>707918.58496710565</v>
      </c>
      <c r="AK131" s="88">
        <f t="shared" si="179"/>
        <v>96.166889801173198</v>
      </c>
      <c r="AL131" s="96">
        <f>(+'[24]PF resc'!R138)*1000</f>
        <v>361726.52495806565</v>
      </c>
      <c r="AM131" s="90">
        <f t="shared" si="180"/>
        <v>95.940686516891759</v>
      </c>
      <c r="AN131" s="3"/>
      <c r="AO131" s="91">
        <f t="shared" si="181"/>
        <v>43249.786904028282</v>
      </c>
      <c r="AP131" s="96">
        <f t="shared" si="181"/>
        <v>39030.025706935994</v>
      </c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102">
        <f>SUM(AO131:AZ131)</f>
        <v>82279.812610964276</v>
      </c>
      <c r="BB131" s="89">
        <f t="shared" si="182"/>
        <v>90.243278639832425</v>
      </c>
      <c r="BC131" s="96">
        <f>(+'[24]PF resc'!AF138)*1000</f>
        <v>36431.455182898186</v>
      </c>
      <c r="BD131" s="90">
        <f t="shared" si="183"/>
        <v>107.13276620709249</v>
      </c>
      <c r="BF131" s="91">
        <v>171355.87130699999</v>
      </c>
      <c r="BG131" s="102">
        <v>169186.10880799999</v>
      </c>
      <c r="BH131" s="102">
        <v>174293.90103000001</v>
      </c>
      <c r="BI131" s="102">
        <v>176376.442702</v>
      </c>
      <c r="BJ131" s="102">
        <v>176262.73200700001</v>
      </c>
      <c r="BK131" s="102">
        <v>181130.92797799999</v>
      </c>
      <c r="BL131" s="102">
        <v>142959.59599609999</v>
      </c>
      <c r="BM131" s="102">
        <v>261104.46307917</v>
      </c>
      <c r="BN131" s="102">
        <v>261717.528563</v>
      </c>
      <c r="BO131" s="102">
        <v>253029.6962607</v>
      </c>
      <c r="BP131" s="102">
        <v>248887.50622268001</v>
      </c>
      <c r="BQ131" s="102">
        <v>244720.60509560001</v>
      </c>
      <c r="BR131" s="102">
        <v>54779.397557659999</v>
      </c>
      <c r="BS131" s="94">
        <f>SUM(BF131:BG131)</f>
        <v>340541.98011499998</v>
      </c>
      <c r="BU131" s="83">
        <v>161170.98052503983</v>
      </c>
      <c r="BV131" s="96">
        <v>159329.84106332972</v>
      </c>
      <c r="BW131" s="96">
        <v>164088.32082185955</v>
      </c>
      <c r="BX131" s="96">
        <v>166066.88828377333</v>
      </c>
      <c r="BY131" s="96">
        <v>166304.41383244999</v>
      </c>
      <c r="BZ131" s="96">
        <v>167050.30818192111</v>
      </c>
      <c r="CA131" s="96">
        <v>131324.0611280493</v>
      </c>
      <c r="CB131" s="96">
        <v>240115.92885679961</v>
      </c>
      <c r="CC131" s="96">
        <v>238143.02072036287</v>
      </c>
      <c r="CD131" s="96">
        <v>227911.07512818777</v>
      </c>
      <c r="CE131" s="96">
        <v>222470.84580992645</v>
      </c>
      <c r="CF131" s="102">
        <v>216308.77238459259</v>
      </c>
      <c r="CG131" s="96">
        <v>48285.534658367935</v>
      </c>
      <c r="CH131" s="105">
        <v>2308569.99139466</v>
      </c>
      <c r="CJ131" s="83">
        <v>10184.890781960146</v>
      </c>
      <c r="CK131" s="96">
        <v>9856.2677446702492</v>
      </c>
      <c r="CL131" s="96">
        <v>10205.580208140451</v>
      </c>
      <c r="CM131" s="96">
        <v>10309.554418226657</v>
      </c>
      <c r="CN131" s="96">
        <v>9958.3181745500151</v>
      </c>
      <c r="CO131" s="96">
        <v>14080.619796078914</v>
      </c>
      <c r="CP131" s="96">
        <v>11635.534868050705</v>
      </c>
      <c r="CQ131" s="96">
        <v>20988.534222370414</v>
      </c>
      <c r="CR131" s="96">
        <v>23574.507842637147</v>
      </c>
      <c r="CS131" s="96">
        <v>25118.621132512239</v>
      </c>
      <c r="CT131" s="96">
        <v>26416.660412753547</v>
      </c>
      <c r="CU131" s="96">
        <v>28411.832711007413</v>
      </c>
      <c r="CV131" s="96">
        <v>6493.8628992920667</v>
      </c>
      <c r="CW131" s="106">
        <v>207234.78521224996</v>
      </c>
      <c r="CY131" s="91">
        <v>161927.81650099999</v>
      </c>
      <c r="CZ131" s="102">
        <v>166109.62617100001</v>
      </c>
      <c r="DA131" s="102">
        <v>168024.54217199999</v>
      </c>
      <c r="DB131" s="102">
        <v>168378.26202299999</v>
      </c>
      <c r="DC131" s="102">
        <v>168969.34627499999</v>
      </c>
      <c r="DD131" s="102">
        <v>168329.15002500001</v>
      </c>
      <c r="DE131" s="102">
        <v>167818.25560800001</v>
      </c>
      <c r="DF131" s="102">
        <v>167763.97377499999</v>
      </c>
      <c r="DG131" s="102">
        <v>170742.15252500001</v>
      </c>
      <c r="DH131" s="102">
        <v>170737.16237000001</v>
      </c>
      <c r="DI131" s="102">
        <v>169597.49515199999</v>
      </c>
      <c r="DJ131" s="102">
        <v>176813.49918000001</v>
      </c>
      <c r="DK131" s="94">
        <f t="shared" si="185"/>
        <v>2025211.2817770003</v>
      </c>
    </row>
    <row r="132" spans="1:115" ht="14.45" customHeight="1" outlineLevel="1">
      <c r="A132" s="12"/>
      <c r="B132" s="13"/>
      <c r="C132" s="14"/>
      <c r="D132" s="91"/>
      <c r="E132" s="96"/>
      <c r="F132" s="104"/>
      <c r="G132" s="102"/>
      <c r="H132" s="102"/>
      <c r="I132" s="102"/>
      <c r="J132" s="102"/>
      <c r="K132" s="96"/>
      <c r="L132" s="102"/>
      <c r="M132" s="102"/>
      <c r="N132" s="102"/>
      <c r="O132" s="102"/>
      <c r="P132" s="100">
        <f t="shared" si="175"/>
        <v>0</v>
      </c>
      <c r="Q132" s="101"/>
      <c r="R132" s="89"/>
      <c r="S132" s="89"/>
      <c r="T132" s="89"/>
      <c r="U132" s="89"/>
      <c r="V132" s="90"/>
      <c r="W132" s="3"/>
      <c r="X132" s="91"/>
      <c r="Y132" s="96"/>
      <c r="Z132" s="96"/>
      <c r="AA132" s="96"/>
      <c r="AB132" s="96"/>
      <c r="AC132" s="96"/>
      <c r="AD132" s="96"/>
      <c r="AE132" s="96"/>
      <c r="AF132" s="96"/>
      <c r="AG132" s="102"/>
      <c r="AH132" s="102"/>
      <c r="AI132" s="102"/>
      <c r="AJ132" s="103"/>
      <c r="AK132" s="88"/>
      <c r="AL132" s="89"/>
      <c r="AM132" s="90"/>
      <c r="AN132" s="3"/>
      <c r="AO132" s="91"/>
      <c r="AP132" s="96"/>
      <c r="AQ132" s="96"/>
      <c r="AR132" s="96"/>
      <c r="AS132" s="96"/>
      <c r="AT132" s="96"/>
      <c r="AU132" s="96"/>
      <c r="AV132" s="96"/>
      <c r="AW132" s="96"/>
      <c r="AX132" s="102"/>
      <c r="AY132" s="102"/>
      <c r="AZ132" s="96"/>
      <c r="BA132" s="102"/>
      <c r="BB132" s="89">
        <f>IF(ISERROR((($CU132-$AX132)/ABS($AX132)+1)*100),0,(($CU132-$AX132)/ABS($AX132)+1)*100)</f>
        <v>0</v>
      </c>
      <c r="BC132" s="89"/>
      <c r="BD132" s="90"/>
      <c r="BF132" s="91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94"/>
      <c r="BU132" s="83"/>
      <c r="BV132" s="96"/>
      <c r="BW132" s="96"/>
      <c r="BX132" s="96"/>
      <c r="BY132" s="96"/>
      <c r="BZ132" s="96"/>
      <c r="CA132" s="96"/>
      <c r="CB132" s="96"/>
      <c r="CC132" s="96"/>
      <c r="CD132" s="102"/>
      <c r="CE132" s="102"/>
      <c r="CF132" s="102"/>
      <c r="CG132" s="96"/>
      <c r="CH132" s="105"/>
      <c r="CJ132" s="83"/>
      <c r="CK132" s="96"/>
      <c r="CL132" s="96"/>
      <c r="CM132" s="96"/>
      <c r="CN132" s="96"/>
      <c r="CO132" s="96"/>
      <c r="CP132" s="96"/>
      <c r="CQ132" s="96"/>
      <c r="CR132" s="96"/>
      <c r="CS132" s="102"/>
      <c r="CT132" s="102"/>
      <c r="CU132" s="96"/>
      <c r="CV132" s="96"/>
      <c r="CW132" s="106"/>
      <c r="CY132" s="91"/>
      <c r="CZ132" s="102"/>
      <c r="DA132" s="102"/>
      <c r="DB132" s="102"/>
      <c r="DC132" s="102"/>
      <c r="DD132" s="102"/>
      <c r="DE132" s="102"/>
      <c r="DF132" s="102"/>
      <c r="DG132" s="102"/>
      <c r="DH132" s="102"/>
      <c r="DI132" s="102"/>
      <c r="DJ132" s="102"/>
      <c r="DK132" s="94"/>
    </row>
    <row r="133" spans="1:115" ht="14.45" customHeight="1">
      <c r="A133" s="107" t="s">
        <v>108</v>
      </c>
      <c r="B133" s="136"/>
      <c r="C133" s="137"/>
      <c r="D133" s="118">
        <f>SUM(D127:D132)</f>
        <v>794336.99066330912</v>
      </c>
      <c r="E133" s="111">
        <f>SUM(E127:E132)</f>
        <v>797419.30940595001</v>
      </c>
      <c r="F133" s="112">
        <f t="shared" ref="F133:O133" si="186">SUM(F127:F132)</f>
        <v>0</v>
      </c>
      <c r="G133" s="113">
        <f t="shared" si="186"/>
        <v>0</v>
      </c>
      <c r="H133" s="113">
        <f>SUM(H127:H132)</f>
        <v>0</v>
      </c>
      <c r="I133" s="113">
        <f>SUM(I127:I132)</f>
        <v>0</v>
      </c>
      <c r="J133" s="113">
        <f t="shared" si="186"/>
        <v>0</v>
      </c>
      <c r="K133" s="111">
        <f t="shared" si="186"/>
        <v>0</v>
      </c>
      <c r="L133" s="113">
        <f t="shared" si="186"/>
        <v>0</v>
      </c>
      <c r="M133" s="113">
        <f t="shared" si="186"/>
        <v>0</v>
      </c>
      <c r="N133" s="113">
        <f t="shared" si="186"/>
        <v>0</v>
      </c>
      <c r="O133" s="113">
        <f t="shared" si="186"/>
        <v>0</v>
      </c>
      <c r="P133" s="114">
        <f t="shared" si="175"/>
        <v>1591756.300069259</v>
      </c>
      <c r="Q133" s="114">
        <f>SUM(BS133)</f>
        <v>689294.15077599999</v>
      </c>
      <c r="R133" s="115">
        <f>IF(ISERROR((($E133-$D133)/ABS($D133)+1)*100),0,(($E133-$D133)/ABS($D133)+1)*100)</f>
        <v>100.38803666187913</v>
      </c>
      <c r="S133" s="115">
        <f>IF(ISERROR((($E133-$BG133)/ABS($BG133)+1)*100),0,(($E133-$BG133)/ABS($BG133)+1)*100)</f>
        <v>232.36465973301526</v>
      </c>
      <c r="T133" s="115">
        <f>IF(ISERROR((($P133-$BG133)/ABS($BG133)+1)*100),0,(($P133-$BG133)/ABS($BG133)+1)*100)</f>
        <v>463.83114464461067</v>
      </c>
      <c r="U133" s="111">
        <f>SUM(U127:U132)</f>
        <v>858569.86990054394</v>
      </c>
      <c r="V133" s="117">
        <f>IF(ISERROR((($E133-$U133)/ABS($U133)+1)*100),0,(($E133-$U133)/ABS($U133)+1)*100)</f>
        <v>92.877625614595871</v>
      </c>
      <c r="W133" s="3"/>
      <c r="X133" s="118">
        <f t="shared" ref="X133:AI133" si="187">SUM(X127:X132)</f>
        <v>709326.49532705173</v>
      </c>
      <c r="Y133" s="111">
        <f t="shared" ref="Y133" si="188">SUM(Y127:Y132)</f>
        <v>716804.24122247566</v>
      </c>
      <c r="Z133" s="111">
        <f t="shared" si="187"/>
        <v>0</v>
      </c>
      <c r="AA133" s="111">
        <f t="shared" si="187"/>
        <v>0</v>
      </c>
      <c r="AB133" s="111">
        <f t="shared" si="187"/>
        <v>0</v>
      </c>
      <c r="AC133" s="111">
        <f t="shared" si="187"/>
        <v>0</v>
      </c>
      <c r="AD133" s="111">
        <f t="shared" si="187"/>
        <v>0</v>
      </c>
      <c r="AE133" s="111">
        <f t="shared" si="187"/>
        <v>0</v>
      </c>
      <c r="AF133" s="111">
        <f t="shared" si="187"/>
        <v>0</v>
      </c>
      <c r="AG133" s="113">
        <f t="shared" si="187"/>
        <v>0</v>
      </c>
      <c r="AH133" s="113">
        <f t="shared" ref="AH133" si="189">SUM(AH127:AH132)</f>
        <v>0</v>
      </c>
      <c r="AI133" s="113">
        <f t="shared" si="187"/>
        <v>0</v>
      </c>
      <c r="AJ133" s="119">
        <f>SUM(X133:AI133)</f>
        <v>1426130.7365495274</v>
      </c>
      <c r="AK133" s="116">
        <f>IF(ISERROR((($Y133-$X133)/ABS($X133)+1)*100),0,(($Y133-$X133)/ABS($X133)+1)*100)</f>
        <v>101.05420366286701</v>
      </c>
      <c r="AL133" s="111">
        <f>SUM(AL127:AL132)</f>
        <v>780010.7268046441</v>
      </c>
      <c r="AM133" s="117">
        <f>IF(ISERROR((($Y133-$AL133)/ABS($AL133)+1)*100),0,(($Y133-$AL133)/ABS($AL133)+1)*100)</f>
        <v>91.896715851447681</v>
      </c>
      <c r="AN133" s="3"/>
      <c r="AO133" s="118">
        <f t="shared" ref="AO133:AZ133" si="190">SUM(AO127:AO132)</f>
        <v>85010.49533625746</v>
      </c>
      <c r="AP133" s="111">
        <f t="shared" si="190"/>
        <v>80615.068183474228</v>
      </c>
      <c r="AQ133" s="111">
        <f t="shared" si="190"/>
        <v>0</v>
      </c>
      <c r="AR133" s="111">
        <f t="shared" si="190"/>
        <v>0</v>
      </c>
      <c r="AS133" s="111">
        <f t="shared" si="190"/>
        <v>0</v>
      </c>
      <c r="AT133" s="111">
        <f t="shared" si="190"/>
        <v>0</v>
      </c>
      <c r="AU133" s="111">
        <f t="shared" si="190"/>
        <v>0</v>
      </c>
      <c r="AV133" s="111">
        <f t="shared" si="190"/>
        <v>0</v>
      </c>
      <c r="AW133" s="111">
        <f t="shared" si="190"/>
        <v>0</v>
      </c>
      <c r="AX133" s="113">
        <f t="shared" si="190"/>
        <v>0</v>
      </c>
      <c r="AY133" s="113">
        <f t="shared" si="190"/>
        <v>0</v>
      </c>
      <c r="AZ133" s="111">
        <f t="shared" si="190"/>
        <v>0</v>
      </c>
      <c r="BA133" s="120">
        <f>SUM(AO133:AZ133)</f>
        <v>165625.56351973169</v>
      </c>
      <c r="BB133" s="115">
        <f>IF(ISERROR((($AP133-$AO133)/ABS($AO133)+1)*100),0,(($AP133-$AO133)/ABS($AO133)+1)*100)</f>
        <v>94.829547651266822</v>
      </c>
      <c r="BC133" s="111">
        <f t="shared" ref="BC133" si="191">SUM(BC127:BC132)</f>
        <v>78559.143095899766</v>
      </c>
      <c r="BD133" s="117">
        <f>IF(ISERROR((($AP133-$BC133)/ABS($BC133)+1)*100),0,(($AP133-$BC133)/ABS($BC133)+1)*100)</f>
        <v>102.61704113175563</v>
      </c>
      <c r="BF133" s="118">
        <v>346118.33810199995</v>
      </c>
      <c r="BG133" s="113">
        <v>343175.81267400004</v>
      </c>
      <c r="BH133" s="113">
        <v>377054.20995399996</v>
      </c>
      <c r="BI133" s="113">
        <v>379151.80662699998</v>
      </c>
      <c r="BJ133" s="113">
        <v>379693.89292699995</v>
      </c>
      <c r="BK133" s="113">
        <v>390577.05584400002</v>
      </c>
      <c r="BL133" s="113">
        <v>394162.84907938889</v>
      </c>
      <c r="BM133" s="113">
        <v>525165.57583401783</v>
      </c>
      <c r="BN133" s="113">
        <v>516356.21344781778</v>
      </c>
      <c r="BO133" s="113">
        <v>506934.00073810667</v>
      </c>
      <c r="BP133" s="113">
        <v>483936.69996926666</v>
      </c>
      <c r="BQ133" s="113">
        <v>512101.35215685004</v>
      </c>
      <c r="BR133" s="113">
        <v>118063.6655764</v>
      </c>
      <c r="BS133" s="121">
        <f>SUM(BF133:BG133)</f>
        <v>689294.15077599999</v>
      </c>
      <c r="BU133" s="110">
        <v>325546.07848629798</v>
      </c>
      <c r="BV133" s="111">
        <v>323183.43435736001</v>
      </c>
      <c r="BW133" s="111">
        <v>354976.23155221855</v>
      </c>
      <c r="BX133" s="111">
        <v>356989.62825834821</v>
      </c>
      <c r="BY133" s="111">
        <v>358242.32144817809</v>
      </c>
      <c r="BZ133" s="111">
        <v>360214.67054733098</v>
      </c>
      <c r="CA133" s="111">
        <v>362081.78769839177</v>
      </c>
      <c r="CB133" s="111">
        <v>482950.8410461985</v>
      </c>
      <c r="CC133" s="111">
        <v>469844.83276056749</v>
      </c>
      <c r="CD133" s="113">
        <v>456609.93486004591</v>
      </c>
      <c r="CE133" s="113">
        <v>432572.16320172453</v>
      </c>
      <c r="CF133" s="113">
        <v>452646.86550715711</v>
      </c>
      <c r="CG133" s="111">
        <v>104067.72382048704</v>
      </c>
      <c r="CH133" s="122">
        <v>4839926.5135443062</v>
      </c>
      <c r="CJ133" s="110">
        <v>20572.259615702002</v>
      </c>
      <c r="CK133" s="111">
        <v>19992.378316639948</v>
      </c>
      <c r="CL133" s="111">
        <v>22077.978401781467</v>
      </c>
      <c r="CM133" s="111">
        <v>22162.178368651737</v>
      </c>
      <c r="CN133" s="111">
        <v>21451.571478821912</v>
      </c>
      <c r="CO133" s="111">
        <v>30362.385296669039</v>
      </c>
      <c r="CP133" s="111">
        <v>32081.06138099714</v>
      </c>
      <c r="CQ133" s="111">
        <v>42214.734787819412</v>
      </c>
      <c r="CR133" s="111">
        <v>46511.380687250319</v>
      </c>
      <c r="CS133" s="113">
        <v>50324.065878060792</v>
      </c>
      <c r="CT133" s="113">
        <v>51364.536767542129</v>
      </c>
      <c r="CU133" s="111">
        <v>59454.486649692903</v>
      </c>
      <c r="CV133" s="111">
        <v>13995.941755912958</v>
      </c>
      <c r="CW133" s="122">
        <v>432564.95938554173</v>
      </c>
      <c r="CY133" s="118">
        <v>295656.68362000003</v>
      </c>
      <c r="CZ133" s="113">
        <v>286523.70328100002</v>
      </c>
      <c r="DA133" s="113">
        <v>303096.84486499999</v>
      </c>
      <c r="DB133" s="113">
        <v>293860.07813400001</v>
      </c>
      <c r="DC133" s="113">
        <v>303112.29208799999</v>
      </c>
      <c r="DD133" s="113">
        <v>314597.59327700001</v>
      </c>
      <c r="DE133" s="113">
        <v>326558.76331100002</v>
      </c>
      <c r="DF133" s="113">
        <v>337698.52141799999</v>
      </c>
      <c r="DG133" s="113">
        <v>333857.80289933336</v>
      </c>
      <c r="DH133" s="113">
        <v>360881.61206000001</v>
      </c>
      <c r="DI133" s="113">
        <v>360614.53592599998</v>
      </c>
      <c r="DJ133" s="113">
        <v>363036.26960100001</v>
      </c>
      <c r="DK133" s="121">
        <f>SUM(CY133:DJ133)</f>
        <v>3879494.7004803331</v>
      </c>
    </row>
    <row r="134" spans="1:115" ht="14.45" customHeight="1" outlineLevel="1">
      <c r="A134" s="123"/>
      <c r="B134" s="13"/>
      <c r="C134" s="14"/>
      <c r="D134" s="172"/>
      <c r="E134" s="173"/>
      <c r="F134" s="187"/>
      <c r="G134" s="174"/>
      <c r="H134" s="174"/>
      <c r="I134" s="174"/>
      <c r="J134" s="174"/>
      <c r="K134" s="173"/>
      <c r="L134" s="174"/>
      <c r="M134" s="174"/>
      <c r="N134" s="174"/>
      <c r="O134" s="174"/>
      <c r="P134" s="100"/>
      <c r="Q134" s="101"/>
      <c r="R134" s="89"/>
      <c r="S134" s="89"/>
      <c r="T134" s="89"/>
      <c r="U134" s="89"/>
      <c r="V134" s="90"/>
      <c r="W134" s="3"/>
      <c r="X134" s="91"/>
      <c r="Y134" s="96"/>
      <c r="Z134" s="96"/>
      <c r="AA134" s="96"/>
      <c r="AB134" s="96"/>
      <c r="AC134" s="96"/>
      <c r="AD134" s="96"/>
      <c r="AE134" s="96"/>
      <c r="AF134" s="96"/>
      <c r="AG134" s="174"/>
      <c r="AH134" s="174"/>
      <c r="AI134" s="174"/>
      <c r="AJ134" s="103"/>
      <c r="AK134" s="88"/>
      <c r="AL134" s="89"/>
      <c r="AM134" s="90"/>
      <c r="AN134" s="3"/>
      <c r="AO134" s="91"/>
      <c r="AP134" s="96"/>
      <c r="AQ134" s="96"/>
      <c r="AR134" s="96"/>
      <c r="AS134" s="96"/>
      <c r="AT134" s="96"/>
      <c r="AU134" s="96"/>
      <c r="AV134" s="96"/>
      <c r="AW134" s="96"/>
      <c r="AX134" s="174"/>
      <c r="AY134" s="174"/>
      <c r="AZ134" s="173"/>
      <c r="BA134" s="102"/>
      <c r="BB134" s="89"/>
      <c r="BC134" s="89"/>
      <c r="BD134" s="90"/>
      <c r="BF134" s="172"/>
      <c r="BG134" s="174"/>
      <c r="BH134" s="174"/>
      <c r="BI134" s="174"/>
      <c r="BJ134" s="174"/>
      <c r="BK134" s="174"/>
      <c r="BL134" s="174"/>
      <c r="BM134" s="174"/>
      <c r="BN134" s="174"/>
      <c r="BO134" s="174"/>
      <c r="BP134" s="174"/>
      <c r="BQ134" s="174"/>
      <c r="BR134" s="102"/>
      <c r="BS134" s="94"/>
      <c r="BU134" s="83"/>
      <c r="BV134" s="96"/>
      <c r="BW134" s="96"/>
      <c r="BX134" s="96"/>
      <c r="BY134" s="96"/>
      <c r="BZ134" s="96"/>
      <c r="CA134" s="96"/>
      <c r="CB134" s="96"/>
      <c r="CC134" s="96"/>
      <c r="CD134" s="174"/>
      <c r="CE134" s="174"/>
      <c r="CF134" s="174"/>
      <c r="CG134" s="173"/>
      <c r="CH134" s="105"/>
      <c r="CJ134" s="83"/>
      <c r="CK134" s="96"/>
      <c r="CL134" s="96"/>
      <c r="CM134" s="96"/>
      <c r="CN134" s="96"/>
      <c r="CO134" s="96"/>
      <c r="CP134" s="96"/>
      <c r="CQ134" s="96"/>
      <c r="CR134" s="96"/>
      <c r="CS134" s="174"/>
      <c r="CT134" s="174"/>
      <c r="CU134" s="173"/>
      <c r="CV134" s="173"/>
      <c r="CW134" s="106"/>
      <c r="CY134" s="172"/>
      <c r="CZ134" s="174"/>
      <c r="DA134" s="174"/>
      <c r="DB134" s="174"/>
      <c r="DC134" s="174"/>
      <c r="DD134" s="174"/>
      <c r="DE134" s="174"/>
      <c r="DF134" s="174"/>
      <c r="DG134" s="174"/>
      <c r="DH134" s="174"/>
      <c r="DI134" s="174"/>
      <c r="DJ134" s="174"/>
      <c r="DK134" s="94"/>
    </row>
    <row r="135" spans="1:115" ht="14.45" customHeight="1" outlineLevel="1">
      <c r="A135" s="123"/>
      <c r="B135" s="13" t="s">
        <v>109</v>
      </c>
      <c r="C135" s="14"/>
      <c r="D135" s="91">
        <f>SUM([24]Mar!Q276:Q277)</f>
        <v>28011.90530206</v>
      </c>
      <c r="E135" s="96">
        <f>SUM([24]Apr!N278:N279)</f>
        <v>50254.479419969997</v>
      </c>
      <c r="F135" s="96"/>
      <c r="G135" s="96"/>
      <c r="H135" s="102"/>
      <c r="I135" s="102"/>
      <c r="J135" s="102"/>
      <c r="K135" s="96"/>
      <c r="L135" s="96"/>
      <c r="M135" s="96"/>
      <c r="N135" s="96"/>
      <c r="O135" s="96"/>
      <c r="P135" s="100">
        <f>SUM(D135:O135)</f>
        <v>78266.384722029994</v>
      </c>
      <c r="Q135" s="101">
        <f>SUM(BS135)</f>
        <v>43418.694755999997</v>
      </c>
      <c r="R135" s="89">
        <f t="shared" ref="R135:R139" si="192">IF(ISERROR((($E135-$D135)/ABS($D135)+1)*100),0,(($E135-$D135)/ABS($D135)+1)*100)</f>
        <v>179.404002969674</v>
      </c>
      <c r="S135" s="89">
        <f t="shared" ref="S135:S139" si="193">IF(ISERROR((($E135-$BG135)/ABS($BG135)+1)*100),0,(($E135-$BG135)/ABS($BG135)+1)*100)</f>
        <v>230.81424523317148</v>
      </c>
      <c r="T135" s="89">
        <f>IF(ISERROR((($P135-$BG135)/ABS($BG135)+1)*100),0,(($P135-$BG135)/ABS($BG135)+1)*100)</f>
        <v>359.47037408899621</v>
      </c>
      <c r="U135" s="96">
        <f>(+'[24]PF resc'!D142)*1000</f>
        <v>47889.148950939925</v>
      </c>
      <c r="V135" s="90">
        <f>IF(ISERROR((($E135-$U135)/ABS($U135)+1)*100),0,(($E135-$U135)/ABS($U135)+1)*100)</f>
        <v>104.9391783333908</v>
      </c>
      <c r="W135" s="3"/>
      <c r="X135" s="91">
        <f>D135*X$201</f>
        <v>25014.051780153695</v>
      </c>
      <c r="Y135" s="96">
        <f>E135*Y$201</f>
        <v>45174.005148555705</v>
      </c>
      <c r="Z135" s="96"/>
      <c r="AA135" s="96"/>
      <c r="AB135" s="96"/>
      <c r="AC135" s="96"/>
      <c r="AD135" s="96"/>
      <c r="AE135" s="96"/>
      <c r="AF135" s="96"/>
      <c r="AG135" s="96"/>
      <c r="AH135" s="96"/>
      <c r="AI135" s="102"/>
      <c r="AJ135" s="103">
        <f>SUM(X135:AI135)</f>
        <v>70188.056928709397</v>
      </c>
      <c r="AK135" s="88">
        <f t="shared" ref="AK135:AK139" si="194">IF(ISERROR((($Y135-$X135)/ABS($X135)+1)*100),0,(($Y135-$X135)/ABS($X135)+1)*100)</f>
        <v>180.59451361812981</v>
      </c>
      <c r="AL135" s="96">
        <f>(+'[24]PF resc'!R142)*1000</f>
        <v>43507.29182192892</v>
      </c>
      <c r="AM135" s="90">
        <f t="shared" ref="AM135:AM139" si="195">IF(ISERROR((($Y135-$AL135)/ABS($AL135)+1)*100),0,(($Y135-$AL135)/ABS($AL135)+1)*100)</f>
        <v>103.83088272524172</v>
      </c>
      <c r="AN135" s="3"/>
      <c r="AO135" s="91">
        <f>D135*AO$201</f>
        <v>2997.8535219063051</v>
      </c>
      <c r="AP135" s="96">
        <f>E135*AP$201</f>
        <v>5080.474271414294</v>
      </c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102">
        <f>SUM(AO135:AZ135)</f>
        <v>8078.3277933205991</v>
      </c>
      <c r="BB135" s="89">
        <f t="shared" ref="BB135:BB139" si="196">IF(ISERROR((($AP135-$AO135)/ABS($AO135)+1)*100),0,(($AP135-$AO135)/ABS($AO135)+1)*100)</f>
        <v>169.47039721219173</v>
      </c>
      <c r="BC135" s="96">
        <f>(+'[24]PF resc'!AF142)*1000</f>
        <v>4381.8571290110031</v>
      </c>
      <c r="BD135" s="90">
        <f t="shared" ref="BD135:BD139" si="197">IF(ISERROR((($AP135-$BC135)/ABS($BC135)+1)*100),0,(($AP135-$BC135)/ABS($BC135)+1)*100)</f>
        <v>115.94340303288186</v>
      </c>
      <c r="BF135" s="91">
        <v>21646.000714000002</v>
      </c>
      <c r="BG135" s="102">
        <v>21772.694041999999</v>
      </c>
      <c r="BH135" s="102">
        <v>17696.699746999999</v>
      </c>
      <c r="BI135" s="102">
        <v>36388.534599999999</v>
      </c>
      <c r="BJ135" s="102">
        <v>24559.362530000002</v>
      </c>
      <c r="BK135" s="102">
        <v>20974.228769999998</v>
      </c>
      <c r="BL135" s="102">
        <v>46365.463079391113</v>
      </c>
      <c r="BM135" s="102">
        <v>38701.101372210003</v>
      </c>
      <c r="BN135" s="102">
        <v>39854.094330350003</v>
      </c>
      <c r="BO135" s="102">
        <v>43934.21984654</v>
      </c>
      <c r="BP135" s="102">
        <v>38874.80818742</v>
      </c>
      <c r="BQ135" s="102">
        <v>38457.997149279996</v>
      </c>
      <c r="BR135" s="102">
        <v>6046.3111730800001</v>
      </c>
      <c r="BS135" s="94">
        <f t="shared" ref="BS135:BS139" si="198">SUM(BF135:BG135)</f>
        <v>43418.694755999997</v>
      </c>
      <c r="BU135" s="83">
        <v>20359.425871499607</v>
      </c>
      <c r="BV135" s="96">
        <v>20504.283157012545</v>
      </c>
      <c r="BW135" s="96">
        <v>16660.489715437841</v>
      </c>
      <c r="BX135" s="96">
        <v>34261.552266582243</v>
      </c>
      <c r="BY135" s="96">
        <v>23171.831862268442</v>
      </c>
      <c r="BZ135" s="96">
        <v>19343.749954906532</v>
      </c>
      <c r="CA135" s="96">
        <v>42591.760736609656</v>
      </c>
      <c r="CB135" s="96">
        <v>35590.164925490739</v>
      </c>
      <c r="CC135" s="96">
        <v>36264.190877911307</v>
      </c>
      <c r="CD135" s="96">
        <v>39572.806781645362</v>
      </c>
      <c r="CE135" s="96">
        <v>34748.676578470535</v>
      </c>
      <c r="CF135" s="102">
        <v>33993.059752697081</v>
      </c>
      <c r="CG135" s="96">
        <v>5329.5468865960047</v>
      </c>
      <c r="CH135" s="105">
        <v>362391.53936712787</v>
      </c>
      <c r="CJ135" s="83">
        <v>1286.5748425003944</v>
      </c>
      <c r="CK135" s="96">
        <v>1268.4108849874526</v>
      </c>
      <c r="CL135" s="96">
        <v>1036.2100315621544</v>
      </c>
      <c r="CM135" s="96">
        <v>2126.9823334177586</v>
      </c>
      <c r="CN135" s="96">
        <v>1387.5306677315596</v>
      </c>
      <c r="CO135" s="96">
        <v>1630.4788150934687</v>
      </c>
      <c r="CP135" s="96">
        <v>3773.7023427814556</v>
      </c>
      <c r="CQ135" s="96">
        <v>3110.9364467192713</v>
      </c>
      <c r="CR135" s="96">
        <v>3589.9034524386961</v>
      </c>
      <c r="CS135" s="96">
        <v>4361.4130648946348</v>
      </c>
      <c r="CT135" s="96">
        <v>4126.1316089494594</v>
      </c>
      <c r="CU135" s="96">
        <v>4464.9373965829118</v>
      </c>
      <c r="CV135" s="96">
        <v>716.76428648399576</v>
      </c>
      <c r="CW135" s="106">
        <v>32879.976174143216</v>
      </c>
      <c r="CY135" s="91">
        <v>14348.992009</v>
      </c>
      <c r="CZ135" s="102">
        <v>21610.767351999999</v>
      </c>
      <c r="DA135" s="102">
        <v>20455.155848000002</v>
      </c>
      <c r="DB135" s="102">
        <v>21849.115032000002</v>
      </c>
      <c r="DC135" s="102">
        <v>21012.632133999999</v>
      </c>
      <c r="DD135" s="102">
        <v>22616.175440999999</v>
      </c>
      <c r="DE135" s="102">
        <v>22648.423457000001</v>
      </c>
      <c r="DF135" s="102">
        <v>26003.347563000003</v>
      </c>
      <c r="DG135" s="102">
        <v>32597.243395333331</v>
      </c>
      <c r="DH135" s="102">
        <v>28348.159789999998</v>
      </c>
      <c r="DI135" s="102">
        <v>22495.501522999999</v>
      </c>
      <c r="DJ135" s="102">
        <v>28937.161124999999</v>
      </c>
      <c r="DK135" s="94">
        <f t="shared" ref="DK135:DK139" si="199">SUM(CY135:DJ135)</f>
        <v>282922.67466933333</v>
      </c>
    </row>
    <row r="136" spans="1:115" ht="14.45" customHeight="1" outlineLevel="1">
      <c r="A136" s="123"/>
      <c r="B136" s="13" t="s">
        <v>110</v>
      </c>
      <c r="C136" s="14"/>
      <c r="D136" s="91">
        <f>[24]Mar!Q278</f>
        <v>9875.3842605900008</v>
      </c>
      <c r="E136" s="96">
        <f>[24]Apr!N280</f>
        <v>14129.38375549</v>
      </c>
      <c r="F136" s="96"/>
      <c r="G136" s="96"/>
      <c r="H136" s="102"/>
      <c r="I136" s="102"/>
      <c r="J136" s="102"/>
      <c r="K136" s="96"/>
      <c r="L136" s="96"/>
      <c r="M136" s="96"/>
      <c r="N136" s="96"/>
      <c r="O136" s="96"/>
      <c r="P136" s="100">
        <f>SUM(D136:O136)</f>
        <v>24004.768016080001</v>
      </c>
      <c r="Q136" s="101">
        <f>SUM(BS136)</f>
        <v>9468.7213179999999</v>
      </c>
      <c r="R136" s="89">
        <f t="shared" si="192"/>
        <v>143.0767996732701</v>
      </c>
      <c r="S136" s="89">
        <f t="shared" si="193"/>
        <v>357.13206720533901</v>
      </c>
      <c r="T136" s="89">
        <f>IF(ISERROR((($P136-$BG136)/ABS($BG136)+1)*100),0,(($P136-$BG136)/ABS($BG136)+1)*100)</f>
        <v>606.74071656070976</v>
      </c>
      <c r="U136" s="96">
        <f>(+'[24]PF resc'!D143)*1000</f>
        <v>12525.187273073145</v>
      </c>
      <c r="V136" s="90">
        <f>IF(ISERROR((($E136-$U136)/ABS($U136)+1)*100),0,(($E136-$U136)/ABS($U136)+1)*100)</f>
        <v>112.80776444648923</v>
      </c>
      <c r="W136" s="3"/>
      <c r="X136" s="91">
        <f>D136*X$201</f>
        <v>8818.5137918892997</v>
      </c>
      <c r="Y136" s="96">
        <f>E136*Y$201</f>
        <v>12700.974358572026</v>
      </c>
      <c r="Z136" s="96"/>
      <c r="AA136" s="96"/>
      <c r="AB136" s="96"/>
      <c r="AC136" s="96"/>
      <c r="AD136" s="96"/>
      <c r="AE136" s="96"/>
      <c r="AF136" s="96"/>
      <c r="AG136" s="96"/>
      <c r="AH136" s="96"/>
      <c r="AI136" s="102"/>
      <c r="AJ136" s="103">
        <f>SUM(X136:AI136)</f>
        <v>21519.488150461326</v>
      </c>
      <c r="AK136" s="88">
        <f t="shared" si="194"/>
        <v>144.02624589932108</v>
      </c>
      <c r="AL136" s="96">
        <f>(+'[24]PF resc'!R143)*1000</f>
        <v>11379.132637586952</v>
      </c>
      <c r="AM136" s="90">
        <f t="shared" si="195"/>
        <v>111.61636623004847</v>
      </c>
      <c r="AN136" s="3"/>
      <c r="AO136" s="91">
        <f>D136*AO$201</f>
        <v>1056.8704687007018</v>
      </c>
      <c r="AP136" s="96">
        <f>E136*AP$201</f>
        <v>1428.4093969179728</v>
      </c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102">
        <f>SUM(AO136:AZ136)</f>
        <v>2485.2798656186746</v>
      </c>
      <c r="BB136" s="89">
        <f t="shared" si="196"/>
        <v>135.15463240013079</v>
      </c>
      <c r="BC136" s="96">
        <f>(+'[24]PF resc'!AF143)*1000</f>
        <v>1146.0546354861926</v>
      </c>
      <c r="BD136" s="90">
        <f t="shared" si="197"/>
        <v>124.63711176492002</v>
      </c>
      <c r="BF136" s="91">
        <v>5512.3743379999996</v>
      </c>
      <c r="BG136" s="102">
        <v>3956.3469799999998</v>
      </c>
      <c r="BH136" s="102">
        <v>2463.1737450000001</v>
      </c>
      <c r="BI136" s="102">
        <v>7695.6289180000003</v>
      </c>
      <c r="BJ136" s="102">
        <v>3769.1444729999998</v>
      </c>
      <c r="BK136" s="102">
        <v>3871.698918</v>
      </c>
      <c r="BL136" s="102">
        <v>31940.76623745</v>
      </c>
      <c r="BM136" s="102">
        <v>9306.5544722899995</v>
      </c>
      <c r="BN136" s="102">
        <v>12451.721298979999</v>
      </c>
      <c r="BO136" s="102">
        <v>10955.0596231</v>
      </c>
      <c r="BP136" s="102">
        <v>5884.5928693400001</v>
      </c>
      <c r="BQ136" s="102">
        <v>11639.02851776</v>
      </c>
      <c r="BR136" s="102">
        <v>1097.40501735</v>
      </c>
      <c r="BS136" s="94">
        <f t="shared" si="198"/>
        <v>9468.7213179999999</v>
      </c>
      <c r="BU136" s="83">
        <v>5184.7349629754663</v>
      </c>
      <c r="BV136" s="96">
        <v>3725.8622469422126</v>
      </c>
      <c r="BW136" s="96">
        <v>2318.9454210447266</v>
      </c>
      <c r="BX136" s="96">
        <v>7245.8040780317306</v>
      </c>
      <c r="BY136" s="96">
        <v>3556.199062018341</v>
      </c>
      <c r="BZ136" s="96">
        <v>3570.7237005823017</v>
      </c>
      <c r="CA136" s="96">
        <v>29341.095353669349</v>
      </c>
      <c r="CB136" s="96">
        <v>8558.4594963156287</v>
      </c>
      <c r="CC136" s="96">
        <v>11330.118160554845</v>
      </c>
      <c r="CD136" s="96">
        <v>9867.5351300333296</v>
      </c>
      <c r="CE136" s="96">
        <v>5260.0083176446515</v>
      </c>
      <c r="CF136" s="102">
        <v>10287.748223907918</v>
      </c>
      <c r="CG136" s="96">
        <v>967.31235395104625</v>
      </c>
      <c r="CH136" s="105">
        <v>101214.54650767153</v>
      </c>
      <c r="CJ136" s="83">
        <v>327.63937502453348</v>
      </c>
      <c r="CK136" s="96">
        <v>230.48473305778683</v>
      </c>
      <c r="CL136" s="96">
        <v>144.22832395527337</v>
      </c>
      <c r="CM136" s="96">
        <v>449.82483996826909</v>
      </c>
      <c r="CN136" s="96">
        <v>212.94541098165899</v>
      </c>
      <c r="CO136" s="96">
        <v>300.9752174176989</v>
      </c>
      <c r="CP136" s="96">
        <v>2599.6708837806518</v>
      </c>
      <c r="CQ136" s="96">
        <v>748.09497597437235</v>
      </c>
      <c r="CR136" s="96">
        <v>1121.6031384251551</v>
      </c>
      <c r="CS136" s="96">
        <v>1087.5244930666697</v>
      </c>
      <c r="CT136" s="96">
        <v>624.58455169534818</v>
      </c>
      <c r="CU136" s="96">
        <v>1351.280293852082</v>
      </c>
      <c r="CV136" s="96">
        <v>130.09266339895376</v>
      </c>
      <c r="CW136" s="106">
        <v>9328.9489005984524</v>
      </c>
      <c r="CY136" s="91">
        <v>5675.7858329999999</v>
      </c>
      <c r="CZ136" s="102">
        <v>4978.7054170000001</v>
      </c>
      <c r="DA136" s="102">
        <v>6259.9489199999998</v>
      </c>
      <c r="DB136" s="102">
        <v>4667.8947520000002</v>
      </c>
      <c r="DC136" s="102">
        <v>2175.8866670000002</v>
      </c>
      <c r="DD136" s="102">
        <v>6768.0841689999997</v>
      </c>
      <c r="DE136" s="102">
        <v>6999.0725050000001</v>
      </c>
      <c r="DF136" s="102">
        <v>5243.7976699999999</v>
      </c>
      <c r="DG136" s="102">
        <v>7797.3752530000002</v>
      </c>
      <c r="DH136" s="102">
        <v>2957.508617</v>
      </c>
      <c r="DI136" s="102">
        <v>3560.238777</v>
      </c>
      <c r="DJ136" s="102">
        <v>9843.8669489999993</v>
      </c>
      <c r="DK136" s="94">
        <f t="shared" si="199"/>
        <v>66928.165528999991</v>
      </c>
    </row>
    <row r="137" spans="1:115" ht="14.45" customHeight="1" outlineLevel="1">
      <c r="A137" s="123"/>
      <c r="B137" s="13" t="s">
        <v>124</v>
      </c>
      <c r="C137" s="14"/>
      <c r="D137" s="91"/>
      <c r="E137" s="96">
        <f>+[24]Apr!D301</f>
        <v>25433.224499999997</v>
      </c>
      <c r="F137" s="96"/>
      <c r="G137" s="96"/>
      <c r="H137" s="102"/>
      <c r="I137" s="102"/>
      <c r="J137" s="102"/>
      <c r="K137" s="96"/>
      <c r="L137" s="96"/>
      <c r="M137" s="96"/>
      <c r="N137" s="96"/>
      <c r="O137" s="96"/>
      <c r="P137" s="100">
        <f>SUM(D137:O137)</f>
        <v>25433.224499999997</v>
      </c>
      <c r="Q137" s="101"/>
      <c r="R137" s="89"/>
      <c r="S137" s="89"/>
      <c r="T137" s="89"/>
      <c r="U137" s="96">
        <f>(+'[24]PF resc'!D144)*1000</f>
        <v>66321.787996318584</v>
      </c>
      <c r="V137" s="90">
        <f>IF(ISERROR((($E137-$U137)/ABS($U137)+1)*100),0,(($E137-$U137)/ABS($U137)+1)*100)</f>
        <v>38.348218991640806</v>
      </c>
      <c r="W137" s="3"/>
      <c r="X137" s="91">
        <f>D137*X$201</f>
        <v>0</v>
      </c>
      <c r="Y137" s="96">
        <f>+E137</f>
        <v>25433.224499999997</v>
      </c>
      <c r="Z137" s="96"/>
      <c r="AA137" s="96"/>
      <c r="AB137" s="96"/>
      <c r="AC137" s="96"/>
      <c r="AD137" s="96"/>
      <c r="AE137" s="96"/>
      <c r="AF137" s="96"/>
      <c r="AG137" s="96"/>
      <c r="AH137" s="96"/>
      <c r="AI137" s="102"/>
      <c r="AJ137" s="103"/>
      <c r="AK137" s="88"/>
      <c r="AL137" s="96">
        <f>(+'[24]PF resc'!R144)*1000</f>
        <v>60253.34439465544</v>
      </c>
      <c r="AM137" s="90">
        <f t="shared" si="195"/>
        <v>42.210477701310737</v>
      </c>
      <c r="AN137" s="3"/>
      <c r="AO137" s="91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102"/>
      <c r="BB137" s="89"/>
      <c r="BC137" s="96">
        <f>(+'[24]PF resc'!AF144)*1000</f>
        <v>6068.4436016631507</v>
      </c>
      <c r="BD137" s="90">
        <f t="shared" si="197"/>
        <v>0</v>
      </c>
      <c r="BF137" s="91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94"/>
      <c r="BU137" s="83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102"/>
      <c r="CG137" s="96"/>
      <c r="CH137" s="105"/>
      <c r="CJ137" s="83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106"/>
      <c r="CY137" s="91"/>
      <c r="CZ137" s="102"/>
      <c r="DA137" s="102"/>
      <c r="DB137" s="102"/>
      <c r="DC137" s="102"/>
      <c r="DD137" s="102"/>
      <c r="DE137" s="102"/>
      <c r="DF137" s="102"/>
      <c r="DG137" s="102"/>
      <c r="DH137" s="102"/>
      <c r="DI137" s="102"/>
      <c r="DJ137" s="102"/>
      <c r="DK137" s="94"/>
    </row>
    <row r="138" spans="1:115" ht="14.45" customHeight="1" outlineLevel="1">
      <c r="A138" s="123"/>
      <c r="B138" s="13" t="s">
        <v>111</v>
      </c>
      <c r="C138" s="14"/>
      <c r="D138" s="91">
        <f>SUM([24]Mar!Q279:Q283)</f>
        <v>180486.40963236999</v>
      </c>
      <c r="E138" s="96">
        <f>SUM([24]Apr!N281:N286)+[24]Apr!V147+[24]Apr!V140</f>
        <v>102842.51668773999</v>
      </c>
      <c r="F138" s="96"/>
      <c r="G138" s="96"/>
      <c r="H138" s="102"/>
      <c r="I138" s="102"/>
      <c r="J138" s="102"/>
      <c r="K138" s="96"/>
      <c r="L138" s="96"/>
      <c r="M138" s="96"/>
      <c r="N138" s="96"/>
      <c r="O138" s="96"/>
      <c r="P138" s="100">
        <f>SUM(D138:O138)</f>
        <v>283328.92632010998</v>
      </c>
      <c r="Q138" s="101">
        <f>SUM(BS138)</f>
        <v>107677.78748299999</v>
      </c>
      <c r="R138" s="89">
        <f t="shared" si="192"/>
        <v>56.980753784851913</v>
      </c>
      <c r="S138" s="89">
        <f t="shared" si="193"/>
        <v>187.82521100209277</v>
      </c>
      <c r="T138" s="89">
        <f>IF(ISERROR((($P138-$BG138)/ABS($BG138)+1)*100),0,(($P138-$BG138)/ABS($BG138)+1)*100)</f>
        <v>517.45442530010598</v>
      </c>
      <c r="U138" s="96">
        <f>(+'[24]PF resc'!D145)*1000</f>
        <v>174444.72596852682</v>
      </c>
      <c r="V138" s="90">
        <f>IF(ISERROR((($E138-$U138)/ABS($U138)+1)*100),0,(($E138-$U138)/ABS($U138)+1)*100)</f>
        <v>58.954213787062123</v>
      </c>
      <c r="W138" s="3"/>
      <c r="X138" s="91">
        <f>D138*X$201</f>
        <v>161170.62896918054</v>
      </c>
      <c r="Y138" s="96">
        <f>E138*Y$201</f>
        <v>92445.657222274443</v>
      </c>
      <c r="Z138" s="96"/>
      <c r="AA138" s="96"/>
      <c r="AB138" s="96"/>
      <c r="AC138" s="96"/>
      <c r="AD138" s="96"/>
      <c r="AE138" s="96"/>
      <c r="AF138" s="96"/>
      <c r="AG138" s="96"/>
      <c r="AH138" s="96"/>
      <c r="AI138" s="102"/>
      <c r="AJ138" s="103">
        <f>SUM(X138:AI138)</f>
        <v>253616.28619145497</v>
      </c>
      <c r="AK138" s="88">
        <f t="shared" si="194"/>
        <v>57.358873520281506</v>
      </c>
      <c r="AL138" s="96">
        <f>(+'[24]PF resc'!R145)*1000</f>
        <v>158483.03354240663</v>
      </c>
      <c r="AM138" s="90">
        <f t="shared" si="195"/>
        <v>58.331579826516879</v>
      </c>
      <c r="AN138" s="3"/>
      <c r="AO138" s="91">
        <f>D138*AO$201</f>
        <v>19315.780663189445</v>
      </c>
      <c r="AP138" s="180">
        <f>E138*AP$201</f>
        <v>10396.859465465539</v>
      </c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102">
        <f>SUM(AO138:AZ138)</f>
        <v>29712.640128654984</v>
      </c>
      <c r="BB138" s="89">
        <f t="shared" si="196"/>
        <v>53.82572750620993</v>
      </c>
      <c r="BC138" s="96">
        <f>(+'[24]PF resc'!AF145)*1000</f>
        <v>15961.692426120204</v>
      </c>
      <c r="BD138" s="90">
        <f t="shared" si="197"/>
        <v>65.136322564716238</v>
      </c>
      <c r="BF138" s="91">
        <v>52923.414447000003</v>
      </c>
      <c r="BG138" s="102">
        <v>54754.373035999997</v>
      </c>
      <c r="BH138" s="102">
        <v>67435.063873999985</v>
      </c>
      <c r="BI138" s="102">
        <v>55821.587419000003</v>
      </c>
      <c r="BJ138" s="102">
        <v>46734.572523000003</v>
      </c>
      <c r="BK138" s="102">
        <v>68416.857913999993</v>
      </c>
      <c r="BL138" s="102">
        <v>68928.549610106667</v>
      </c>
      <c r="BM138" s="102">
        <v>88644.882385380013</v>
      </c>
      <c r="BN138" s="102">
        <v>112653.1198785311</v>
      </c>
      <c r="BO138" s="102">
        <v>95300.380583760008</v>
      </c>
      <c r="BP138" s="102">
        <v>142738.15236916891</v>
      </c>
      <c r="BQ138" s="102">
        <v>153039.03091874445</v>
      </c>
      <c r="BR138" s="102">
        <v>22422.668845729997</v>
      </c>
      <c r="BS138" s="94">
        <f t="shared" si="198"/>
        <v>107677.78748299999</v>
      </c>
      <c r="BU138" s="83">
        <v>49777.801799824323</v>
      </c>
      <c r="BV138" s="96">
        <v>51564.549919689569</v>
      </c>
      <c r="BW138" s="96">
        <v>63486.4807673041</v>
      </c>
      <c r="BX138" s="96">
        <v>52558.704437624103</v>
      </c>
      <c r="BY138" s="96">
        <v>44094.208688646555</v>
      </c>
      <c r="BZ138" s="96">
        <v>63098.319690387551</v>
      </c>
      <c r="CA138" s="96">
        <v>63318.429234455645</v>
      </c>
      <c r="CB138" s="96">
        <v>81519.281675064267</v>
      </c>
      <c r="CC138" s="96">
        <v>102505.76034684162</v>
      </c>
      <c r="CD138" s="96">
        <v>85839.775014359519</v>
      </c>
      <c r="CE138" s="96">
        <v>127588.07369986604</v>
      </c>
      <c r="CF138" s="102">
        <v>135271.34297510167</v>
      </c>
      <c r="CG138" s="96">
        <v>19764.557515331897</v>
      </c>
      <c r="CH138" s="105">
        <v>940387.28576449689</v>
      </c>
      <c r="CJ138" s="83">
        <v>3145.6126471756766</v>
      </c>
      <c r="CK138" s="96">
        <v>3189.8231163104256</v>
      </c>
      <c r="CL138" s="96">
        <v>3948.5831066958785</v>
      </c>
      <c r="CM138" s="96">
        <v>3262.8829813758985</v>
      </c>
      <c r="CN138" s="96">
        <v>2640.3638343534476</v>
      </c>
      <c r="CO138" s="96">
        <v>5318.5382236124497</v>
      </c>
      <c r="CP138" s="96">
        <v>5610.1203756510231</v>
      </c>
      <c r="CQ138" s="96">
        <v>7125.600710315759</v>
      </c>
      <c r="CR138" s="96">
        <v>10147.359531689488</v>
      </c>
      <c r="CS138" s="96">
        <v>9460.6055694004917</v>
      </c>
      <c r="CT138" s="96">
        <v>15150.078669302862</v>
      </c>
      <c r="CU138" s="96">
        <v>17767.687943642781</v>
      </c>
      <c r="CV138" s="96">
        <v>2658.111330398101</v>
      </c>
      <c r="CW138" s="106">
        <v>89425.368039924273</v>
      </c>
      <c r="CY138" s="91">
        <v>29370.065417999998</v>
      </c>
      <c r="CZ138" s="102">
        <v>43070.047932999994</v>
      </c>
      <c r="DA138" s="102">
        <v>36376.933768999996</v>
      </c>
      <c r="DB138" s="102">
        <v>25125.569923000003</v>
      </c>
      <c r="DC138" s="102">
        <v>37680.280834999998</v>
      </c>
      <c r="DD138" s="102">
        <v>42389.534592999997</v>
      </c>
      <c r="DE138" s="102">
        <v>40062.343540999995</v>
      </c>
      <c r="DF138" s="102">
        <v>39351.442086999996</v>
      </c>
      <c r="DG138" s="102">
        <v>47156.449588999996</v>
      </c>
      <c r="DH138" s="102">
        <v>29637.378575000002</v>
      </c>
      <c r="DI138" s="102">
        <v>43305.989925000002</v>
      </c>
      <c r="DJ138" s="102">
        <v>51206.982225</v>
      </c>
      <c r="DK138" s="94">
        <f t="shared" si="199"/>
        <v>464733.01841299998</v>
      </c>
    </row>
    <row r="139" spans="1:115" ht="14.45" customHeight="1">
      <c r="A139" s="107" t="s">
        <v>125</v>
      </c>
      <c r="B139" s="136"/>
      <c r="C139" s="137"/>
      <c r="D139" s="118">
        <f t="shared" ref="D139:O139" si="200">SUM(D135:D138)</f>
        <v>218373.69919501999</v>
      </c>
      <c r="E139" s="111">
        <f t="shared" si="200"/>
        <v>192659.60436319999</v>
      </c>
      <c r="F139" s="112">
        <f t="shared" si="200"/>
        <v>0</v>
      </c>
      <c r="G139" s="113">
        <f t="shared" si="200"/>
        <v>0</v>
      </c>
      <c r="H139" s="113">
        <f>SUM(H135:H138)</f>
        <v>0</v>
      </c>
      <c r="I139" s="113">
        <f>SUM(I135:I138)</f>
        <v>0</v>
      </c>
      <c r="J139" s="113">
        <f t="shared" si="200"/>
        <v>0</v>
      </c>
      <c r="K139" s="111">
        <f t="shared" si="200"/>
        <v>0</v>
      </c>
      <c r="L139" s="113">
        <f t="shared" si="200"/>
        <v>0</v>
      </c>
      <c r="M139" s="113">
        <f t="shared" si="200"/>
        <v>0</v>
      </c>
      <c r="N139" s="113">
        <f t="shared" si="200"/>
        <v>0</v>
      </c>
      <c r="O139" s="113">
        <f t="shared" si="200"/>
        <v>0</v>
      </c>
      <c r="P139" s="114">
        <f>SUM(D139:O139)</f>
        <v>411033.30355821998</v>
      </c>
      <c r="Q139" s="114">
        <f>SUM(BS139)</f>
        <v>160565.203557</v>
      </c>
      <c r="R139" s="115">
        <f t="shared" si="192"/>
        <v>88.224729018829379</v>
      </c>
      <c r="S139" s="115">
        <f t="shared" si="193"/>
        <v>239.37802169321589</v>
      </c>
      <c r="T139" s="115">
        <f>IF(ISERROR((($P139-$BG139)/ABS($BG139)+1)*100),0,(($P139-$BG139)/ABS($BG139)+1)*100)</f>
        <v>510.70560110933008</v>
      </c>
      <c r="U139" s="111">
        <f t="shared" ref="U139" si="201">SUM(U135:U138)</f>
        <v>301180.85018885846</v>
      </c>
      <c r="V139" s="117">
        <f>IF(ISERROR((($E139-$U139)/ABS($U139)+1)*100),0,(($E139-$U139)/ABS($U139)+1)*100)</f>
        <v>63.968079060269226</v>
      </c>
      <c r="W139" s="3"/>
      <c r="X139" s="118">
        <f t="shared" ref="X139:AI139" si="202">SUM(X135:X138)</f>
        <v>195003.19454122352</v>
      </c>
      <c r="Y139" s="111">
        <f t="shared" ref="Y139" si="203">SUM(Y135:Y138)</f>
        <v>175753.86122940219</v>
      </c>
      <c r="Z139" s="111">
        <f t="shared" si="202"/>
        <v>0</v>
      </c>
      <c r="AA139" s="111">
        <f t="shared" si="202"/>
        <v>0</v>
      </c>
      <c r="AB139" s="111">
        <f t="shared" si="202"/>
        <v>0</v>
      </c>
      <c r="AC139" s="111">
        <f t="shared" si="202"/>
        <v>0</v>
      </c>
      <c r="AD139" s="111">
        <f t="shared" si="202"/>
        <v>0</v>
      </c>
      <c r="AE139" s="111">
        <f t="shared" si="202"/>
        <v>0</v>
      </c>
      <c r="AF139" s="111">
        <f t="shared" si="202"/>
        <v>0</v>
      </c>
      <c r="AG139" s="113">
        <f t="shared" si="202"/>
        <v>0</v>
      </c>
      <c r="AH139" s="113">
        <f t="shared" ref="AH139" si="204">SUM(AH135:AH138)</f>
        <v>0</v>
      </c>
      <c r="AI139" s="113">
        <f t="shared" si="202"/>
        <v>0</v>
      </c>
      <c r="AJ139" s="119">
        <f>SUM(X139:AI139)</f>
        <v>370757.05577062571</v>
      </c>
      <c r="AK139" s="116">
        <f t="shared" si="194"/>
        <v>90.128708733665363</v>
      </c>
      <c r="AL139" s="111">
        <f t="shared" ref="AL139" si="205">SUM(AL135:AL138)</f>
        <v>273622.80239657796</v>
      </c>
      <c r="AM139" s="117">
        <f t="shared" si="195"/>
        <v>64.232169135769453</v>
      </c>
      <c r="AN139" s="3"/>
      <c r="AO139" s="110">
        <f t="shared" ref="AO139:AZ139" si="206">SUM(AO135:AO138)</f>
        <v>23370.504653796452</v>
      </c>
      <c r="AP139" s="111">
        <f t="shared" si="206"/>
        <v>16905.743133797805</v>
      </c>
      <c r="AQ139" s="111">
        <f t="shared" si="206"/>
        <v>0</v>
      </c>
      <c r="AR139" s="111">
        <f t="shared" si="206"/>
        <v>0</v>
      </c>
      <c r="AS139" s="111">
        <f t="shared" si="206"/>
        <v>0</v>
      </c>
      <c r="AT139" s="111">
        <f t="shared" si="206"/>
        <v>0</v>
      </c>
      <c r="AU139" s="111">
        <f t="shared" si="206"/>
        <v>0</v>
      </c>
      <c r="AV139" s="111">
        <f t="shared" si="206"/>
        <v>0</v>
      </c>
      <c r="AW139" s="111">
        <f t="shared" si="206"/>
        <v>0</v>
      </c>
      <c r="AX139" s="113">
        <f t="shared" si="206"/>
        <v>0</v>
      </c>
      <c r="AY139" s="113">
        <f t="shared" si="206"/>
        <v>0</v>
      </c>
      <c r="AZ139" s="111">
        <f t="shared" si="206"/>
        <v>0</v>
      </c>
      <c r="BA139" s="120">
        <f>SUM(AO139:AZ139)</f>
        <v>40276.247787594257</v>
      </c>
      <c r="BB139" s="115">
        <f t="shared" si="196"/>
        <v>72.337946416794765</v>
      </c>
      <c r="BC139" s="111">
        <f t="shared" ref="BC139" si="207">SUM(BC135:BC138)</f>
        <v>27558.047792280551</v>
      </c>
      <c r="BD139" s="117">
        <f t="shared" si="197"/>
        <v>61.345938802433508</v>
      </c>
      <c r="BF139" s="118">
        <v>80081.789499000006</v>
      </c>
      <c r="BG139" s="113">
        <v>80483.414057999995</v>
      </c>
      <c r="BH139" s="113">
        <v>87594.937365999984</v>
      </c>
      <c r="BI139" s="113">
        <v>99905.750937000004</v>
      </c>
      <c r="BJ139" s="113">
        <v>75063.079526000001</v>
      </c>
      <c r="BK139" s="113">
        <v>93262.785601999989</v>
      </c>
      <c r="BL139" s="113">
        <v>147234.77892694779</v>
      </c>
      <c r="BM139" s="113">
        <v>136652.53822988001</v>
      </c>
      <c r="BN139" s="113">
        <v>164958.93550786108</v>
      </c>
      <c r="BO139" s="113">
        <v>150189.6600534</v>
      </c>
      <c r="BP139" s="113">
        <v>187497.5534259289</v>
      </c>
      <c r="BQ139" s="113">
        <v>203136.05658578445</v>
      </c>
      <c r="BR139" s="113">
        <v>29566.385036159998</v>
      </c>
      <c r="BS139" s="121">
        <f t="shared" si="198"/>
        <v>160565.203557</v>
      </c>
      <c r="BU139" s="110">
        <v>75321.962634299387</v>
      </c>
      <c r="BV139" s="111">
        <v>75794.695323644322</v>
      </c>
      <c r="BW139" s="111">
        <v>82465.915903786663</v>
      </c>
      <c r="BX139" s="111">
        <v>94066.060782238084</v>
      </c>
      <c r="BY139" s="111">
        <v>70822.239612933336</v>
      </c>
      <c r="BZ139" s="111">
        <v>86012.793345876387</v>
      </c>
      <c r="CA139" s="111">
        <v>135251.28532473464</v>
      </c>
      <c r="CB139" s="111">
        <v>125667.90609687063</v>
      </c>
      <c r="CC139" s="111">
        <v>150100.06938530778</v>
      </c>
      <c r="CD139" s="113">
        <v>135280.1169260382</v>
      </c>
      <c r="CE139" s="113">
        <v>167596.75859598123</v>
      </c>
      <c r="CF139" s="113">
        <v>179552.15095170666</v>
      </c>
      <c r="CG139" s="111">
        <v>26061.416755878949</v>
      </c>
      <c r="CH139" s="122">
        <v>1403993.3716392959</v>
      </c>
      <c r="CJ139" s="110">
        <v>4759.8268647006043</v>
      </c>
      <c r="CK139" s="111">
        <v>4688.7187343556652</v>
      </c>
      <c r="CL139" s="111">
        <v>5129.0214622133062</v>
      </c>
      <c r="CM139" s="111">
        <v>5839.6901547619264</v>
      </c>
      <c r="CN139" s="111">
        <v>4240.8399130666658</v>
      </c>
      <c r="CO139" s="111">
        <v>7249.9922561236172</v>
      </c>
      <c r="CP139" s="111">
        <v>11983.49360221313</v>
      </c>
      <c r="CQ139" s="111">
        <v>10984.632133009403</v>
      </c>
      <c r="CR139" s="111">
        <v>14858.86612255334</v>
      </c>
      <c r="CS139" s="113">
        <v>14909.543127361796</v>
      </c>
      <c r="CT139" s="113">
        <v>19900.79482994767</v>
      </c>
      <c r="CU139" s="111">
        <v>23583.905634077775</v>
      </c>
      <c r="CV139" s="111">
        <v>3504.9682802810503</v>
      </c>
      <c r="CW139" s="122">
        <v>131634.29311466595</v>
      </c>
      <c r="CY139" s="118">
        <v>49394.843259999994</v>
      </c>
      <c r="CZ139" s="113">
        <v>69659.520701999994</v>
      </c>
      <c r="DA139" s="113">
        <v>63092.038537</v>
      </c>
      <c r="DB139" s="113">
        <v>51642.579707000004</v>
      </c>
      <c r="DC139" s="113">
        <v>60868.799635999996</v>
      </c>
      <c r="DD139" s="113">
        <v>71773.794202999998</v>
      </c>
      <c r="DE139" s="113">
        <v>69709.839502999996</v>
      </c>
      <c r="DF139" s="113">
        <v>70598.587319999991</v>
      </c>
      <c r="DG139" s="113">
        <v>87551.068237333326</v>
      </c>
      <c r="DH139" s="113">
        <v>60943.046982</v>
      </c>
      <c r="DI139" s="113">
        <v>69361.730225000007</v>
      </c>
      <c r="DJ139" s="113">
        <v>89988.010299000001</v>
      </c>
      <c r="DK139" s="121">
        <f t="shared" si="199"/>
        <v>814583.85861133318</v>
      </c>
    </row>
    <row r="140" spans="1:115" ht="14.45" customHeight="1">
      <c r="A140" s="12"/>
      <c r="B140" s="13"/>
      <c r="C140" s="14"/>
      <c r="D140" s="91"/>
      <c r="E140" s="96"/>
      <c r="F140" s="14"/>
      <c r="G140" s="84"/>
      <c r="H140" s="84"/>
      <c r="I140" s="84"/>
      <c r="J140" s="84"/>
      <c r="K140" s="96"/>
      <c r="L140" s="102"/>
      <c r="M140" s="102"/>
      <c r="N140" s="102"/>
      <c r="O140" s="102"/>
      <c r="P140" s="97"/>
      <c r="Q140" s="101"/>
      <c r="R140" s="89"/>
      <c r="S140" s="89"/>
      <c r="T140" s="89"/>
      <c r="U140" s="96"/>
      <c r="V140" s="90"/>
      <c r="W140" s="3"/>
      <c r="X140" s="91"/>
      <c r="Y140" s="96"/>
      <c r="Z140" s="96"/>
      <c r="AA140" s="96"/>
      <c r="AB140" s="96"/>
      <c r="AC140" s="96"/>
      <c r="AD140" s="96"/>
      <c r="AE140" s="96"/>
      <c r="AF140" s="102"/>
      <c r="AG140" s="102"/>
      <c r="AH140" s="102"/>
      <c r="AI140" s="102"/>
      <c r="AJ140" s="87"/>
      <c r="AK140" s="147"/>
      <c r="AL140" s="96"/>
      <c r="AM140" s="90"/>
      <c r="AN140" s="3"/>
      <c r="AO140" s="83"/>
      <c r="AP140" s="96"/>
      <c r="AQ140" s="14"/>
      <c r="AR140" s="84"/>
      <c r="AS140" s="84"/>
      <c r="AT140" s="84"/>
      <c r="AU140" s="86"/>
      <c r="AV140" s="96"/>
      <c r="AW140" s="102"/>
      <c r="AX140" s="102"/>
      <c r="AY140" s="102"/>
      <c r="AZ140" s="96"/>
      <c r="BA140" s="84"/>
      <c r="BB140" s="89"/>
      <c r="BC140" s="96"/>
      <c r="BD140" s="90"/>
      <c r="BF140" s="91"/>
      <c r="BG140" s="96"/>
      <c r="BH140" s="84"/>
      <c r="BI140" s="84"/>
      <c r="BJ140" s="84"/>
      <c r="BK140" s="84"/>
      <c r="BL140" s="84"/>
      <c r="BM140" s="102"/>
      <c r="BN140" s="102"/>
      <c r="BO140" s="102"/>
      <c r="BP140" s="102"/>
      <c r="BQ140" s="102"/>
      <c r="BR140" s="102"/>
      <c r="BS140" s="94"/>
      <c r="BU140" s="83"/>
      <c r="BV140" s="96"/>
      <c r="BW140" s="96"/>
      <c r="BX140" s="96"/>
      <c r="BY140" s="96"/>
      <c r="BZ140" s="96"/>
      <c r="CA140" s="96"/>
      <c r="CB140" s="96"/>
      <c r="CC140" s="102"/>
      <c r="CD140" s="102"/>
      <c r="CE140" s="102"/>
      <c r="CF140" s="102"/>
      <c r="CG140" s="96"/>
      <c r="CH140" s="13"/>
      <c r="CJ140" s="83"/>
      <c r="CK140" s="96"/>
      <c r="CL140" s="14"/>
      <c r="CM140" s="84"/>
      <c r="CN140" s="84"/>
      <c r="CO140" s="84"/>
      <c r="CP140" s="86"/>
      <c r="CQ140" s="96"/>
      <c r="CR140" s="102"/>
      <c r="CS140" s="102"/>
      <c r="CT140" s="102"/>
      <c r="CU140" s="96"/>
      <c r="CV140" s="96"/>
      <c r="CW140" s="99"/>
      <c r="CY140" s="91"/>
      <c r="CZ140" s="96"/>
      <c r="DA140" s="84"/>
      <c r="DB140" s="84"/>
      <c r="DC140" s="84"/>
      <c r="DD140" s="84"/>
      <c r="DE140" s="84"/>
      <c r="DF140" s="102"/>
      <c r="DG140" s="102"/>
      <c r="DH140" s="102"/>
      <c r="DI140" s="102"/>
      <c r="DJ140" s="102"/>
      <c r="DK140" s="94"/>
    </row>
    <row r="141" spans="1:115" ht="14.45" customHeight="1">
      <c r="A141" s="107" t="s">
        <v>126</v>
      </c>
      <c r="B141" s="136"/>
      <c r="C141" s="137"/>
      <c r="D141" s="118">
        <f t="shared" ref="D141:N141" si="208">D105+D113+D125+D133+D139</f>
        <v>2991323.7636575457</v>
      </c>
      <c r="E141" s="111">
        <f t="shared" si="208"/>
        <v>2711085.71083003</v>
      </c>
      <c r="F141" s="112">
        <f t="shared" si="208"/>
        <v>0</v>
      </c>
      <c r="G141" s="113">
        <f t="shared" si="208"/>
        <v>0</v>
      </c>
      <c r="H141" s="113">
        <f>H105+H113+H125+H133+H139</f>
        <v>0</v>
      </c>
      <c r="I141" s="113">
        <f>I105+I113+I125+I133+I139</f>
        <v>0</v>
      </c>
      <c r="J141" s="113">
        <f t="shared" si="208"/>
        <v>0</v>
      </c>
      <c r="K141" s="111">
        <f t="shared" si="208"/>
        <v>0</v>
      </c>
      <c r="L141" s="113">
        <f t="shared" si="208"/>
        <v>0</v>
      </c>
      <c r="M141" s="113">
        <f t="shared" si="208"/>
        <v>0</v>
      </c>
      <c r="N141" s="113">
        <f t="shared" si="208"/>
        <v>0</v>
      </c>
      <c r="O141" s="113">
        <f>O105+O113+O125+O133+O139+O107</f>
        <v>0</v>
      </c>
      <c r="P141" s="114">
        <f>SUM(D141:O141)</f>
        <v>5702409.4744875757</v>
      </c>
      <c r="Q141" s="114">
        <f>SUM(BS141)</f>
        <v>3449322.2585039996</v>
      </c>
      <c r="R141" s="115">
        <f>IF(ISERROR((($E141-$D141)/ABS($D141)+1)*100),0,(($E141-$D141)/ABS($D141)+1)*100)</f>
        <v>90.631637530105948</v>
      </c>
      <c r="S141" s="115">
        <f>IF(ISERROR((($E141-$BG141)/ABS($BG141)+1)*100),0,(($E141-$BG141)/ABS($BG141)+1)*100)</f>
        <v>158.53936390315641</v>
      </c>
      <c r="T141" s="115">
        <f>IF(ISERROR((($P141-$BG141)/ABS($BG141)+1)*100),0,(($P141-$BG141)/ABS($BG141)+1)*100)</f>
        <v>333.46653969261837</v>
      </c>
      <c r="U141" s="111">
        <f t="shared" ref="U141" si="209">U105+U113+U125+U133+U139</f>
        <v>3551611.1865084064</v>
      </c>
      <c r="V141" s="117">
        <f>IF(ISERROR((($E141-$U141)/ABS($U141)+1)*100),0,(($E141-$U141)/ABS($U141)+1)*100)</f>
        <v>76.333966993028369</v>
      </c>
      <c r="W141" s="3"/>
      <c r="X141" s="118">
        <f t="shared" ref="X141:AH141" si="210">X105+X113+X125+X133+X139</f>
        <v>2671190.2210318921</v>
      </c>
      <c r="Y141" s="111">
        <f t="shared" si="210"/>
        <v>2439579.7970042145</v>
      </c>
      <c r="Z141" s="111">
        <f t="shared" si="210"/>
        <v>0</v>
      </c>
      <c r="AA141" s="111">
        <f t="shared" si="210"/>
        <v>0</v>
      </c>
      <c r="AB141" s="111">
        <f t="shared" si="210"/>
        <v>0</v>
      </c>
      <c r="AC141" s="111">
        <f t="shared" si="210"/>
        <v>0</v>
      </c>
      <c r="AD141" s="111">
        <f t="shared" si="210"/>
        <v>0</v>
      </c>
      <c r="AE141" s="111">
        <f t="shared" si="210"/>
        <v>0</v>
      </c>
      <c r="AF141" s="113">
        <f t="shared" si="210"/>
        <v>0</v>
      </c>
      <c r="AG141" s="113">
        <f t="shared" si="210"/>
        <v>0</v>
      </c>
      <c r="AH141" s="113">
        <f t="shared" si="210"/>
        <v>0</v>
      </c>
      <c r="AI141" s="113">
        <f>AI105+AI113+AI125+AI133+AI139+AI107</f>
        <v>0</v>
      </c>
      <c r="AJ141" s="119">
        <f>SUM(X141:AI141)</f>
        <v>5110770.0180361066</v>
      </c>
      <c r="AK141" s="116">
        <f>IF(ISERROR((($Y141-$X141)/ABS($X141)+1)*100),0,(($Y141-$X141)/ABS($X141)+1)*100)</f>
        <v>91.329317462902154</v>
      </c>
      <c r="AL141" s="111">
        <f t="shared" ref="AL141" si="211">AL105+AL113+AL125+AL133+AL139</f>
        <v>3226638.7629428869</v>
      </c>
      <c r="AM141" s="117">
        <f>IF(ISERROR((($Y141-$AL141)/ABS($AL141)+1)*100),0,(($Y141-$AL141)/ABS($AL141)+1)*100)</f>
        <v>75.607465732518889</v>
      </c>
      <c r="AN141" s="3"/>
      <c r="AO141" s="110">
        <f>AO105+AO113+AO125+AO133+AO139</f>
        <v>320133.54262565367</v>
      </c>
      <c r="AP141" s="111">
        <f t="shared" ref="AP141:AZ141" si="212">AP105+AP113+AP125+AP133+AP139</f>
        <v>271505.91382581461</v>
      </c>
      <c r="AQ141" s="112">
        <f t="shared" si="212"/>
        <v>0</v>
      </c>
      <c r="AR141" s="113">
        <f t="shared" si="212"/>
        <v>0</v>
      </c>
      <c r="AS141" s="113">
        <f t="shared" si="212"/>
        <v>0</v>
      </c>
      <c r="AT141" s="113">
        <f t="shared" si="212"/>
        <v>0</v>
      </c>
      <c r="AU141" s="111">
        <f t="shared" si="212"/>
        <v>0</v>
      </c>
      <c r="AV141" s="111">
        <f t="shared" si="212"/>
        <v>0</v>
      </c>
      <c r="AW141" s="113">
        <f>AW105+AW113+AW125+AW133+AW139</f>
        <v>0</v>
      </c>
      <c r="AX141" s="113">
        <f>AX105+AX113+AX125+AX133+AX139</f>
        <v>0</v>
      </c>
      <c r="AY141" s="113">
        <f t="shared" si="212"/>
        <v>0</v>
      </c>
      <c r="AZ141" s="111">
        <f t="shared" si="212"/>
        <v>0</v>
      </c>
      <c r="BA141" s="120">
        <f>SUM(AO141:AZ141)</f>
        <v>591639.45645146829</v>
      </c>
      <c r="BB141" s="115">
        <f>IF(ISERROR((($AP141-$AO141)/ABS($AO141)+1)*100),0,(($AP141-$AO141)/ABS($AO141)+1)*100)</f>
        <v>84.810205016004375</v>
      </c>
      <c r="BC141" s="111">
        <f t="shared" ref="BC141" si="213">BC105+BC113+BC125+BC133+BC139</f>
        <v>324972.42356551922</v>
      </c>
      <c r="BD141" s="117">
        <f>IF(ISERROR((($AP141-$BC141)/ABS($BC141)+1)*100),0,(($AP141-$BC141)/ABS($BC141)+1)*100)</f>
        <v>83.547370218961063</v>
      </c>
      <c r="BF141" s="118">
        <v>1739282.7805569998</v>
      </c>
      <c r="BG141" s="111">
        <v>1710039.4779469997</v>
      </c>
      <c r="BH141" s="113">
        <v>1786805.1023300001</v>
      </c>
      <c r="BI141" s="113">
        <v>1900063.3596978888</v>
      </c>
      <c r="BJ141" s="113">
        <v>2125491.8072210001</v>
      </c>
      <c r="BK141" s="113">
        <v>2030743.3173173338</v>
      </c>
      <c r="BL141" s="113">
        <v>2351819.2753067934</v>
      </c>
      <c r="BM141" s="113">
        <v>2229333.8455252908</v>
      </c>
      <c r="BN141" s="113">
        <v>2028008.7774128546</v>
      </c>
      <c r="BO141" s="113">
        <v>2440566.1061395709</v>
      </c>
      <c r="BP141" s="113">
        <v>2333328.0205927538</v>
      </c>
      <c r="BQ141" s="113">
        <v>2273766.2002641591</v>
      </c>
      <c r="BR141" s="113">
        <v>605624.23072044563</v>
      </c>
      <c r="BS141" s="121">
        <f>SUM(BF141:BG141)</f>
        <v>3449322.2585039996</v>
      </c>
      <c r="BU141" s="110">
        <v>1635904.909557879</v>
      </c>
      <c r="BV141" s="111">
        <v>1610430.2231239462</v>
      </c>
      <c r="BW141" s="111">
        <v>1682183.5160678821</v>
      </c>
      <c r="BX141" s="111">
        <v>1789003.6113299257</v>
      </c>
      <c r="BY141" s="111">
        <v>2005410.513481033</v>
      </c>
      <c r="BZ141" s="111">
        <v>1872887.4237602926</v>
      </c>
      <c r="CA141" s="111">
        <v>2160429.2613249999</v>
      </c>
      <c r="CB141" s="111">
        <v>2050170.3331432601</v>
      </c>
      <c r="CC141" s="113">
        <v>1845364.2018040442</v>
      </c>
      <c r="CD141" s="113">
        <v>2198354.4761284925</v>
      </c>
      <c r="CE141" s="113">
        <v>2085707.1340738628</v>
      </c>
      <c r="CF141" s="113">
        <v>2010496.0482506868</v>
      </c>
      <c r="CG141" s="111">
        <v>539941.29672110488</v>
      </c>
      <c r="CH141" s="122">
        <v>23486282.948767409</v>
      </c>
      <c r="CJ141" s="110">
        <v>103377.87099912086</v>
      </c>
      <c r="CK141" s="111">
        <v>99609.254823053256</v>
      </c>
      <c r="CL141" s="112">
        <v>104621.58626211778</v>
      </c>
      <c r="CM141" s="113">
        <v>111059.74836796321</v>
      </c>
      <c r="CN141" s="113">
        <v>120081.29373996677</v>
      </c>
      <c r="CO141" s="113">
        <v>157855.89355704095</v>
      </c>
      <c r="CP141" s="111">
        <v>191390.01398179345</v>
      </c>
      <c r="CQ141" s="111">
        <v>179163.51238203095</v>
      </c>
      <c r="CR141" s="113">
        <v>182644.57560881044</v>
      </c>
      <c r="CS141" s="113">
        <v>242211.63001107852</v>
      </c>
      <c r="CT141" s="113">
        <v>247657.00330659794</v>
      </c>
      <c r="CU141" s="111">
        <v>263309.65800901089</v>
      </c>
      <c r="CV141" s="111">
        <v>71794.157988834195</v>
      </c>
      <c r="CW141" s="122">
        <v>2074776.1990374192</v>
      </c>
      <c r="CY141" s="118">
        <v>1492032.4735390001</v>
      </c>
      <c r="CZ141" s="111">
        <v>1514432.993239</v>
      </c>
      <c r="DA141" s="113">
        <v>1446246.331858</v>
      </c>
      <c r="DB141" s="113">
        <v>1526465.6934080001</v>
      </c>
      <c r="DC141" s="113">
        <v>1526150.678058</v>
      </c>
      <c r="DD141" s="113">
        <v>1568457.0194949999</v>
      </c>
      <c r="DE141" s="113">
        <v>1680453.524376</v>
      </c>
      <c r="DF141" s="113">
        <v>1675552.9194740001</v>
      </c>
      <c r="DG141" s="113">
        <v>1664485.671873</v>
      </c>
      <c r="DH141" s="113">
        <v>1653353.30742</v>
      </c>
      <c r="DI141" s="113">
        <v>1598177.5750899999</v>
      </c>
      <c r="DJ141" s="113">
        <v>1790475.4786129997</v>
      </c>
      <c r="DK141" s="121">
        <f>SUM(CY141:DJ141)</f>
        <v>19136283.666442998</v>
      </c>
    </row>
    <row r="142" spans="1:115" ht="14.45" customHeight="1">
      <c r="A142" s="123"/>
      <c r="B142" s="13"/>
      <c r="C142" s="14"/>
      <c r="D142" s="91"/>
      <c r="E142" s="96"/>
      <c r="F142" s="104"/>
      <c r="G142" s="102"/>
      <c r="H142" s="102"/>
      <c r="I142" s="102"/>
      <c r="J142" s="102"/>
      <c r="K142" s="96"/>
      <c r="L142" s="102"/>
      <c r="M142" s="102"/>
      <c r="N142" s="102"/>
      <c r="O142" s="102"/>
      <c r="P142" s="100"/>
      <c r="Q142" s="101"/>
      <c r="R142" s="145"/>
      <c r="S142" s="145"/>
      <c r="T142" s="145"/>
      <c r="U142" s="96"/>
      <c r="V142" s="90"/>
      <c r="W142" s="3"/>
      <c r="X142" s="91"/>
      <c r="Y142" s="96"/>
      <c r="Z142" s="96"/>
      <c r="AA142" s="96"/>
      <c r="AB142" s="96"/>
      <c r="AC142" s="96"/>
      <c r="AD142" s="96"/>
      <c r="AE142" s="96"/>
      <c r="AF142" s="102"/>
      <c r="AG142" s="102"/>
      <c r="AH142" s="102"/>
      <c r="AI142" s="102"/>
      <c r="AJ142" s="103"/>
      <c r="AK142" s="147"/>
      <c r="AL142" s="96"/>
      <c r="AM142" s="90"/>
      <c r="AN142" s="3"/>
      <c r="AO142" s="83"/>
      <c r="AP142" s="96"/>
      <c r="AQ142" s="104"/>
      <c r="AR142" s="102"/>
      <c r="AS142" s="102"/>
      <c r="AT142" s="102"/>
      <c r="AU142" s="96"/>
      <c r="AV142" s="96"/>
      <c r="AW142" s="102"/>
      <c r="AX142" s="102"/>
      <c r="AY142" s="102"/>
      <c r="AZ142" s="96"/>
      <c r="BA142" s="102"/>
      <c r="BB142" s="145"/>
      <c r="BC142" s="96"/>
      <c r="BD142" s="90"/>
      <c r="BF142" s="91"/>
      <c r="BG142" s="96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94"/>
      <c r="BU142" s="83"/>
      <c r="BV142" s="96"/>
      <c r="BW142" s="96"/>
      <c r="BX142" s="96"/>
      <c r="BY142" s="96"/>
      <c r="BZ142" s="96"/>
      <c r="CA142" s="96"/>
      <c r="CB142" s="96"/>
      <c r="CC142" s="102"/>
      <c r="CD142" s="102"/>
      <c r="CE142" s="102"/>
      <c r="CF142" s="102"/>
      <c r="CG142" s="96"/>
      <c r="CH142" s="105"/>
      <c r="CJ142" s="83"/>
      <c r="CK142" s="96"/>
      <c r="CL142" s="104"/>
      <c r="CM142" s="102"/>
      <c r="CN142" s="102"/>
      <c r="CO142" s="102"/>
      <c r="CP142" s="96"/>
      <c r="CQ142" s="96"/>
      <c r="CR142" s="102"/>
      <c r="CS142" s="102"/>
      <c r="CT142" s="102"/>
      <c r="CU142" s="96"/>
      <c r="CV142" s="96"/>
      <c r="CW142" s="106"/>
      <c r="CY142" s="91"/>
      <c r="CZ142" s="96"/>
      <c r="DA142" s="102"/>
      <c r="DB142" s="102"/>
      <c r="DC142" s="102"/>
      <c r="DD142" s="102"/>
      <c r="DE142" s="102"/>
      <c r="DF142" s="102"/>
      <c r="DG142" s="102"/>
      <c r="DH142" s="102"/>
      <c r="DI142" s="102"/>
      <c r="DJ142" s="102"/>
      <c r="DK142" s="94"/>
    </row>
    <row r="143" spans="1:115" ht="14.45" customHeight="1">
      <c r="A143" s="107" t="s">
        <v>127</v>
      </c>
      <c r="B143" s="136"/>
      <c r="C143" s="137"/>
      <c r="D143" s="118">
        <f t="shared" ref="D143:O143" si="214">D100+D141</f>
        <v>14878748.654270796</v>
      </c>
      <c r="E143" s="111">
        <f t="shared" si="214"/>
        <v>16117393.872696586</v>
      </c>
      <c r="F143" s="112">
        <f t="shared" si="214"/>
        <v>0</v>
      </c>
      <c r="G143" s="113">
        <f t="shared" si="214"/>
        <v>0</v>
      </c>
      <c r="H143" s="113">
        <f>H100+H141</f>
        <v>0</v>
      </c>
      <c r="I143" s="113">
        <f>I100+I141</f>
        <v>0</v>
      </c>
      <c r="J143" s="113">
        <f t="shared" si="214"/>
        <v>0</v>
      </c>
      <c r="K143" s="111">
        <f t="shared" si="214"/>
        <v>0</v>
      </c>
      <c r="L143" s="113">
        <f t="shared" si="214"/>
        <v>0</v>
      </c>
      <c r="M143" s="113">
        <f t="shared" si="214"/>
        <v>0</v>
      </c>
      <c r="N143" s="113">
        <f t="shared" si="214"/>
        <v>0</v>
      </c>
      <c r="O143" s="113">
        <f t="shared" si="214"/>
        <v>0</v>
      </c>
      <c r="P143" s="114">
        <f>SUM(D143:O143)</f>
        <v>30996142.526967384</v>
      </c>
      <c r="Q143" s="114">
        <f>SUM(BS143)</f>
        <v>23466617.141252235</v>
      </c>
      <c r="R143" s="89">
        <f>IF(ISERROR((($E143-$D143)/ABS($D143)+1)*100),0,(($E143-$D143)/ABS($D143)+1)*100)</f>
        <v>108.3249287101187</v>
      </c>
      <c r="S143" s="89">
        <f>IF(ISERROR((($E143-$BG143)/ABS($BG143)+1)*100),0,(($E143-$BG143)/ABS($BG143)+1)*100)</f>
        <v>130.34437993094053</v>
      </c>
      <c r="T143" s="89">
        <f>IF(ISERROR((($P143-$BG143)/ABS($BG143)+1)*100),0,(($P143-$BG143)/ABS($BG143)+1)*100)</f>
        <v>250.67160422087912</v>
      </c>
      <c r="U143" s="111">
        <f t="shared" ref="U143" si="215">U100+U141</f>
        <v>14951159.945290372</v>
      </c>
      <c r="V143" s="117">
        <f>IF(ISERROR((($E143-$U143)/ABS($U143)+1)*100),0,(($E143-$U143)/ABS($U143)+1)*100)</f>
        <v>107.80029062409689</v>
      </c>
      <c r="W143" s="3"/>
      <c r="X143" s="118">
        <f t="shared" ref="X143:AI143" si="216">X100+X141</f>
        <v>10333257.172339076</v>
      </c>
      <c r="Y143" s="111">
        <f t="shared" si="216"/>
        <v>11133420.838327684</v>
      </c>
      <c r="Z143" s="111">
        <f t="shared" si="216"/>
        <v>0</v>
      </c>
      <c r="AA143" s="111">
        <f t="shared" si="216"/>
        <v>0</v>
      </c>
      <c r="AB143" s="111">
        <f t="shared" si="216"/>
        <v>0</v>
      </c>
      <c r="AC143" s="111">
        <f t="shared" si="216"/>
        <v>0</v>
      </c>
      <c r="AD143" s="111">
        <f t="shared" si="216"/>
        <v>0</v>
      </c>
      <c r="AE143" s="111">
        <f t="shared" si="216"/>
        <v>0</v>
      </c>
      <c r="AF143" s="113">
        <f t="shared" si="216"/>
        <v>0</v>
      </c>
      <c r="AG143" s="113">
        <f t="shared" si="216"/>
        <v>0</v>
      </c>
      <c r="AH143" s="113">
        <f t="shared" si="216"/>
        <v>0</v>
      </c>
      <c r="AI143" s="113">
        <f t="shared" si="216"/>
        <v>0</v>
      </c>
      <c r="AJ143" s="119">
        <f>SUM(X143:AI143)</f>
        <v>21466678.010666758</v>
      </c>
      <c r="AK143" s="88">
        <f>IF(ISERROR((($Y143-$X143)/ABS($X143)+1)*100),0,(($Y143-$X143)/ABS($X143)+1)*100)</f>
        <v>107.74357642167807</v>
      </c>
      <c r="AL143" s="111">
        <f t="shared" ref="AL143" si="217">AL100+AL141</f>
        <v>10279967.642783612</v>
      </c>
      <c r="AM143" s="117">
        <f>IF(ISERROR((($Y143-$AL143)/ABS($AL143)+1)*100),0,(($Y143-$AL143)/ABS($AL143)+1)*100)</f>
        <v>108.30210001821537</v>
      </c>
      <c r="AN143" s="3"/>
      <c r="AO143" s="110">
        <f t="shared" ref="AO143:AZ143" si="218">AO100+AO141</f>
        <v>4545491.4819317209</v>
      </c>
      <c r="AP143" s="111">
        <f t="shared" si="218"/>
        <v>4983973.0332084754</v>
      </c>
      <c r="AQ143" s="112">
        <f t="shared" si="218"/>
        <v>0</v>
      </c>
      <c r="AR143" s="113">
        <f t="shared" si="218"/>
        <v>0</v>
      </c>
      <c r="AS143" s="113">
        <f t="shared" si="218"/>
        <v>0</v>
      </c>
      <c r="AT143" s="113">
        <f t="shared" si="218"/>
        <v>0</v>
      </c>
      <c r="AU143" s="111">
        <f t="shared" si="218"/>
        <v>0</v>
      </c>
      <c r="AV143" s="111">
        <f t="shared" si="218"/>
        <v>0</v>
      </c>
      <c r="AW143" s="113">
        <f t="shared" si="218"/>
        <v>0</v>
      </c>
      <c r="AX143" s="113">
        <f t="shared" si="218"/>
        <v>0</v>
      </c>
      <c r="AY143" s="113">
        <f t="shared" si="218"/>
        <v>0</v>
      </c>
      <c r="AZ143" s="111">
        <f t="shared" si="218"/>
        <v>0</v>
      </c>
      <c r="BA143" s="120">
        <f>SUM(AO143:AZ143)</f>
        <v>9529464.5151401963</v>
      </c>
      <c r="BB143" s="89">
        <f>IF(ISERROR((($AP143-$AO143)/ABS($AO143)+1)*100),0,(($AP143-$AO143)/ABS($AO143)+1)*100)</f>
        <v>109.64651574026074</v>
      </c>
      <c r="BC143" s="111">
        <f t="shared" ref="BC143" si="219">BC100+BC141</f>
        <v>4671192.3025067598</v>
      </c>
      <c r="BD143" s="117">
        <f>IF(ISERROR((($AP143-$BC143)/ABS($BC143)+1)*100),0,(($AP143-$BC143)/ABS($BC143)+1)*100)</f>
        <v>106.69595063628326</v>
      </c>
      <c r="BF143" s="118">
        <v>11101378.31681197</v>
      </c>
      <c r="BG143" s="111">
        <v>12365238.824440265</v>
      </c>
      <c r="BH143" s="113">
        <v>11119388.044395786</v>
      </c>
      <c r="BI143" s="113">
        <v>12636129.696749367</v>
      </c>
      <c r="BJ143" s="113">
        <v>11484337.755071163</v>
      </c>
      <c r="BK143" s="113">
        <v>13149404.368630387</v>
      </c>
      <c r="BL143" s="113">
        <v>12194017.358334595</v>
      </c>
      <c r="BM143" s="113">
        <v>12026085.402994704</v>
      </c>
      <c r="BN143" s="113">
        <v>14000252.926859304</v>
      </c>
      <c r="BO143" s="113">
        <v>12202495.234362677</v>
      </c>
      <c r="BP143" s="113">
        <v>12204313.878900941</v>
      </c>
      <c r="BQ143" s="113">
        <v>12922624.268222257</v>
      </c>
      <c r="BR143" s="113">
        <v>1431334.040699631</v>
      </c>
      <c r="BS143" s="121">
        <f>SUM(BF143:BG143)</f>
        <v>23466617.141252235</v>
      </c>
      <c r="BU143" s="110">
        <v>10222993.786040345</v>
      </c>
      <c r="BV143" s="111">
        <v>10293081.473922845</v>
      </c>
      <c r="BW143" s="111">
        <v>9410868.581936378</v>
      </c>
      <c r="BX143" s="111">
        <v>10475374.135818118</v>
      </c>
      <c r="BY143" s="111">
        <v>9406748.6888228655</v>
      </c>
      <c r="BZ143" s="111">
        <v>10433098.555544378</v>
      </c>
      <c r="CA143" s="111">
        <v>9776672.6064152885</v>
      </c>
      <c r="CB143" s="111">
        <v>9271014.4532065857</v>
      </c>
      <c r="CC143" s="113">
        <v>10313829.921714665</v>
      </c>
      <c r="CD143" s="113">
        <v>8526647.1008986421</v>
      </c>
      <c r="CE143" s="113">
        <v>8565276.9935712498</v>
      </c>
      <c r="CF143" s="113">
        <v>8970361.4418478291</v>
      </c>
      <c r="CG143" s="111">
        <v>1282484.6119523151</v>
      </c>
      <c r="CH143" s="122">
        <v>116948452.35169151</v>
      </c>
      <c r="CJ143" s="110">
        <v>878384.52853794675</v>
      </c>
      <c r="CK143" s="111">
        <v>2072157.3505174196</v>
      </c>
      <c r="CL143" s="112">
        <v>1708519.462459408</v>
      </c>
      <c r="CM143" s="113">
        <v>2160755.5634795297</v>
      </c>
      <c r="CN143" s="113">
        <v>2077589.0657878581</v>
      </c>
      <c r="CO143" s="113">
        <v>2716305.8132902645</v>
      </c>
      <c r="CP143" s="111">
        <v>2417344.7519192975</v>
      </c>
      <c r="CQ143" s="111">
        <v>2755070.9497881155</v>
      </c>
      <c r="CR143" s="113">
        <v>3686423.0051446394</v>
      </c>
      <c r="CS143" s="113">
        <v>3675848.1306800628</v>
      </c>
      <c r="CT143" s="113">
        <v>3639073.0043192157</v>
      </c>
      <c r="CU143" s="111">
        <v>3952302.3288823371</v>
      </c>
      <c r="CV143" s="111">
        <v>154960.64665059312</v>
      </c>
      <c r="CW143" s="122">
        <v>31894734.601456691</v>
      </c>
      <c r="CY143" s="118">
        <v>6713031.0030251173</v>
      </c>
      <c r="CZ143" s="111">
        <v>7317795.4224200323</v>
      </c>
      <c r="DA143" s="113">
        <v>7507919.6629204676</v>
      </c>
      <c r="DB143" s="113">
        <v>8121698.2856271984</v>
      </c>
      <c r="DC143" s="113">
        <v>8430714.537493417</v>
      </c>
      <c r="DD143" s="113">
        <v>8848412.1919669602</v>
      </c>
      <c r="DE143" s="113">
        <v>9844989.2675029356</v>
      </c>
      <c r="DF143" s="113">
        <v>10231894.598227272</v>
      </c>
      <c r="DG143" s="113">
        <v>10963268.275860876</v>
      </c>
      <c r="DH143" s="113">
        <v>9559090.807976177</v>
      </c>
      <c r="DI143" s="113">
        <v>10962921.5836243</v>
      </c>
      <c r="DJ143" s="113">
        <v>10094922.026294878</v>
      </c>
      <c r="DK143" s="121">
        <f>SUM(CY143:DJ143)</f>
        <v>108596657.66293961</v>
      </c>
    </row>
    <row r="144" spans="1:115" ht="14.45" customHeight="1">
      <c r="A144" s="123"/>
      <c r="B144" s="13"/>
      <c r="C144" s="14"/>
      <c r="D144" s="91"/>
      <c r="E144" s="96"/>
      <c r="F144" s="104"/>
      <c r="G144" s="102"/>
      <c r="H144" s="102"/>
      <c r="I144" s="102"/>
      <c r="J144" s="102"/>
      <c r="K144" s="96"/>
      <c r="L144" s="102"/>
      <c r="M144" s="102"/>
      <c r="N144" s="102"/>
      <c r="O144" s="102"/>
      <c r="P144" s="100"/>
      <c r="Q144" s="101"/>
      <c r="R144" s="209"/>
      <c r="S144" s="209"/>
      <c r="T144" s="209"/>
      <c r="U144" s="89"/>
      <c r="V144" s="90"/>
      <c r="W144" s="3"/>
      <c r="X144" s="91"/>
      <c r="Y144" s="96"/>
      <c r="Z144" s="96"/>
      <c r="AA144" s="96"/>
      <c r="AB144" s="96"/>
      <c r="AC144" s="96"/>
      <c r="AD144" s="96"/>
      <c r="AE144" s="96"/>
      <c r="AF144" s="102"/>
      <c r="AG144" s="102"/>
      <c r="AH144" s="102"/>
      <c r="AI144" s="102"/>
      <c r="AJ144" s="103"/>
      <c r="AK144" s="210"/>
      <c r="AL144" s="89"/>
      <c r="AM144" s="90"/>
      <c r="AN144" s="3"/>
      <c r="AO144" s="83"/>
      <c r="AP144" s="96"/>
      <c r="AQ144" s="104"/>
      <c r="AR144" s="102"/>
      <c r="AS144" s="102"/>
      <c r="AT144" s="102"/>
      <c r="AU144" s="96"/>
      <c r="AV144" s="96"/>
      <c r="AW144" s="102"/>
      <c r="AX144" s="102"/>
      <c r="AY144" s="102"/>
      <c r="AZ144" s="96"/>
      <c r="BA144" s="102"/>
      <c r="BB144" s="209"/>
      <c r="BC144" s="89"/>
      <c r="BD144" s="90"/>
      <c r="BF144" s="91"/>
      <c r="BG144" s="96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94"/>
      <c r="BU144" s="83"/>
      <c r="BV144" s="96"/>
      <c r="BW144" s="96"/>
      <c r="BX144" s="96"/>
      <c r="BY144" s="96"/>
      <c r="BZ144" s="96"/>
      <c r="CA144" s="96"/>
      <c r="CB144" s="96"/>
      <c r="CC144" s="102"/>
      <c r="CD144" s="102"/>
      <c r="CE144" s="102"/>
      <c r="CF144" s="102"/>
      <c r="CG144" s="96"/>
      <c r="CH144" s="105"/>
      <c r="CJ144" s="83"/>
      <c r="CK144" s="96"/>
      <c r="CL144" s="104"/>
      <c r="CM144" s="102"/>
      <c r="CN144" s="102"/>
      <c r="CO144" s="102"/>
      <c r="CP144" s="96"/>
      <c r="CQ144" s="96"/>
      <c r="CR144" s="102"/>
      <c r="CS144" s="102"/>
      <c r="CT144" s="102"/>
      <c r="CU144" s="96"/>
      <c r="CV144" s="96"/>
      <c r="CW144" s="106"/>
      <c r="CY144" s="91"/>
      <c r="CZ144" s="96"/>
      <c r="DA144" s="102"/>
      <c r="DB144" s="102"/>
      <c r="DC144" s="102"/>
      <c r="DD144" s="102"/>
      <c r="DE144" s="102"/>
      <c r="DF144" s="102"/>
      <c r="DG144" s="102"/>
      <c r="DH144" s="102"/>
      <c r="DI144" s="102"/>
      <c r="DJ144" s="102"/>
      <c r="DK144" s="94"/>
    </row>
    <row r="145" spans="1:115" ht="14.45" customHeight="1">
      <c r="A145" s="662" t="s">
        <v>128</v>
      </c>
      <c r="B145" s="663"/>
      <c r="C145" s="217"/>
      <c r="D145" s="91">
        <f t="shared" ref="D145:O145" si="220">D102-D141</f>
        <v>2173961.9857292045</v>
      </c>
      <c r="E145" s="96">
        <f t="shared" si="220"/>
        <v>763313.7973034149</v>
      </c>
      <c r="F145" s="104">
        <f t="shared" si="220"/>
        <v>0</v>
      </c>
      <c r="G145" s="102">
        <f t="shared" si="220"/>
        <v>0</v>
      </c>
      <c r="H145" s="102">
        <f>H102-H141</f>
        <v>0</v>
      </c>
      <c r="I145" s="102">
        <f>I102-I141</f>
        <v>0</v>
      </c>
      <c r="J145" s="102">
        <f t="shared" si="220"/>
        <v>0</v>
      </c>
      <c r="K145" s="96">
        <f t="shared" si="220"/>
        <v>0</v>
      </c>
      <c r="L145" s="102">
        <f t="shared" si="220"/>
        <v>0</v>
      </c>
      <c r="M145" s="102">
        <f t="shared" si="220"/>
        <v>0</v>
      </c>
      <c r="N145" s="102">
        <f t="shared" si="220"/>
        <v>0</v>
      </c>
      <c r="O145" s="102">
        <f t="shared" si="220"/>
        <v>0</v>
      </c>
      <c r="P145" s="100">
        <f>SUM(D145:O145)</f>
        <v>2937275.7830326194</v>
      </c>
      <c r="Q145" s="101">
        <f>SUM(BS145)</f>
        <v>6537657.6887477655</v>
      </c>
      <c r="R145" s="89">
        <f>IF(ISERROR((($E145-$D145)/ABS($D145)+1)*100),0,(($E145-$D145)/ABS($D145)+1)*100)</f>
        <v>35.111644192222577</v>
      </c>
      <c r="S145" s="89">
        <f>IF(ISERROR((($E145-$BG145)/ABS($BG145)+1)*100),0,(($E145-$BG145)/ABS($BG145)+1)*100)</f>
        <v>29.210631588353365</v>
      </c>
      <c r="T145" s="89">
        <f>IF(ISERROR((($P145-$BG145)/ABS($BG145)+1)*100),0,(($P145-$BG145)/ABS($BG145)+1)*100)</f>
        <v>112.40420528839579</v>
      </c>
      <c r="U145" s="96">
        <f>(+'[24]PF resc'!D152)*1000</f>
        <v>1399664.1679070171</v>
      </c>
      <c r="V145" s="90">
        <f>IF(ISERROR((($E145-$U145)/ABS($U145)+1)*100),0,(($E145-$U145)/ABS($U145)+1)*100)</f>
        <v>54.535496071520754</v>
      </c>
      <c r="W145" s="3"/>
      <c r="X145" s="91">
        <f t="shared" ref="X145:AI145" si="221">X102-X141</f>
        <v>5338635.1476609241</v>
      </c>
      <c r="Y145" s="96">
        <f t="shared" si="221"/>
        <v>4304471.9116723156</v>
      </c>
      <c r="Z145" s="96">
        <f t="shared" si="221"/>
        <v>0</v>
      </c>
      <c r="AA145" s="96">
        <f t="shared" si="221"/>
        <v>0</v>
      </c>
      <c r="AB145" s="96">
        <f t="shared" si="221"/>
        <v>0</v>
      </c>
      <c r="AC145" s="96">
        <f t="shared" si="221"/>
        <v>0</v>
      </c>
      <c r="AD145" s="96">
        <f t="shared" si="221"/>
        <v>0</v>
      </c>
      <c r="AE145" s="96">
        <f t="shared" si="221"/>
        <v>0</v>
      </c>
      <c r="AF145" s="102">
        <f t="shared" si="221"/>
        <v>0</v>
      </c>
      <c r="AG145" s="102">
        <f t="shared" si="221"/>
        <v>0</v>
      </c>
      <c r="AH145" s="102">
        <f t="shared" si="221"/>
        <v>0</v>
      </c>
      <c r="AI145" s="102">
        <f t="shared" si="221"/>
        <v>0</v>
      </c>
      <c r="AJ145" s="103">
        <f>SUM(X145:AI145)</f>
        <v>9643107.0593332388</v>
      </c>
      <c r="AK145" s="88">
        <f>IF(ISERROR((($Y145-$X145)/ABS($X145)+1)*100),0,(($Y145-$X145)/ABS($X145)+1)*100)</f>
        <v>80.628696148270819</v>
      </c>
      <c r="AL145" s="96">
        <f>(+'[24]PF resc'!R152)*1000</f>
        <v>4554622.0164221693</v>
      </c>
      <c r="AM145" s="90">
        <f>IF(ISERROR((($Y145-$AL145)/ABS($AL145)+1)*100),0,(($Y145-$AL145)/ABS($AL145)+1)*100)</f>
        <v>94.507774655110538</v>
      </c>
      <c r="AN145" s="3"/>
      <c r="AO145" s="83">
        <f t="shared" ref="AO145:AZ145" si="222">AO102-AO141</f>
        <v>-3164673.1619317206</v>
      </c>
      <c r="AP145" s="96">
        <f t="shared" si="222"/>
        <v>-3541157.1132084755</v>
      </c>
      <c r="AQ145" s="104">
        <f t="shared" si="222"/>
        <v>0</v>
      </c>
      <c r="AR145" s="102">
        <f t="shared" si="222"/>
        <v>0</v>
      </c>
      <c r="AS145" s="102">
        <f t="shared" si="222"/>
        <v>0</v>
      </c>
      <c r="AT145" s="102">
        <f t="shared" si="222"/>
        <v>0</v>
      </c>
      <c r="AU145" s="96">
        <f t="shared" si="222"/>
        <v>0</v>
      </c>
      <c r="AV145" s="96">
        <f t="shared" si="222"/>
        <v>0</v>
      </c>
      <c r="AW145" s="102">
        <f t="shared" si="222"/>
        <v>0</v>
      </c>
      <c r="AX145" s="102">
        <f t="shared" si="222"/>
        <v>0</v>
      </c>
      <c r="AY145" s="102">
        <f t="shared" si="222"/>
        <v>0</v>
      </c>
      <c r="AZ145" s="96">
        <f t="shared" si="222"/>
        <v>0</v>
      </c>
      <c r="BA145" s="102">
        <f>SUM(AO145:AZ145)</f>
        <v>-6705830.2751401961</v>
      </c>
      <c r="BB145" s="89">
        <f>IF(ISERROR((($AP145-$AO145)/ABS($AO145)+1)*100),0,(($AP145-$AO145)/ABS($AO145)+1)*100)</f>
        <v>88.103543967651035</v>
      </c>
      <c r="BC145" s="96">
        <f>(+'[24]PF resc'!AF152)*1000</f>
        <v>-3154957.8485151525</v>
      </c>
      <c r="BD145" s="90">
        <f>IF(ISERROR((($AP145-$BC145)/ABS($BC145)+1)*100),0,(($AP145-$BC145)/ABS($BC145)+1)*100)</f>
        <v>87.758972283097734</v>
      </c>
      <c r="BF145" s="91">
        <v>3924520.7731880294</v>
      </c>
      <c r="BG145" s="96">
        <v>2613136.9155597361</v>
      </c>
      <c r="BH145" s="102">
        <v>3932197.475604211</v>
      </c>
      <c r="BI145" s="102">
        <v>2310788.8132506358</v>
      </c>
      <c r="BJ145" s="102">
        <v>3980309.9149288358</v>
      </c>
      <c r="BK145" s="102">
        <v>1415268.1913696148</v>
      </c>
      <c r="BL145" s="102">
        <v>2423551.1216654028</v>
      </c>
      <c r="BM145" s="102">
        <v>3425053.7070052959</v>
      </c>
      <c r="BN145" s="102">
        <v>491968.57314069523</v>
      </c>
      <c r="BO145" s="102">
        <v>3406743.5556373219</v>
      </c>
      <c r="BP145" s="102">
        <v>3013110.7910990575</v>
      </c>
      <c r="BQ145" s="102">
        <v>2802476.2317777448</v>
      </c>
      <c r="BR145" s="102">
        <v>2001912.8993003685</v>
      </c>
      <c r="BS145" s="94">
        <f>SUM(BF145:BG145)</f>
        <v>6537657.6887477655</v>
      </c>
      <c r="BU145" s="83">
        <v>3792475.8739596494</v>
      </c>
      <c r="BV145" s="96">
        <v>3699524.9060771549</v>
      </c>
      <c r="BW145" s="96">
        <v>4640748.5480636181</v>
      </c>
      <c r="BX145" s="96">
        <v>3526938.8141818852</v>
      </c>
      <c r="BY145" s="96">
        <v>5068991.8111771429</v>
      </c>
      <c r="BZ145" s="96">
        <v>3176393.3244556193</v>
      </c>
      <c r="CA145" s="96">
        <v>3790816.3935847115</v>
      </c>
      <c r="CB145" s="96">
        <v>5014408.766793414</v>
      </c>
      <c r="CC145" s="102">
        <v>3111544.2582853339</v>
      </c>
      <c r="CD145" s="102">
        <v>5831654.8891013609</v>
      </c>
      <c r="CE145" s="102">
        <v>5347106.6264287531</v>
      </c>
      <c r="CF145" s="102">
        <v>5337390.3581521735</v>
      </c>
      <c r="CG145" s="96">
        <v>1985259.7180476836</v>
      </c>
      <c r="CH145" s="105">
        <v>54323254.288308509</v>
      </c>
      <c r="CJ145" s="83">
        <v>132044.90146205749</v>
      </c>
      <c r="CK145" s="96">
        <v>-1086387.9905174174</v>
      </c>
      <c r="CL145" s="104">
        <v>-708551.07245940715</v>
      </c>
      <c r="CM145" s="102">
        <v>-1216150.0034795308</v>
      </c>
      <c r="CN145" s="102">
        <v>-1088681.8957878661</v>
      </c>
      <c r="CO145" s="102">
        <v>-1761125.1332902603</v>
      </c>
      <c r="CP145" s="96">
        <v>-1367265.271919298</v>
      </c>
      <c r="CQ145" s="96">
        <v>-1589355.0597881172</v>
      </c>
      <c r="CR145" s="102">
        <v>-2619575.6851446386</v>
      </c>
      <c r="CS145" s="102">
        <v>-2424911.3306800653</v>
      </c>
      <c r="CT145" s="102">
        <v>-2334031.95431922</v>
      </c>
      <c r="CU145" s="96">
        <v>-2534953.6288823378</v>
      </c>
      <c r="CV145" s="96">
        <v>10541.96334940751</v>
      </c>
      <c r="CW145" s="106">
        <v>-18588402.161456697</v>
      </c>
      <c r="CY145" s="91">
        <v>4559085.2669748841</v>
      </c>
      <c r="CZ145" s="96">
        <v>4604739.5375799667</v>
      </c>
      <c r="DA145" s="102">
        <v>5545521.6870795321</v>
      </c>
      <c r="DB145" s="102">
        <v>5543308.0743728029</v>
      </c>
      <c r="DC145" s="102">
        <v>5579846.5625065845</v>
      </c>
      <c r="DD145" s="102">
        <v>5175569.4180330392</v>
      </c>
      <c r="DE145" s="102">
        <v>4446127.6024970636</v>
      </c>
      <c r="DF145" s="102">
        <v>4420959.4417727292</v>
      </c>
      <c r="DG145" s="102">
        <v>3777285.414139125</v>
      </c>
      <c r="DH145" s="102">
        <v>5643019.0920238253</v>
      </c>
      <c r="DI145" s="102">
        <v>3658067.3763757017</v>
      </c>
      <c r="DJ145" s="102">
        <v>4798470.103705124</v>
      </c>
      <c r="DK145" s="94">
        <f>SUM(CY145:DJ145)</f>
        <v>57751999.577060379</v>
      </c>
    </row>
    <row r="146" spans="1:115" ht="14.45" customHeight="1">
      <c r="A146" s="662"/>
      <c r="B146" s="663"/>
      <c r="C146" s="217"/>
      <c r="D146" s="91"/>
      <c r="E146" s="96"/>
      <c r="F146" s="104"/>
      <c r="G146" s="102"/>
      <c r="H146" s="102"/>
      <c r="I146" s="102"/>
      <c r="J146" s="102"/>
      <c r="K146" s="96"/>
      <c r="L146" s="102"/>
      <c r="M146" s="102"/>
      <c r="N146" s="102"/>
      <c r="O146" s="102"/>
      <c r="P146" s="100"/>
      <c r="Q146" s="101"/>
      <c r="R146" s="89"/>
      <c r="S146" s="89"/>
      <c r="T146" s="89"/>
      <c r="U146" s="89"/>
      <c r="V146" s="90"/>
      <c r="W146" s="3"/>
      <c r="X146" s="91"/>
      <c r="Y146" s="96"/>
      <c r="Z146" s="96"/>
      <c r="AA146" s="96"/>
      <c r="AB146" s="96"/>
      <c r="AC146" s="96"/>
      <c r="AD146" s="96"/>
      <c r="AE146" s="96"/>
      <c r="AF146" s="102"/>
      <c r="AG146" s="102"/>
      <c r="AH146" s="102"/>
      <c r="AI146" s="102"/>
      <c r="AJ146" s="103"/>
      <c r="AK146" s="88"/>
      <c r="AL146" s="89"/>
      <c r="AM146" s="90"/>
      <c r="AN146" s="3"/>
      <c r="AO146" s="83"/>
      <c r="AP146" s="96"/>
      <c r="AQ146" s="104"/>
      <c r="AR146" s="102"/>
      <c r="AS146" s="102"/>
      <c r="AT146" s="102"/>
      <c r="AU146" s="96"/>
      <c r="AV146" s="96"/>
      <c r="AW146" s="102"/>
      <c r="AX146" s="102"/>
      <c r="AY146" s="102"/>
      <c r="AZ146" s="96"/>
      <c r="BA146" s="102"/>
      <c r="BB146" s="89"/>
      <c r="BC146" s="89"/>
      <c r="BD146" s="90"/>
      <c r="BF146" s="91"/>
      <c r="BG146" s="96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94"/>
      <c r="BU146" s="83"/>
      <c r="BV146" s="96"/>
      <c r="BW146" s="96"/>
      <c r="BX146" s="96"/>
      <c r="BY146" s="96"/>
      <c r="BZ146" s="96"/>
      <c r="CA146" s="96"/>
      <c r="CB146" s="96"/>
      <c r="CC146" s="102"/>
      <c r="CD146" s="102"/>
      <c r="CE146" s="102"/>
      <c r="CF146" s="102"/>
      <c r="CG146" s="96"/>
      <c r="CH146" s="105"/>
      <c r="CJ146" s="83"/>
      <c r="CK146" s="96"/>
      <c r="CL146" s="104"/>
      <c r="CM146" s="102"/>
      <c r="CN146" s="102"/>
      <c r="CO146" s="102"/>
      <c r="CP146" s="96"/>
      <c r="CQ146" s="96"/>
      <c r="CR146" s="102"/>
      <c r="CS146" s="102"/>
      <c r="CT146" s="102"/>
      <c r="CU146" s="96"/>
      <c r="CV146" s="96"/>
      <c r="CW146" s="106"/>
      <c r="CY146" s="91"/>
      <c r="CZ146" s="96"/>
      <c r="DA146" s="102"/>
      <c r="DB146" s="102"/>
      <c r="DC146" s="102"/>
      <c r="DD146" s="102"/>
      <c r="DE146" s="102"/>
      <c r="DF146" s="102"/>
      <c r="DG146" s="102"/>
      <c r="DH146" s="102"/>
      <c r="DI146" s="102"/>
      <c r="DJ146" s="102"/>
      <c r="DK146" s="94"/>
    </row>
    <row r="147" spans="1:115" ht="14.45" customHeight="1">
      <c r="A147" s="123"/>
      <c r="B147" s="13" t="s">
        <v>129</v>
      </c>
      <c r="C147" s="14"/>
      <c r="D147" s="91"/>
      <c r="E147" s="96"/>
      <c r="F147" s="104"/>
      <c r="G147" s="102"/>
      <c r="H147" s="102"/>
      <c r="I147" s="102"/>
      <c r="J147" s="102"/>
      <c r="K147" s="96"/>
      <c r="L147" s="102"/>
      <c r="M147" s="102"/>
      <c r="N147" s="102"/>
      <c r="O147" s="102"/>
      <c r="P147" s="100"/>
      <c r="Q147" s="101"/>
      <c r="R147" s="88"/>
      <c r="S147" s="89"/>
      <c r="T147" s="89"/>
      <c r="U147" s="89"/>
      <c r="V147" s="90"/>
      <c r="W147" s="3"/>
      <c r="X147" s="91"/>
      <c r="Y147" s="96"/>
      <c r="Z147" s="96"/>
      <c r="AA147" s="96"/>
      <c r="AB147" s="96"/>
      <c r="AC147" s="96"/>
      <c r="AD147" s="96"/>
      <c r="AE147" s="96"/>
      <c r="AF147" s="102"/>
      <c r="AG147" s="102"/>
      <c r="AH147" s="102"/>
      <c r="AI147" s="102"/>
      <c r="AJ147" s="103"/>
      <c r="AK147" s="88"/>
      <c r="AL147" s="89"/>
      <c r="AM147" s="90"/>
      <c r="AN147" s="3"/>
      <c r="AO147" s="83"/>
      <c r="AP147" s="96"/>
      <c r="AQ147" s="104"/>
      <c r="AR147" s="102"/>
      <c r="AS147" s="102"/>
      <c r="AT147" s="102"/>
      <c r="AU147" s="96"/>
      <c r="AV147" s="96"/>
      <c r="AW147" s="102"/>
      <c r="AX147" s="102"/>
      <c r="AY147" s="102"/>
      <c r="AZ147" s="96"/>
      <c r="BA147" s="102"/>
      <c r="BB147" s="89"/>
      <c r="BC147" s="89"/>
      <c r="BD147" s="90"/>
      <c r="BF147" s="91"/>
      <c r="BG147" s="96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94"/>
      <c r="BU147" s="83"/>
      <c r="BV147" s="96"/>
      <c r="BW147" s="96"/>
      <c r="BX147" s="96"/>
      <c r="BY147" s="96"/>
      <c r="BZ147" s="96"/>
      <c r="CA147" s="96"/>
      <c r="CB147" s="96"/>
      <c r="CC147" s="102"/>
      <c r="CD147" s="102"/>
      <c r="CE147" s="102"/>
      <c r="CF147" s="102"/>
      <c r="CG147" s="96"/>
      <c r="CH147" s="105"/>
      <c r="CJ147" s="83"/>
      <c r="CK147" s="96"/>
      <c r="CL147" s="104"/>
      <c r="CM147" s="102"/>
      <c r="CN147" s="102"/>
      <c r="CO147" s="102"/>
      <c r="CP147" s="96"/>
      <c r="CQ147" s="96"/>
      <c r="CR147" s="102"/>
      <c r="CS147" s="102"/>
      <c r="CT147" s="102"/>
      <c r="CU147" s="96"/>
      <c r="CV147" s="96"/>
      <c r="CW147" s="106"/>
      <c r="CY147" s="91"/>
      <c r="CZ147" s="96"/>
      <c r="DA147" s="102"/>
      <c r="DB147" s="102"/>
      <c r="DC147" s="102"/>
      <c r="DD147" s="102"/>
      <c r="DE147" s="102"/>
      <c r="DF147" s="102"/>
      <c r="DG147" s="102"/>
      <c r="DH147" s="102"/>
      <c r="DI147" s="102"/>
      <c r="DJ147" s="102"/>
      <c r="DK147" s="94"/>
    </row>
    <row r="148" spans="1:115" ht="14.45" customHeight="1">
      <c r="A148" s="123"/>
      <c r="B148" s="13" t="s">
        <v>130</v>
      </c>
      <c r="C148" s="14"/>
      <c r="D148" s="91"/>
      <c r="E148" s="96"/>
      <c r="F148" s="104"/>
      <c r="G148" s="102"/>
      <c r="H148" s="102"/>
      <c r="I148" s="102"/>
      <c r="J148" s="102"/>
      <c r="K148" s="96"/>
      <c r="L148" s="102"/>
      <c r="M148" s="102"/>
      <c r="N148" s="102"/>
      <c r="O148" s="102"/>
      <c r="P148" s="100"/>
      <c r="Q148" s="101"/>
      <c r="R148" s="88"/>
      <c r="S148" s="89"/>
      <c r="T148" s="89"/>
      <c r="U148" s="89"/>
      <c r="V148" s="90"/>
      <c r="W148" s="3"/>
      <c r="X148" s="91"/>
      <c r="Y148" s="96"/>
      <c r="Z148" s="96"/>
      <c r="AA148" s="96"/>
      <c r="AB148" s="96"/>
      <c r="AC148" s="96"/>
      <c r="AD148" s="96"/>
      <c r="AE148" s="96"/>
      <c r="AF148" s="102"/>
      <c r="AG148" s="102"/>
      <c r="AH148" s="102"/>
      <c r="AI148" s="102"/>
      <c r="AJ148" s="103"/>
      <c r="AK148" s="88"/>
      <c r="AL148" s="89"/>
      <c r="AM148" s="90"/>
      <c r="AN148" s="3"/>
      <c r="AO148" s="83"/>
      <c r="AP148" s="96"/>
      <c r="AQ148" s="104"/>
      <c r="AR148" s="102"/>
      <c r="AS148" s="102"/>
      <c r="AT148" s="102"/>
      <c r="AU148" s="96"/>
      <c r="AV148" s="96"/>
      <c r="AW148" s="102"/>
      <c r="AX148" s="102"/>
      <c r="AY148" s="102"/>
      <c r="AZ148" s="96"/>
      <c r="BA148" s="102"/>
      <c r="BB148" s="89"/>
      <c r="BC148" s="89"/>
      <c r="BD148" s="90"/>
      <c r="BF148" s="91"/>
      <c r="BG148" s="96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94"/>
      <c r="BU148" s="83"/>
      <c r="BV148" s="96"/>
      <c r="BW148" s="96"/>
      <c r="BX148" s="96"/>
      <c r="BY148" s="96"/>
      <c r="BZ148" s="96"/>
      <c r="CA148" s="96"/>
      <c r="CB148" s="96"/>
      <c r="CC148" s="102"/>
      <c r="CD148" s="102"/>
      <c r="CE148" s="102"/>
      <c r="CF148" s="102"/>
      <c r="CG148" s="96"/>
      <c r="CH148" s="105"/>
      <c r="CJ148" s="83"/>
      <c r="CK148" s="96"/>
      <c r="CL148" s="104"/>
      <c r="CM148" s="102"/>
      <c r="CN148" s="102"/>
      <c r="CO148" s="102"/>
      <c r="CP148" s="96"/>
      <c r="CQ148" s="96"/>
      <c r="CR148" s="102"/>
      <c r="CS148" s="102"/>
      <c r="CT148" s="102"/>
      <c r="CU148" s="96"/>
      <c r="CV148" s="96"/>
      <c r="CW148" s="106"/>
      <c r="CY148" s="91"/>
      <c r="CZ148" s="96"/>
      <c r="DA148" s="102"/>
      <c r="DB148" s="102"/>
      <c r="DC148" s="102"/>
      <c r="DD148" s="102"/>
      <c r="DE148" s="102"/>
      <c r="DF148" s="102"/>
      <c r="DG148" s="102"/>
      <c r="DH148" s="102"/>
      <c r="DI148" s="102"/>
      <c r="DJ148" s="102"/>
      <c r="DK148" s="94"/>
    </row>
    <row r="149" spans="1:115" ht="14.45" customHeight="1">
      <c r="A149" s="123"/>
      <c r="B149" s="13"/>
      <c r="C149" s="14"/>
      <c r="D149" s="91"/>
      <c r="E149" s="96"/>
      <c r="F149" s="218"/>
      <c r="G149" s="148"/>
      <c r="H149" s="148"/>
      <c r="I149" s="102"/>
      <c r="J149" s="148"/>
      <c r="K149" s="96"/>
      <c r="L149" s="102"/>
      <c r="M149" s="102"/>
      <c r="N149" s="102"/>
      <c r="O149" s="102"/>
      <c r="P149" s="144"/>
      <c r="Q149" s="101"/>
      <c r="R149" s="145"/>
      <c r="S149" s="145"/>
      <c r="T149" s="145"/>
      <c r="U149" s="89"/>
      <c r="V149" s="90"/>
      <c r="W149" s="3"/>
      <c r="X149" s="91"/>
      <c r="Y149" s="96"/>
      <c r="Z149" s="96"/>
      <c r="AA149" s="96"/>
      <c r="AB149" s="96"/>
      <c r="AC149" s="96"/>
      <c r="AD149" s="96"/>
      <c r="AE149" s="96"/>
      <c r="AF149" s="102"/>
      <c r="AG149" s="102"/>
      <c r="AH149" s="102"/>
      <c r="AI149" s="102"/>
      <c r="AJ149" s="146"/>
      <c r="AK149" s="147"/>
      <c r="AL149" s="89"/>
      <c r="AM149" s="90"/>
      <c r="AN149" s="3"/>
      <c r="AO149" s="83"/>
      <c r="AP149" s="96"/>
      <c r="AQ149" s="218"/>
      <c r="AR149" s="148"/>
      <c r="AS149" s="148"/>
      <c r="AT149" s="102"/>
      <c r="AU149" s="180"/>
      <c r="AV149" s="96"/>
      <c r="AW149" s="102"/>
      <c r="AX149" s="102"/>
      <c r="AY149" s="102"/>
      <c r="AZ149" s="96"/>
      <c r="BA149" s="148"/>
      <c r="BB149" s="145"/>
      <c r="BC149" s="89"/>
      <c r="BD149" s="90"/>
      <c r="BF149" s="91"/>
      <c r="BG149" s="96"/>
      <c r="BH149" s="148"/>
      <c r="BI149" s="148"/>
      <c r="BJ149" s="148"/>
      <c r="BK149" s="148"/>
      <c r="BL149" s="148"/>
      <c r="BM149" s="102"/>
      <c r="BN149" s="102"/>
      <c r="BO149" s="102"/>
      <c r="BP149" s="102"/>
      <c r="BQ149" s="102"/>
      <c r="BR149" s="102"/>
      <c r="BS149" s="166"/>
      <c r="BU149" s="83"/>
      <c r="BV149" s="96"/>
      <c r="BW149" s="96"/>
      <c r="BX149" s="96"/>
      <c r="BY149" s="96"/>
      <c r="BZ149" s="96"/>
      <c r="CA149" s="96"/>
      <c r="CB149" s="96"/>
      <c r="CC149" s="102"/>
      <c r="CD149" s="102"/>
      <c r="CE149" s="102"/>
      <c r="CF149" s="102"/>
      <c r="CG149" s="96"/>
      <c r="CH149" s="149"/>
      <c r="CJ149" s="83"/>
      <c r="CK149" s="96"/>
      <c r="CL149" s="218"/>
      <c r="CM149" s="148"/>
      <c r="CN149" s="148"/>
      <c r="CO149" s="102"/>
      <c r="CP149" s="180"/>
      <c r="CQ149" s="96"/>
      <c r="CR149" s="102"/>
      <c r="CS149" s="102"/>
      <c r="CT149" s="102"/>
      <c r="CU149" s="96"/>
      <c r="CV149" s="96"/>
      <c r="CW149" s="150"/>
      <c r="CY149" s="91"/>
      <c r="CZ149" s="96"/>
      <c r="DA149" s="148"/>
      <c r="DB149" s="148"/>
      <c r="DC149" s="148"/>
      <c r="DD149" s="148"/>
      <c r="DE149" s="148"/>
      <c r="DF149" s="102"/>
      <c r="DG149" s="102"/>
      <c r="DH149" s="102"/>
      <c r="DI149" s="102"/>
      <c r="DJ149" s="102"/>
      <c r="DK149" s="166"/>
    </row>
    <row r="150" spans="1:115" ht="14.45" customHeight="1" thickBot="1">
      <c r="A150" s="219" t="s">
        <v>131</v>
      </c>
      <c r="B150" s="220"/>
      <c r="C150" s="221"/>
      <c r="D150" s="222">
        <f>D102-D141-D147</f>
        <v>2173961.9857292045</v>
      </c>
      <c r="E150" s="223">
        <f>E102-E141-E147</f>
        <v>763313.7973034149</v>
      </c>
      <c r="F150" s="224">
        <f>F102-F141-F147</f>
        <v>0</v>
      </c>
      <c r="G150" s="225">
        <f>G102-G141-G147</f>
        <v>0</v>
      </c>
      <c r="H150" s="225">
        <f>H102-H141-H147</f>
        <v>0</v>
      </c>
      <c r="I150" s="225">
        <f t="shared" ref="I150:N150" si="223">I102-I141-I147</f>
        <v>0</v>
      </c>
      <c r="J150" s="225">
        <f t="shared" si="223"/>
        <v>0</v>
      </c>
      <c r="K150" s="223">
        <f t="shared" si="223"/>
        <v>0</v>
      </c>
      <c r="L150" s="225">
        <f t="shared" si="223"/>
        <v>0</v>
      </c>
      <c r="M150" s="225">
        <f t="shared" si="223"/>
        <v>0</v>
      </c>
      <c r="N150" s="225">
        <f t="shared" si="223"/>
        <v>0</v>
      </c>
      <c r="O150" s="225">
        <f>O102-O141-O147</f>
        <v>0</v>
      </c>
      <c r="P150" s="100">
        <f>SUM(D150:O150)</f>
        <v>2937275.7830326194</v>
      </c>
      <c r="Q150" s="226">
        <f>SUM(BS150)</f>
        <v>6537657.6887477655</v>
      </c>
      <c r="R150" s="89">
        <f>IF(ISERROR((($E150-$D150)/ABS($D150)+1)*100),0,(($E150-$D150)/ABS($D150)+1)*100)</f>
        <v>35.111644192222577</v>
      </c>
      <c r="S150" s="89">
        <f>IF(ISERROR((($E150-$BG150)/ABS($BG150)+1)*100),0,(($E150-$BG150)/ABS($BG150)+1)*100)</f>
        <v>29.210631588353365</v>
      </c>
      <c r="T150" s="227">
        <f>IF(ISERROR((($P150-$BG150)/ABS($BG150)+1)*100),0,(($P150-$BG150)/ABS($BG150)+1)*100)</f>
        <v>112.40420528839579</v>
      </c>
      <c r="U150" s="223">
        <f>U102-U141-U147</f>
        <v>1399664.1679070177</v>
      </c>
      <c r="V150" s="228">
        <f>IF(ISERROR((($E150-$U150)/ABS($U150)+1)*100),0,(($E150-$U150)/ABS($U150)+1)*100)</f>
        <v>54.535496071520726</v>
      </c>
      <c r="W150" s="3"/>
      <c r="X150" s="222">
        <f t="shared" ref="X150:AI150" si="224">X102-X141-X147</f>
        <v>5338635.1476609241</v>
      </c>
      <c r="Y150" s="223">
        <f t="shared" si="224"/>
        <v>4304471.9116723156</v>
      </c>
      <c r="Z150" s="223">
        <f t="shared" si="224"/>
        <v>0</v>
      </c>
      <c r="AA150" s="223">
        <f t="shared" si="224"/>
        <v>0</v>
      </c>
      <c r="AB150" s="223">
        <f t="shared" si="224"/>
        <v>0</v>
      </c>
      <c r="AC150" s="223">
        <f t="shared" si="224"/>
        <v>0</v>
      </c>
      <c r="AD150" s="223">
        <f t="shared" si="224"/>
        <v>0</v>
      </c>
      <c r="AE150" s="223">
        <f t="shared" si="224"/>
        <v>0</v>
      </c>
      <c r="AF150" s="225">
        <f t="shared" si="224"/>
        <v>0</v>
      </c>
      <c r="AG150" s="225">
        <f t="shared" si="224"/>
        <v>0</v>
      </c>
      <c r="AH150" s="225">
        <f t="shared" si="224"/>
        <v>0</v>
      </c>
      <c r="AI150" s="225">
        <f t="shared" si="224"/>
        <v>0</v>
      </c>
      <c r="AJ150" s="229">
        <f>SUM(X150:AI150)</f>
        <v>9643107.0593332388</v>
      </c>
      <c r="AK150" s="230">
        <f>IF(ISERROR((($Y150-$X150)/ABS($X150)+1)*100),0,(($Y150-$X150)/ABS($X150)+1)*100)</f>
        <v>80.628696148270819</v>
      </c>
      <c r="AL150" s="223">
        <f>AL102-AL141-AL147</f>
        <v>4554622.0164221721</v>
      </c>
      <c r="AM150" s="228">
        <f>IF(ISERROR((($Y150-$AL150)/ABS($AL150)+1)*100),0,(($Y150-$AL150)/ABS($AL150)+1)*100)</f>
        <v>94.507774655110495</v>
      </c>
      <c r="AN150" s="3"/>
      <c r="AO150" s="231">
        <f t="shared" ref="AO150:AZ150" si="225">AO102-AO141-AO147</f>
        <v>-3164673.1619317206</v>
      </c>
      <c r="AP150" s="223">
        <f t="shared" si="225"/>
        <v>-3541157.1132084755</v>
      </c>
      <c r="AQ150" s="224">
        <f t="shared" si="225"/>
        <v>0</v>
      </c>
      <c r="AR150" s="225">
        <f t="shared" si="225"/>
        <v>0</v>
      </c>
      <c r="AS150" s="225">
        <f t="shared" si="225"/>
        <v>0</v>
      </c>
      <c r="AT150" s="225">
        <f t="shared" si="225"/>
        <v>0</v>
      </c>
      <c r="AU150" s="223">
        <f t="shared" si="225"/>
        <v>0</v>
      </c>
      <c r="AV150" s="223">
        <f t="shared" si="225"/>
        <v>0</v>
      </c>
      <c r="AW150" s="225">
        <f t="shared" si="225"/>
        <v>0</v>
      </c>
      <c r="AX150" s="225">
        <f t="shared" si="225"/>
        <v>0</v>
      </c>
      <c r="AY150" s="225">
        <f t="shared" si="225"/>
        <v>0</v>
      </c>
      <c r="AZ150" s="223">
        <f t="shared" si="225"/>
        <v>0</v>
      </c>
      <c r="BA150" s="195">
        <f>SUM(AO150:AZ150)</f>
        <v>-6705830.2751401961</v>
      </c>
      <c r="BB150" s="227">
        <f>IF(ISERROR((($AP150-$AO150)/ABS($AO150)+1)*100),0,(($AP150-$AO150)/ABS($AO150)+1)*100)</f>
        <v>88.103543967651035</v>
      </c>
      <c r="BC150" s="223">
        <f t="shared" ref="BC150" si="226">BC102-BC141-BC147</f>
        <v>-3154957.8485151539</v>
      </c>
      <c r="BD150" s="228">
        <f>IF(ISERROR((($AP150-$BC150)/ABS($BC150)+1)*100),0,(($AP150-$BC150)/ABS($BC150)+1)*100)</f>
        <v>87.758972283097791</v>
      </c>
      <c r="BF150" s="222">
        <v>3924520.7731880294</v>
      </c>
      <c r="BG150" s="223">
        <v>2613136.9155597361</v>
      </c>
      <c r="BH150" s="224">
        <v>3932197.475604211</v>
      </c>
      <c r="BI150" s="225">
        <v>2310788.8132506358</v>
      </c>
      <c r="BJ150" s="225">
        <v>3980309.9149288358</v>
      </c>
      <c r="BK150" s="225">
        <v>1415268.1913696148</v>
      </c>
      <c r="BL150" s="225">
        <v>2423551.1216654028</v>
      </c>
      <c r="BM150" s="225">
        <v>3425053.7070052959</v>
      </c>
      <c r="BN150" s="225">
        <v>491968.57314069523</v>
      </c>
      <c r="BO150" s="225">
        <v>3406743.5556373219</v>
      </c>
      <c r="BP150" s="225">
        <v>3013110.7910990575</v>
      </c>
      <c r="BQ150" s="225">
        <v>2802476.2317777448</v>
      </c>
      <c r="BR150" s="225">
        <v>2001912.8993003685</v>
      </c>
      <c r="BS150" s="232">
        <f>SUM(BF150:BG150)</f>
        <v>6537657.6887477655</v>
      </c>
      <c r="BU150" s="231">
        <v>3792475.8739596494</v>
      </c>
      <c r="BV150" s="223">
        <v>3699524.9060771549</v>
      </c>
      <c r="BW150" s="223">
        <v>4640748.5480636181</v>
      </c>
      <c r="BX150" s="223">
        <v>3526938.8141818852</v>
      </c>
      <c r="BY150" s="223">
        <v>5068991.8111771429</v>
      </c>
      <c r="BZ150" s="223">
        <v>3176393.3244556193</v>
      </c>
      <c r="CA150" s="223">
        <v>3790816.3935847115</v>
      </c>
      <c r="CB150" s="223">
        <v>5014408.766793414</v>
      </c>
      <c r="CC150" s="225">
        <v>3111544.2582853339</v>
      </c>
      <c r="CD150" s="225">
        <v>5831654.8891013609</v>
      </c>
      <c r="CE150" s="225">
        <v>5347106.6264287531</v>
      </c>
      <c r="CF150" s="225">
        <v>5337390.3581521735</v>
      </c>
      <c r="CG150" s="223">
        <v>1985259.7180476836</v>
      </c>
      <c r="CH150" s="105">
        <v>54323254.288308509</v>
      </c>
      <c r="CJ150" s="231">
        <v>132044.90146205749</v>
      </c>
      <c r="CK150" s="223">
        <v>-1086387.9905174174</v>
      </c>
      <c r="CL150" s="224">
        <v>-708551.07245940715</v>
      </c>
      <c r="CM150" s="225">
        <v>-1216150.0034795308</v>
      </c>
      <c r="CN150" s="225">
        <v>-1088681.8957878661</v>
      </c>
      <c r="CO150" s="225">
        <v>-1761125.1332902603</v>
      </c>
      <c r="CP150" s="223">
        <v>-1367265.271919298</v>
      </c>
      <c r="CQ150" s="223">
        <v>-1589355.0597881172</v>
      </c>
      <c r="CR150" s="225">
        <v>-2619575.6851446386</v>
      </c>
      <c r="CS150" s="225">
        <v>-2424911.3306800653</v>
      </c>
      <c r="CT150" s="225">
        <v>-2334031.95431922</v>
      </c>
      <c r="CU150" s="223">
        <v>-2534953.6288823378</v>
      </c>
      <c r="CV150" s="223">
        <v>10541.96334940751</v>
      </c>
      <c r="CW150" s="106">
        <v>-18588402.161456697</v>
      </c>
      <c r="CY150" s="222">
        <v>4559085.2669748841</v>
      </c>
      <c r="CZ150" s="223">
        <v>4604739.5375799667</v>
      </c>
      <c r="DA150" s="224">
        <v>5545521.6870795321</v>
      </c>
      <c r="DB150" s="225">
        <v>5543308.0743728029</v>
      </c>
      <c r="DC150" s="225">
        <v>5579846.5625065845</v>
      </c>
      <c r="DD150" s="225">
        <v>5175569.4180330392</v>
      </c>
      <c r="DE150" s="225">
        <v>4446127.6024970636</v>
      </c>
      <c r="DF150" s="225">
        <v>4420959.4417727292</v>
      </c>
      <c r="DG150" s="225">
        <v>3777285.414139125</v>
      </c>
      <c r="DH150" s="225">
        <v>5643019.0920238253</v>
      </c>
      <c r="DI150" s="225">
        <v>3658067.3763757017</v>
      </c>
      <c r="DJ150" s="225">
        <v>4798470.103705124</v>
      </c>
      <c r="DK150" s="232">
        <f>SUM(CY150:DJ150)</f>
        <v>57751999.577060379</v>
      </c>
    </row>
    <row r="151" spans="1:115" s="247" customFormat="1" ht="15" customHeight="1">
      <c r="A151" s="134"/>
      <c r="B151" s="233"/>
      <c r="C151" s="234"/>
      <c r="D151" s="235">
        <f t="shared" ref="D151:P151" si="227">D150/D55</f>
        <v>0.12748483403159444</v>
      </c>
      <c r="E151" s="236">
        <f t="shared" si="227"/>
        <v>4.5218115983369486E-2</v>
      </c>
      <c r="F151" s="236" t="e">
        <f t="shared" si="227"/>
        <v>#DIV/0!</v>
      </c>
      <c r="G151" s="236" t="e">
        <f t="shared" si="227"/>
        <v>#DIV/0!</v>
      </c>
      <c r="H151" s="236" t="e">
        <f t="shared" si="227"/>
        <v>#DIV/0!</v>
      </c>
      <c r="I151" s="236" t="e">
        <f t="shared" si="227"/>
        <v>#DIV/0!</v>
      </c>
      <c r="J151" s="236" t="e">
        <f t="shared" si="227"/>
        <v>#DIV/0!</v>
      </c>
      <c r="K151" s="236" t="e">
        <f t="shared" si="227"/>
        <v>#DIV/0!</v>
      </c>
      <c r="L151" s="236" t="e">
        <f t="shared" si="227"/>
        <v>#DIV/0!</v>
      </c>
      <c r="M151" s="236" t="e">
        <f t="shared" si="227"/>
        <v>#DIV/0!</v>
      </c>
      <c r="N151" s="236" t="e">
        <f t="shared" si="227"/>
        <v>#DIV/0!</v>
      </c>
      <c r="O151" s="236" t="e">
        <f t="shared" si="227"/>
        <v>#DIV/0!</v>
      </c>
      <c r="P151" s="236">
        <f t="shared" si="227"/>
        <v>8.6559973304163679E-2</v>
      </c>
      <c r="Q151" s="236"/>
      <c r="R151" s="237"/>
      <c r="S151" s="237"/>
      <c r="T151" s="238"/>
      <c r="U151" s="239"/>
      <c r="V151" s="240"/>
      <c r="W151" s="241"/>
      <c r="X151" s="235">
        <f t="shared" ref="X151:AJ151" si="228">X150/X55</f>
        <v>0.34065032088358072</v>
      </c>
      <c r="Y151" s="236">
        <f t="shared" si="228"/>
        <v>0.27882509493870633</v>
      </c>
      <c r="Z151" s="236" t="e">
        <f t="shared" si="228"/>
        <v>#DIV/0!</v>
      </c>
      <c r="AA151" s="236" t="e">
        <f t="shared" si="228"/>
        <v>#DIV/0!</v>
      </c>
      <c r="AB151" s="236" t="e">
        <f t="shared" si="228"/>
        <v>#DIV/0!</v>
      </c>
      <c r="AC151" s="236" t="e">
        <f t="shared" si="228"/>
        <v>#DIV/0!</v>
      </c>
      <c r="AD151" s="236" t="e">
        <f t="shared" si="228"/>
        <v>#DIV/0!</v>
      </c>
      <c r="AE151" s="236" t="e">
        <f t="shared" si="228"/>
        <v>#DIV/0!</v>
      </c>
      <c r="AF151" s="236" t="e">
        <f t="shared" si="228"/>
        <v>#DIV/0!</v>
      </c>
      <c r="AG151" s="236" t="e">
        <f t="shared" si="228"/>
        <v>#DIV/0!</v>
      </c>
      <c r="AH151" s="236" t="e">
        <f t="shared" si="228"/>
        <v>#DIV/0!</v>
      </c>
      <c r="AI151" s="236" t="e">
        <f t="shared" si="228"/>
        <v>#DIV/0!</v>
      </c>
      <c r="AJ151" s="236">
        <f t="shared" si="228"/>
        <v>0.30997022440480776</v>
      </c>
      <c r="AK151" s="236"/>
      <c r="AL151" s="242">
        <f>'[24]PF resc'!R157</f>
        <v>4554.6220164221704</v>
      </c>
      <c r="AM151" s="243"/>
      <c r="AN151" s="241"/>
      <c r="AO151" s="235">
        <f t="shared" ref="AO151:BA151" si="229">AO150/AO55</f>
        <v>-2.291882368660723</v>
      </c>
      <c r="AP151" s="236">
        <f t="shared" si="229"/>
        <v>-2.4543374273334022</v>
      </c>
      <c r="AQ151" s="236" t="e">
        <f t="shared" si="229"/>
        <v>#DIV/0!</v>
      </c>
      <c r="AR151" s="236" t="e">
        <f t="shared" si="229"/>
        <v>#DIV/0!</v>
      </c>
      <c r="AS151" s="236" t="e">
        <f t="shared" si="229"/>
        <v>#DIV/0!</v>
      </c>
      <c r="AT151" s="236" t="e">
        <f t="shared" si="229"/>
        <v>#DIV/0!</v>
      </c>
      <c r="AU151" s="236" t="e">
        <f t="shared" si="229"/>
        <v>#DIV/0!</v>
      </c>
      <c r="AV151" s="236" t="e">
        <f t="shared" si="229"/>
        <v>#DIV/0!</v>
      </c>
      <c r="AW151" s="236" t="e">
        <f t="shared" si="229"/>
        <v>#DIV/0!</v>
      </c>
      <c r="AX151" s="236" t="e">
        <f t="shared" si="229"/>
        <v>#DIV/0!</v>
      </c>
      <c r="AY151" s="236" t="e">
        <f t="shared" si="229"/>
        <v>#DIV/0!</v>
      </c>
      <c r="AZ151" s="236" t="e">
        <f t="shared" si="229"/>
        <v>#DIV/0!</v>
      </c>
      <c r="BA151" s="236">
        <f t="shared" si="229"/>
        <v>-2.3748933839037862</v>
      </c>
      <c r="BB151" s="244"/>
      <c r="BC151" s="245">
        <f>'[24]PF resc'!AF157</f>
        <v>-3154.9578485151528</v>
      </c>
      <c r="BD151" s="246"/>
      <c r="BF151" s="235">
        <v>0.26118375677099198</v>
      </c>
      <c r="BG151" s="236">
        <v>0.17446063317675431</v>
      </c>
      <c r="BH151" s="236">
        <v>0.26124805724813843</v>
      </c>
      <c r="BI151" s="236">
        <v>0.15459967963996316</v>
      </c>
      <c r="BJ151" s="248">
        <v>0.25738122198866986</v>
      </c>
      <c r="BK151" s="248">
        <v>9.7171301691770726E-2</v>
      </c>
      <c r="BL151" s="248">
        <v>0.16579714505742496</v>
      </c>
      <c r="BM151" s="249">
        <v>0.22166998061577195</v>
      </c>
      <c r="BN151" s="249">
        <v>3.3947077964596055E-2</v>
      </c>
      <c r="BO151" s="249">
        <v>0.21825174189915267</v>
      </c>
      <c r="BP151" s="249">
        <v>0.19800398927153404</v>
      </c>
      <c r="BQ151" s="249">
        <v>0.17821674537328042</v>
      </c>
      <c r="BR151" s="249">
        <v>0.58309609949011376</v>
      </c>
      <c r="BS151" s="250"/>
      <c r="BU151" s="235">
        <v>0.27059213611537658</v>
      </c>
      <c r="BV151" s="236">
        <v>0.26439140826293689</v>
      </c>
      <c r="BW151" s="236">
        <v>0.33026437492064081</v>
      </c>
      <c r="BX151" s="236">
        <v>0.25188258731082597</v>
      </c>
      <c r="BY151" s="236">
        <v>0.35017150322480151</v>
      </c>
      <c r="BZ151" s="236">
        <v>0.23339543845303504</v>
      </c>
      <c r="CA151" s="236">
        <v>0.27940441990295417</v>
      </c>
      <c r="CB151" s="236">
        <v>0.35101576548135432</v>
      </c>
      <c r="CC151" s="236">
        <v>0.231765924477595</v>
      </c>
      <c r="CD151" s="236">
        <v>0.40615212670431933</v>
      </c>
      <c r="CE151" s="236">
        <v>0.38434151705980285</v>
      </c>
      <c r="CF151" s="236">
        <v>0.37304186099679004</v>
      </c>
      <c r="CG151" s="236">
        <v>0.60753214375485864</v>
      </c>
      <c r="CH151" s="251">
        <v>0.3171758800914608</v>
      </c>
      <c r="CJ151" s="235">
        <v>0.1306819630758943</v>
      </c>
      <c r="CK151" s="236">
        <v>-1.1020711685717388</v>
      </c>
      <c r="CL151" s="236">
        <v>-0.70857347046680796</v>
      </c>
      <c r="CM151" s="236">
        <v>-1.2874686059221716</v>
      </c>
      <c r="CN151" s="236">
        <v>-1.1008939249453262</v>
      </c>
      <c r="CO151" s="236">
        <v>-1.84376125916853</v>
      </c>
      <c r="CP151" s="236">
        <v>-1.3020588421738311</v>
      </c>
      <c r="CQ151" s="236">
        <v>-1.3634154543334909</v>
      </c>
      <c r="CR151" s="236">
        <v>-2.4554363459849506</v>
      </c>
      <c r="CS151" s="236">
        <v>-1.9384762928711265</v>
      </c>
      <c r="CT151" s="236">
        <v>-1.7884739750670888</v>
      </c>
      <c r="CU151" s="236">
        <v>-1.7885179764742007</v>
      </c>
      <c r="CV151" s="236" t="e">
        <v>#DIV/0!</v>
      </c>
      <c r="CW151" s="251">
        <v>-1.4320769735620178</v>
      </c>
      <c r="CY151" s="235">
        <v>0.40445690567516507</v>
      </c>
      <c r="CZ151" s="236">
        <v>0.3862215169029764</v>
      </c>
      <c r="DA151" s="236">
        <v>0.42483216022413373</v>
      </c>
      <c r="DB151" s="236">
        <v>0.4056571894908948</v>
      </c>
      <c r="DC151" s="236">
        <v>0.39826003560318396</v>
      </c>
      <c r="DD151" s="236">
        <v>0.36905135516881493</v>
      </c>
      <c r="DE151" s="236">
        <v>0.31111127583249998</v>
      </c>
      <c r="DF151" s="252"/>
      <c r="DG151" s="252"/>
      <c r="DH151" s="252"/>
      <c r="DI151" s="252"/>
      <c r="DJ151" s="252"/>
      <c r="DK151" s="253"/>
    </row>
    <row r="152" spans="1:115" ht="14.45" customHeight="1">
      <c r="A152" s="12"/>
      <c r="B152" s="139"/>
      <c r="C152" s="140"/>
      <c r="D152" s="254"/>
      <c r="E152" s="194"/>
      <c r="F152" s="194"/>
      <c r="G152" s="140"/>
      <c r="H152" s="140"/>
      <c r="I152" s="255"/>
      <c r="J152" s="140"/>
      <c r="K152" s="140"/>
      <c r="L152" s="140"/>
      <c r="M152" s="140"/>
      <c r="N152" s="140"/>
      <c r="O152" s="256"/>
      <c r="P152" s="256"/>
      <c r="Q152" s="256"/>
      <c r="R152" s="14"/>
      <c r="S152" s="14"/>
      <c r="T152" s="14"/>
      <c r="U152" s="102">
        <f>((+'[24]PF resc'!D159)*1000)</f>
        <v>1399664.1679070171</v>
      </c>
      <c r="V152" s="13"/>
      <c r="W152" s="3"/>
      <c r="X152" s="254"/>
      <c r="Y152" s="194"/>
      <c r="Z152" s="194"/>
      <c r="AA152" s="140"/>
      <c r="AB152" s="140"/>
      <c r="AC152" s="255"/>
      <c r="AD152" s="140"/>
      <c r="AE152" s="140"/>
      <c r="AF152" s="140"/>
      <c r="AG152" s="140"/>
      <c r="AH152" s="140"/>
      <c r="AI152" s="140"/>
      <c r="AJ152" s="140"/>
      <c r="AK152" s="140"/>
      <c r="AL152" s="257"/>
      <c r="AM152" s="139"/>
      <c r="AN152" s="3"/>
      <c r="AO152" s="254"/>
      <c r="AP152" s="194"/>
      <c r="AQ152" s="194"/>
      <c r="AR152" s="140"/>
      <c r="AS152" s="140"/>
      <c r="AT152" s="255"/>
      <c r="AU152" s="140"/>
      <c r="AV152" s="140"/>
      <c r="AW152" s="140"/>
      <c r="AX152" s="140"/>
      <c r="AY152" s="140"/>
      <c r="AZ152" s="140"/>
      <c r="BA152" s="140"/>
      <c r="BB152" s="258"/>
      <c r="BC152" s="38"/>
      <c r="BD152" s="259"/>
      <c r="BF152" s="254"/>
      <c r="BG152" s="194"/>
      <c r="BH152" s="194"/>
      <c r="BI152" s="140"/>
      <c r="BJ152" s="140"/>
      <c r="BK152" s="255"/>
      <c r="BL152" s="255"/>
      <c r="BM152" s="255"/>
      <c r="BN152" s="255"/>
      <c r="BO152" s="255"/>
      <c r="BP152" s="255"/>
      <c r="BQ152" s="255"/>
      <c r="BR152" s="255"/>
      <c r="BS152" s="260"/>
      <c r="BU152" s="254">
        <v>1000</v>
      </c>
      <c r="BV152" s="194"/>
      <c r="BW152" s="194"/>
      <c r="BX152" s="140"/>
      <c r="BY152" s="140"/>
      <c r="BZ152" s="255"/>
      <c r="CA152" s="140"/>
      <c r="CB152" s="140"/>
      <c r="CC152" s="140"/>
      <c r="CD152" s="140"/>
      <c r="CE152" s="140"/>
      <c r="CF152" s="140"/>
      <c r="CG152" s="140"/>
      <c r="CH152" s="139"/>
      <c r="CJ152" s="254"/>
      <c r="CK152" s="194"/>
      <c r="CL152" s="194"/>
      <c r="CM152" s="140"/>
      <c r="CN152" s="140"/>
      <c r="CO152" s="255"/>
      <c r="CP152" s="140"/>
      <c r="CQ152" s="140"/>
      <c r="CR152" s="140"/>
      <c r="CS152" s="140"/>
      <c r="CT152" s="140"/>
      <c r="CU152" s="140"/>
      <c r="CV152" s="140"/>
      <c r="CW152" s="139"/>
      <c r="CY152" s="254"/>
      <c r="CZ152" s="194"/>
      <c r="DA152" s="194"/>
      <c r="DB152" s="140"/>
      <c r="DC152" s="140"/>
      <c r="DD152" s="255"/>
      <c r="DE152" s="255"/>
      <c r="DF152" s="255"/>
      <c r="DG152" s="255"/>
      <c r="DH152" s="255"/>
      <c r="DI152" s="255"/>
      <c r="DJ152" s="255"/>
      <c r="DK152" s="260"/>
    </row>
    <row r="153" spans="1:115" s="607" customFormat="1" ht="14.45" customHeight="1">
      <c r="A153" s="593"/>
      <c r="B153" s="594" t="s">
        <v>176</v>
      </c>
      <c r="C153" s="595"/>
      <c r="D153" s="596">
        <f t="shared" ref="D153:K153" si="230">+X150+AO150</f>
        <v>2173961.9857292036</v>
      </c>
      <c r="E153" s="597">
        <f t="shared" si="230"/>
        <v>763314.79846384004</v>
      </c>
      <c r="F153" s="597">
        <f t="shared" si="230"/>
        <v>0</v>
      </c>
      <c r="G153" s="597">
        <f t="shared" si="230"/>
        <v>0</v>
      </c>
      <c r="H153" s="597">
        <f t="shared" si="230"/>
        <v>0</v>
      </c>
      <c r="I153" s="597">
        <f t="shared" si="230"/>
        <v>0</v>
      </c>
      <c r="J153" s="597">
        <f t="shared" si="230"/>
        <v>0</v>
      </c>
      <c r="K153" s="597">
        <f t="shared" si="230"/>
        <v>0</v>
      </c>
      <c r="L153" s="595"/>
      <c r="M153" s="595"/>
      <c r="N153" s="595"/>
      <c r="O153" s="595"/>
      <c r="P153" s="595"/>
      <c r="Q153" s="595"/>
      <c r="R153" s="598"/>
      <c r="S153" s="598"/>
      <c r="T153" s="598"/>
      <c r="U153" s="599">
        <f>+U150-U152</f>
        <v>0</v>
      </c>
      <c r="V153" s="600"/>
      <c r="W153" s="601"/>
      <c r="X153" s="593"/>
      <c r="Y153" s="595"/>
      <c r="Z153" s="595"/>
      <c r="AA153" s="595"/>
      <c r="AB153" s="595"/>
      <c r="AC153" s="595"/>
      <c r="AD153" s="595"/>
      <c r="AE153" s="595"/>
      <c r="AF153" s="595"/>
      <c r="AG153" s="595"/>
      <c r="AH153" s="595"/>
      <c r="AI153" s="595"/>
      <c r="AJ153" s="595"/>
      <c r="AK153" s="595"/>
      <c r="AL153" s="602"/>
      <c r="AM153" s="603"/>
      <c r="AN153" s="601"/>
      <c r="AO153" s="593"/>
      <c r="AP153" s="595"/>
      <c r="AQ153" s="595"/>
      <c r="AR153" s="595"/>
      <c r="AS153" s="595"/>
      <c r="AT153" s="595"/>
      <c r="AU153" s="595"/>
      <c r="AV153" s="595"/>
      <c r="AW153" s="595"/>
      <c r="AX153" s="595"/>
      <c r="AY153" s="595"/>
      <c r="AZ153" s="595"/>
      <c r="BA153" s="595"/>
      <c r="BB153" s="604"/>
      <c r="BC153" s="605"/>
      <c r="BD153" s="606"/>
      <c r="BF153" s="593">
        <v>3924520.775421707</v>
      </c>
      <c r="BG153" s="595">
        <v>2613136.9155597375</v>
      </c>
      <c r="BH153" s="595">
        <v>3932197.475604211</v>
      </c>
      <c r="BI153" s="595">
        <v>2310788.8107023546</v>
      </c>
      <c r="BJ153" s="595">
        <v>3980309.915389277</v>
      </c>
      <c r="BK153" s="595">
        <v>1415268.191165359</v>
      </c>
      <c r="BL153" s="595">
        <v>2423551.1216654135</v>
      </c>
      <c r="BM153" s="595">
        <v>3425053.7070052968</v>
      </c>
      <c r="BN153" s="595"/>
      <c r="BO153" s="595"/>
      <c r="BP153" s="595"/>
      <c r="BQ153" s="595"/>
      <c r="BR153" s="595"/>
      <c r="BS153" s="603"/>
      <c r="BU153" s="608">
        <v>4255464.1899999995</v>
      </c>
      <c r="BV153" s="609">
        <v>6071635.8500000006</v>
      </c>
      <c r="BW153" s="609">
        <v>2211704.0000000005</v>
      </c>
      <c r="BX153" s="609">
        <v>3005262.9</v>
      </c>
      <c r="BY153" s="609">
        <v>2748711.1100000003</v>
      </c>
      <c r="BZ153" s="609">
        <v>4084076.5</v>
      </c>
      <c r="CA153" s="609">
        <v>1524100.5</v>
      </c>
      <c r="CB153" s="609">
        <v>2084373.9999999998</v>
      </c>
      <c r="CC153" s="609">
        <v>2895963.3200000008</v>
      </c>
      <c r="CD153" s="609">
        <v>2904016.91</v>
      </c>
      <c r="CE153" s="609">
        <v>2450997.15</v>
      </c>
      <c r="CF153" s="609">
        <v>4173041.8200000003</v>
      </c>
      <c r="CG153" s="609">
        <v>0</v>
      </c>
      <c r="CH153" s="603"/>
      <c r="CJ153" s="593"/>
      <c r="CK153" s="595"/>
      <c r="CL153" s="595"/>
      <c r="CM153" s="595"/>
      <c r="CN153" s="595"/>
      <c r="CO153" s="595"/>
      <c r="CP153" s="595"/>
      <c r="CQ153" s="595"/>
      <c r="CR153" s="595"/>
      <c r="CS153" s="595"/>
      <c r="CT153" s="595"/>
      <c r="CU153" s="595"/>
      <c r="CV153" s="595"/>
      <c r="CW153" s="603"/>
      <c r="CY153" s="593"/>
      <c r="CZ153" s="595"/>
      <c r="DA153" s="595"/>
      <c r="DB153" s="595"/>
      <c r="DC153" s="595"/>
      <c r="DD153" s="595"/>
      <c r="DE153" s="595"/>
      <c r="DF153" s="595"/>
      <c r="DG153" s="595"/>
      <c r="DH153" s="595"/>
      <c r="DI153" s="595"/>
      <c r="DJ153" s="595"/>
      <c r="DK153" s="603"/>
    </row>
    <row r="154" spans="1:115" s="621" customFormat="1" ht="14.45" customHeight="1">
      <c r="A154" s="610"/>
      <c r="B154" s="611" t="s">
        <v>269</v>
      </c>
      <c r="C154" s="612"/>
      <c r="D154" s="613"/>
      <c r="E154" s="614"/>
      <c r="F154" s="614"/>
      <c r="G154" s="612"/>
      <c r="H154" s="612"/>
      <c r="I154" s="615"/>
      <c r="J154" s="612"/>
      <c r="K154" s="612"/>
      <c r="L154" s="612"/>
      <c r="M154" s="612"/>
      <c r="N154" s="612"/>
      <c r="O154" s="612"/>
      <c r="P154" s="612"/>
      <c r="Q154" s="615"/>
      <c r="R154" s="612"/>
      <c r="S154" s="612"/>
      <c r="T154" s="612"/>
      <c r="U154" s="616"/>
      <c r="V154" s="611"/>
      <c r="W154" s="617"/>
      <c r="X154" s="613"/>
      <c r="Y154" s="614"/>
      <c r="Z154" s="614"/>
      <c r="AA154" s="612"/>
      <c r="AB154" s="612"/>
      <c r="AC154" s="615"/>
      <c r="AD154" s="612"/>
      <c r="AE154" s="612"/>
      <c r="AF154" s="612"/>
      <c r="AG154" s="612"/>
      <c r="AH154" s="612"/>
      <c r="AI154" s="612"/>
      <c r="AJ154" s="612"/>
      <c r="AK154" s="612"/>
      <c r="AL154" s="616"/>
      <c r="AM154" s="611"/>
      <c r="AN154" s="617"/>
      <c r="AO154" s="613"/>
      <c r="AP154" s="614"/>
      <c r="AQ154" s="614"/>
      <c r="AR154" s="612"/>
      <c r="AS154" s="612"/>
      <c r="AT154" s="615"/>
      <c r="AU154" s="612"/>
      <c r="AV154" s="612"/>
      <c r="AW154" s="612"/>
      <c r="AX154" s="612"/>
      <c r="AY154" s="612"/>
      <c r="AZ154" s="612"/>
      <c r="BA154" s="612"/>
      <c r="BB154" s="618"/>
      <c r="BC154" s="619"/>
      <c r="BD154" s="620"/>
      <c r="BF154" s="613"/>
      <c r="BG154" s="614"/>
      <c r="BH154" s="614"/>
      <c r="BI154" s="612"/>
      <c r="BJ154" s="612"/>
      <c r="BK154" s="615"/>
      <c r="BL154" s="615"/>
      <c r="BM154" s="615"/>
      <c r="BN154" s="615"/>
      <c r="BO154" s="615"/>
      <c r="BP154" s="615"/>
      <c r="BQ154" s="615"/>
      <c r="BR154" s="615"/>
      <c r="BS154" s="622"/>
      <c r="BT154" s="623" t="s">
        <v>177</v>
      </c>
      <c r="BU154" s="624">
        <f>BU62/BU160</f>
        <v>6.354045315620652E-3</v>
      </c>
      <c r="BV154" s="625">
        <f t="shared" ref="BV154:CG154" si="231">BV62/BV160</f>
        <v>6.2382329339709984E-3</v>
      </c>
      <c r="BW154" s="625">
        <f t="shared" si="231"/>
        <v>4.9965937119776475E-3</v>
      </c>
      <c r="BX154" s="625">
        <f t="shared" si="231"/>
        <v>6.110145534355362E-3</v>
      </c>
      <c r="BY154" s="625">
        <f t="shared" si="231"/>
        <v>3.969481158688665E-3</v>
      </c>
      <c r="BZ154" s="626">
        <f t="shared" si="231"/>
        <v>5.2425960735121308E-3</v>
      </c>
      <c r="CA154" s="625">
        <f t="shared" si="231"/>
        <v>3.9730294632755563E-3</v>
      </c>
      <c r="CB154" s="625">
        <f t="shared" si="231"/>
        <v>3.5279722136630498E-3</v>
      </c>
      <c r="CC154" s="625">
        <f t="shared" si="231"/>
        <v>4.9258822955823159E-3</v>
      </c>
      <c r="CD154" s="625">
        <f t="shared" si="231"/>
        <v>2.4617310224194764E-3</v>
      </c>
      <c r="CE154" s="625">
        <f t="shared" si="231"/>
        <v>2.6195171315491067E-3</v>
      </c>
      <c r="CF154" s="625">
        <f t="shared" si="231"/>
        <v>3.0636729311198227E-3</v>
      </c>
      <c r="CG154" s="625">
        <f t="shared" si="231"/>
        <v>-4.6352797332360507E-4</v>
      </c>
      <c r="CH154" s="611"/>
      <c r="CI154" s="627"/>
      <c r="CJ154" s="613"/>
      <c r="CK154" s="614"/>
      <c r="CL154" s="614"/>
      <c r="CM154" s="612"/>
      <c r="CN154" s="612"/>
      <c r="CO154" s="615"/>
      <c r="CP154" s="612"/>
      <c r="CQ154" s="612"/>
      <c r="CR154" s="612"/>
      <c r="CS154" s="612"/>
      <c r="CT154" s="612"/>
      <c r="CU154" s="612"/>
      <c r="CV154" s="612"/>
      <c r="CW154" s="611"/>
      <c r="CY154" s="613"/>
      <c r="CZ154" s="614"/>
      <c r="DA154" s="614"/>
      <c r="DB154" s="612"/>
      <c r="DC154" s="612"/>
      <c r="DD154" s="615"/>
      <c r="DE154" s="615"/>
      <c r="DF154" s="615"/>
      <c r="DG154" s="615"/>
      <c r="DH154" s="615"/>
      <c r="DI154" s="615"/>
      <c r="DJ154" s="615"/>
      <c r="DK154" s="622"/>
    </row>
    <row r="155" spans="1:115" s="621" customFormat="1" ht="14.45" customHeight="1">
      <c r="A155" s="610"/>
      <c r="B155" s="612" t="s">
        <v>268</v>
      </c>
      <c r="C155" s="612"/>
      <c r="D155" s="613"/>
      <c r="E155" s="614"/>
      <c r="F155" s="614"/>
      <c r="G155" s="612"/>
      <c r="H155" s="612"/>
      <c r="I155" s="615"/>
      <c r="J155" s="612"/>
      <c r="K155" s="612"/>
      <c r="L155" s="612"/>
      <c r="M155" s="612"/>
      <c r="N155" s="612"/>
      <c r="O155" s="612"/>
      <c r="P155" s="612"/>
      <c r="Q155" s="615"/>
      <c r="R155" s="612"/>
      <c r="S155" s="612"/>
      <c r="T155" s="612"/>
      <c r="U155" s="616"/>
      <c r="V155" s="611"/>
      <c r="W155" s="617"/>
      <c r="X155" s="613"/>
      <c r="Y155" s="614"/>
      <c r="Z155" s="614"/>
      <c r="AA155" s="612"/>
      <c r="AB155" s="612"/>
      <c r="AC155" s="615"/>
      <c r="AD155" s="612"/>
      <c r="AE155" s="612"/>
      <c r="AF155" s="612"/>
      <c r="AG155" s="612"/>
      <c r="AH155" s="612"/>
      <c r="AI155" s="612"/>
      <c r="AJ155" s="612"/>
      <c r="AK155" s="612"/>
      <c r="AL155" s="616"/>
      <c r="AM155" s="611"/>
      <c r="AN155" s="617"/>
      <c r="AO155" s="613"/>
      <c r="AP155" s="614"/>
      <c r="AQ155" s="614"/>
      <c r="AR155" s="612"/>
      <c r="AS155" s="612"/>
      <c r="AT155" s="615"/>
      <c r="AU155" s="612"/>
      <c r="AV155" s="612"/>
      <c r="AW155" s="612"/>
      <c r="AX155" s="612"/>
      <c r="AY155" s="612"/>
      <c r="AZ155" s="612"/>
      <c r="BA155" s="612"/>
      <c r="BB155" s="618"/>
      <c r="BC155" s="619"/>
      <c r="BD155" s="620"/>
      <c r="BF155" s="613"/>
      <c r="BG155" s="625">
        <f>BG62/BG158*12</f>
        <v>9.7200216668123091E-2</v>
      </c>
      <c r="BH155" s="625">
        <f t="shared" ref="BH155:BQ155" si="232">BH62/BH158</f>
        <v>6.4448173131654114E-3</v>
      </c>
      <c r="BI155" s="625">
        <f t="shared" si="232"/>
        <v>8.0268194451822653E-3</v>
      </c>
      <c r="BJ155" s="625">
        <f t="shared" si="232"/>
        <v>5.845699285884483E-3</v>
      </c>
      <c r="BK155" s="625">
        <f t="shared" si="232"/>
        <v>7.4978665117148785E-3</v>
      </c>
      <c r="BL155" s="625">
        <f t="shared" si="232"/>
        <v>5.8647859568023136E-3</v>
      </c>
      <c r="BM155" s="625">
        <f t="shared" si="232"/>
        <v>5.888129764979556E-3</v>
      </c>
      <c r="BN155" s="625">
        <f t="shared" si="232"/>
        <v>8.105989356626141E-3</v>
      </c>
      <c r="BO155" s="625">
        <f t="shared" si="232"/>
        <v>5.6771533261960215E-3</v>
      </c>
      <c r="BP155" s="625">
        <f t="shared" si="232"/>
        <v>5.6978593441329292E-3</v>
      </c>
      <c r="BQ155" s="625">
        <f t="shared" si="232"/>
        <v>6.2904685657541645E-3</v>
      </c>
      <c r="BR155" s="615"/>
      <c r="BS155" s="622"/>
      <c r="BT155" s="627" t="s">
        <v>178</v>
      </c>
      <c r="BU155" s="624">
        <f>BU153/BU160</f>
        <v>5.7307165470260957E-3</v>
      </c>
      <c r="BV155" s="625">
        <f t="shared" ref="BV155:CG155" si="233">BV153/BV160</f>
        <v>8.1091331880951845E-3</v>
      </c>
      <c r="BW155" s="625">
        <f t="shared" si="233"/>
        <v>2.9361464377261376E-3</v>
      </c>
      <c r="BX155" s="625">
        <f t="shared" si="233"/>
        <v>3.9341777544918818E-3</v>
      </c>
      <c r="BY155" s="625">
        <f t="shared" si="233"/>
        <v>3.5369773926585946E-3</v>
      </c>
      <c r="BZ155" s="626">
        <f t="shared" si="233"/>
        <v>5.3157573007201215E-3</v>
      </c>
      <c r="CA155" s="625">
        <f t="shared" si="233"/>
        <v>1.9815021571764654E-3</v>
      </c>
      <c r="CB155" s="625">
        <f t="shared" si="233"/>
        <v>2.707087974260159E-3</v>
      </c>
      <c r="CC155" s="625">
        <f t="shared" si="233"/>
        <v>3.7328339991421029E-3</v>
      </c>
      <c r="CD155" s="625">
        <f t="shared" si="233"/>
        <v>3.7466233829632316E-3</v>
      </c>
      <c r="CE155" s="625">
        <f t="shared" si="233"/>
        <v>3.1813917895155064E-3</v>
      </c>
      <c r="CF155" s="625">
        <f t="shared" si="233"/>
        <v>5.4269586489409105E-3</v>
      </c>
      <c r="CG155" s="625">
        <f t="shared" si="233"/>
        <v>0</v>
      </c>
      <c r="CH155" s="611"/>
      <c r="CI155" s="627"/>
      <c r="CJ155" s="613"/>
      <c r="CK155" s="614"/>
      <c r="CL155" s="614"/>
      <c r="CM155" s="612"/>
      <c r="CN155" s="612"/>
      <c r="CO155" s="615"/>
      <c r="CP155" s="612"/>
      <c r="CQ155" s="612"/>
      <c r="CR155" s="612"/>
      <c r="CS155" s="612"/>
      <c r="CT155" s="612"/>
      <c r="CU155" s="612"/>
      <c r="CV155" s="612"/>
      <c r="CW155" s="611"/>
      <c r="CY155" s="613"/>
      <c r="CZ155" s="614"/>
      <c r="DA155" s="614"/>
      <c r="DB155" s="612"/>
      <c r="DC155" s="612"/>
      <c r="DD155" s="615"/>
      <c r="DE155" s="615"/>
      <c r="DF155" s="615"/>
      <c r="DG155" s="615"/>
      <c r="DH155" s="615"/>
      <c r="DI155" s="615"/>
      <c r="DJ155" s="615"/>
      <c r="DK155" s="622"/>
    </row>
    <row r="156" spans="1:115" ht="14.45" customHeight="1">
      <c r="A156" s="123"/>
      <c r="B156" s="14"/>
      <c r="C156" s="14"/>
      <c r="D156" s="91"/>
      <c r="E156" s="104"/>
      <c r="F156" s="104"/>
      <c r="G156" s="14"/>
      <c r="H156" s="14"/>
      <c r="I156" s="261"/>
      <c r="J156" s="14"/>
      <c r="K156" s="14"/>
      <c r="L156" s="14"/>
      <c r="M156" s="14"/>
      <c r="N156" s="14"/>
      <c r="O156" s="14"/>
      <c r="P156" s="14"/>
      <c r="Q156" s="261"/>
      <c r="R156" s="14"/>
      <c r="S156" s="14"/>
      <c r="T156" s="14"/>
      <c r="U156" s="84"/>
      <c r="V156" s="13"/>
      <c r="W156" s="3"/>
      <c r="X156" s="91"/>
      <c r="Y156" s="104"/>
      <c r="Z156" s="104"/>
      <c r="AA156" s="14"/>
      <c r="AB156" s="14"/>
      <c r="AC156" s="261"/>
      <c r="AD156" s="14"/>
      <c r="AE156" s="14"/>
      <c r="AF156" s="14"/>
      <c r="AG156" s="14"/>
      <c r="AH156" s="14"/>
      <c r="AI156" s="14"/>
      <c r="AJ156" s="14"/>
      <c r="AK156" s="14"/>
      <c r="AL156" s="84"/>
      <c r="AM156" s="13"/>
      <c r="AN156" s="3"/>
      <c r="AO156" s="91"/>
      <c r="AP156" s="104"/>
      <c r="AQ156" s="104"/>
      <c r="AR156" s="14"/>
      <c r="AS156" s="14"/>
      <c r="AT156" s="261"/>
      <c r="AU156" s="14"/>
      <c r="AV156" s="14"/>
      <c r="AW156" s="14"/>
      <c r="AX156" s="14"/>
      <c r="AY156" s="14"/>
      <c r="AZ156" s="14"/>
      <c r="BA156" s="14"/>
      <c r="BB156" s="258"/>
      <c r="BC156" s="38"/>
      <c r="BD156" s="259"/>
      <c r="BF156" s="91"/>
      <c r="BG156" s="263"/>
      <c r="BH156" s="263"/>
      <c r="BI156" s="263"/>
      <c r="BJ156" s="263"/>
      <c r="BK156" s="263"/>
      <c r="BL156" s="263"/>
      <c r="BM156" s="263"/>
      <c r="BN156" s="263"/>
      <c r="BO156" s="263"/>
      <c r="BP156" s="263"/>
      <c r="BQ156" s="263"/>
      <c r="BR156" s="261"/>
      <c r="BS156" s="262"/>
      <c r="BU156" s="91"/>
      <c r="BV156" s="104"/>
      <c r="BW156" s="104"/>
      <c r="BX156" s="14"/>
      <c r="BY156" s="14"/>
      <c r="BZ156" s="261"/>
      <c r="CA156" s="14"/>
      <c r="CB156" s="14"/>
      <c r="CC156" s="14"/>
      <c r="CD156" s="14"/>
      <c r="CE156" s="14"/>
      <c r="CF156" s="14"/>
      <c r="CG156" s="14"/>
      <c r="CH156" s="13"/>
      <c r="CJ156" s="91"/>
      <c r="CK156" s="104"/>
      <c r="CL156" s="104"/>
      <c r="CM156" s="14"/>
      <c r="CN156" s="14"/>
      <c r="CO156" s="261"/>
      <c r="CP156" s="14"/>
      <c r="CQ156" s="14"/>
      <c r="CR156" s="14"/>
      <c r="CS156" s="14"/>
      <c r="CT156" s="14"/>
      <c r="CU156" s="14"/>
      <c r="CV156" s="14"/>
      <c r="CW156" s="13"/>
      <c r="CY156" s="91"/>
      <c r="CZ156" s="104"/>
      <c r="DA156" s="104"/>
      <c r="DB156" s="14"/>
      <c r="DC156" s="14"/>
      <c r="DD156" s="261"/>
      <c r="DE156" s="261"/>
      <c r="DF156" s="261"/>
      <c r="DG156" s="261"/>
      <c r="DH156" s="261"/>
      <c r="DI156" s="261"/>
      <c r="DJ156" s="261"/>
      <c r="DK156" s="262"/>
    </row>
    <row r="157" spans="1:115" ht="14.25" customHeight="1">
      <c r="A157" s="12"/>
      <c r="B157" s="264" t="s">
        <v>132</v>
      </c>
      <c r="C157" s="264"/>
      <c r="D157" s="91"/>
      <c r="E157" s="104"/>
      <c r="F157" s="104"/>
      <c r="G157" s="14"/>
      <c r="H157" s="14"/>
      <c r="I157" s="261"/>
      <c r="J157" s="14"/>
      <c r="K157" s="14"/>
      <c r="L157" s="14"/>
      <c r="M157" s="14"/>
      <c r="N157" s="14"/>
      <c r="O157" s="14"/>
      <c r="P157" s="14"/>
      <c r="Q157" s="261"/>
      <c r="R157" s="14"/>
      <c r="S157" s="14"/>
      <c r="T157" s="14"/>
      <c r="U157" s="84"/>
      <c r="V157" s="13"/>
      <c r="W157" s="3"/>
      <c r="X157" s="91"/>
      <c r="Y157" s="104"/>
      <c r="Z157" s="104"/>
      <c r="AA157" s="14"/>
      <c r="AB157" s="14"/>
      <c r="AC157" s="261"/>
      <c r="AD157" s="14"/>
      <c r="AE157" s="14"/>
      <c r="AF157" s="14"/>
      <c r="AG157" s="14"/>
      <c r="AH157" s="14"/>
      <c r="AI157" s="14"/>
      <c r="AJ157" s="14"/>
      <c r="AK157" s="14"/>
      <c r="AL157" s="84"/>
      <c r="AM157" s="13"/>
      <c r="AN157" s="3"/>
      <c r="AO157" s="91"/>
      <c r="AP157" s="104"/>
      <c r="AQ157" s="104"/>
      <c r="AR157" s="14"/>
      <c r="AS157" s="14"/>
      <c r="AT157" s="261"/>
      <c r="AU157" s="14"/>
      <c r="AV157" s="14"/>
      <c r="AW157" s="14"/>
      <c r="AX157" s="14"/>
      <c r="AY157" s="14"/>
      <c r="AZ157" s="14"/>
      <c r="BA157" s="14"/>
      <c r="BB157" s="258"/>
      <c r="BC157" s="38"/>
      <c r="BD157" s="259"/>
      <c r="BF157" s="91"/>
      <c r="BG157" s="104"/>
      <c r="BH157" s="104"/>
      <c r="BI157" s="14"/>
      <c r="BJ157" s="14"/>
      <c r="BK157" s="261"/>
      <c r="BL157" s="261"/>
      <c r="BM157" s="261"/>
      <c r="BN157" s="261"/>
      <c r="BO157" s="261"/>
      <c r="BP157" s="261"/>
      <c r="BQ157" s="261"/>
      <c r="BR157" s="261"/>
      <c r="BS157" s="262"/>
      <c r="BU157" s="91"/>
      <c r="BV157" s="104"/>
      <c r="BW157" s="104"/>
      <c r="BX157" s="14"/>
      <c r="BY157" s="14"/>
      <c r="BZ157" s="261"/>
      <c r="CA157" s="14"/>
      <c r="CB157" s="14"/>
      <c r="CC157" s="14"/>
      <c r="CD157" s="14"/>
      <c r="CE157" s="14"/>
      <c r="CF157" s="14"/>
      <c r="CG157" s="14"/>
      <c r="CH157" s="13"/>
      <c r="CJ157" s="91"/>
      <c r="CK157" s="104"/>
      <c r="CL157" s="104"/>
      <c r="CM157" s="14"/>
      <c r="CN157" s="14"/>
      <c r="CO157" s="261"/>
      <c r="CP157" s="14"/>
      <c r="CQ157" s="14"/>
      <c r="CR157" s="14"/>
      <c r="CS157" s="14"/>
      <c r="CT157" s="14"/>
      <c r="CU157" s="14"/>
      <c r="CV157" s="14"/>
      <c r="CW157" s="13"/>
      <c r="CY157" s="91"/>
      <c r="CZ157" s="104"/>
      <c r="DA157" s="104"/>
      <c r="DB157" s="14"/>
      <c r="DC157" s="14"/>
      <c r="DD157" s="261"/>
      <c r="DE157" s="261"/>
      <c r="DF157" s="261"/>
      <c r="DG157" s="261"/>
      <c r="DH157" s="261"/>
      <c r="DI157" s="261"/>
      <c r="DJ157" s="261"/>
      <c r="DK157" s="262"/>
    </row>
    <row r="158" spans="1:115" ht="14.45" customHeight="1">
      <c r="A158" s="12"/>
      <c r="B158" s="265" t="s">
        <v>133</v>
      </c>
      <c r="C158" s="140"/>
      <c r="D158" s="91">
        <f>'[24]funding cost'!CL13+'[24]funding cost'!CL12</f>
        <v>860489063.26999998</v>
      </c>
      <c r="E158" s="104">
        <f>'[24]funding cost'!CP13+'[24]funding cost'!CP12</f>
        <v>870431028.82999969</v>
      </c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>
        <f>+E158</f>
        <v>870431028.82999969</v>
      </c>
      <c r="Q158" s="104">
        <f>SUM(BS158)</f>
        <v>789527884.28999996</v>
      </c>
      <c r="R158" s="266"/>
      <c r="S158" s="266"/>
      <c r="T158" s="266"/>
      <c r="U158" s="102">
        <f>(+'[24]PF resc'!D206)*1000</f>
        <v>888072321.45295715</v>
      </c>
      <c r="V158" s="267">
        <f t="shared" ref="V158:V160" si="234">IF(ISERROR((($E158-$U158)/ABS($U158)+1)*100),0,(($E158-$U158)/ABS($U158)+1)*100)</f>
        <v>98.013529732117433</v>
      </c>
      <c r="W158" s="3"/>
      <c r="X158" s="91">
        <f>+'[24]funding cost'!CL13</f>
        <v>768398927.26999998</v>
      </c>
      <c r="Y158" s="104">
        <f>+'[24]funding cost'!CP13</f>
        <v>782434844.24999976</v>
      </c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>
        <f>+Y158</f>
        <v>782434844.24999976</v>
      </c>
      <c r="AK158" s="266">
        <f>IF(ISERROR((($Y158-$X158)/ABS($X158)+1)*100),0,(($Y158-$X158)/ABS($X158)+1)*100)</f>
        <v>101.82664453083858</v>
      </c>
      <c r="AL158" s="102">
        <f>(+'[24]PF resc'!R206)*1000</f>
        <v>795645239.8984741</v>
      </c>
      <c r="AM158" s="267">
        <f t="shared" ref="AM158:AM160" si="235">IF(ISERROR((($Y158-$AL158)/ABS($AL158)+1)*100),0,(($Y158-$AL158)/ABS($AL158)+1)*100)</f>
        <v>98.339662580001104</v>
      </c>
      <c r="AN158" s="3"/>
      <c r="AO158" s="91">
        <f>+'[24]funding cost'!CL12</f>
        <v>92090136</v>
      </c>
      <c r="AP158" s="104">
        <f>+'[24]funding cost'!CP12</f>
        <v>87996184.579999924</v>
      </c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>
        <f>+AP158</f>
        <v>87996184.579999924</v>
      </c>
      <c r="BB158" s="258"/>
      <c r="BC158" s="104">
        <f>(+'[24]PF resc'!AF206)*1000</f>
        <v>92427081.554483056</v>
      </c>
      <c r="BD158" s="267">
        <f>IF(ISERROR((($AP158-$BC158)/ABS($BC158)+1)*100),0,(($AP158-$BC158)/ABS($BC158)+1)*100)</f>
        <v>95.206062011304283</v>
      </c>
      <c r="BF158" s="91">
        <v>784026897.38</v>
      </c>
      <c r="BG158" s="268">
        <v>789527884.28999996</v>
      </c>
      <c r="BH158" s="104">
        <v>794602774.6099999</v>
      </c>
      <c r="BI158" s="104">
        <v>805755326.1500001</v>
      </c>
      <c r="BJ158" s="104">
        <v>818355456.9000001</v>
      </c>
      <c r="BK158" s="104">
        <v>827473655.38</v>
      </c>
      <c r="BL158" s="104">
        <v>831712129.87</v>
      </c>
      <c r="BM158" s="104">
        <v>831946000.39999998</v>
      </c>
      <c r="BN158" s="104">
        <v>846942267.39999986</v>
      </c>
      <c r="BO158" s="104">
        <v>855106302.58999991</v>
      </c>
      <c r="BP158" s="104">
        <v>856422244.78999996</v>
      </c>
      <c r="BQ158" s="104">
        <v>864809481.69999981</v>
      </c>
      <c r="BR158" s="104">
        <v>868708798.28999984</v>
      </c>
      <c r="BS158" s="262">
        <f>SUM(BG158)</f>
        <v>789527884.28999996</v>
      </c>
      <c r="BU158" s="91">
        <v>737426636.41999996</v>
      </c>
      <c r="BV158" s="104">
        <v>743532392.8499999</v>
      </c>
      <c r="BW158" s="104">
        <v>748075717.13999987</v>
      </c>
      <c r="BX158" s="104">
        <v>758657322.2700001</v>
      </c>
      <c r="BY158" s="104">
        <v>772120816.56000006</v>
      </c>
      <c r="BZ158" s="104">
        <v>763148130.95000005</v>
      </c>
      <c r="CA158" s="104">
        <v>764018769.24000001</v>
      </c>
      <c r="CB158" s="104">
        <v>765071130.11000001</v>
      </c>
      <c r="CC158" s="104">
        <v>770652967.11999989</v>
      </c>
      <c r="CD158" s="104">
        <v>770218672.55999994</v>
      </c>
      <c r="CE158" s="104">
        <v>765522480.65999997</v>
      </c>
      <c r="CF158" s="104">
        <v>764405912.03999984</v>
      </c>
      <c r="CG158" s="104">
        <v>765727091.89999986</v>
      </c>
      <c r="CH158" s="105">
        <f>+BV158</f>
        <v>743532392.8499999</v>
      </c>
      <c r="CJ158" s="91">
        <v>46600260.960000001</v>
      </c>
      <c r="CK158" s="104">
        <v>45995491.439999998</v>
      </c>
      <c r="CL158" s="104">
        <v>46527057.469999999</v>
      </c>
      <c r="CM158" s="104">
        <v>47098003.880000003</v>
      </c>
      <c r="CN158" s="104">
        <v>46234640.340000004</v>
      </c>
      <c r="CO158" s="104">
        <v>64325524.43</v>
      </c>
      <c r="CP158" s="104">
        <v>67693360.63000001</v>
      </c>
      <c r="CQ158" s="104">
        <v>66874870.290000007</v>
      </c>
      <c r="CR158" s="104">
        <v>76289300.280000001</v>
      </c>
      <c r="CS158" s="104">
        <v>84887630.030000001</v>
      </c>
      <c r="CT158" s="104">
        <v>90899764.129999995</v>
      </c>
      <c r="CU158" s="104">
        <v>100403569.65999998</v>
      </c>
      <c r="CV158" s="104">
        <v>102981706.39000002</v>
      </c>
      <c r="CW158" s="105">
        <f>+CK158</f>
        <v>45995491.439999998</v>
      </c>
      <c r="CY158" s="91">
        <v>565435596.9799999</v>
      </c>
      <c r="CZ158" s="104">
        <v>596170640.07000005</v>
      </c>
      <c r="DA158" s="104">
        <v>642996162.21000004</v>
      </c>
      <c r="DB158" s="104">
        <v>685995212.92999995</v>
      </c>
      <c r="DC158" s="104">
        <v>716266936.47000003</v>
      </c>
      <c r="DD158" s="104">
        <v>726656237.37</v>
      </c>
      <c r="DE158" s="104">
        <v>745730966.41999996</v>
      </c>
      <c r="DF158" s="104">
        <v>755198241.75</v>
      </c>
      <c r="DG158" s="104">
        <v>781328606.25</v>
      </c>
      <c r="DH158" s="104">
        <v>793669173.73000002</v>
      </c>
      <c r="DI158" s="104">
        <v>787358739.36999989</v>
      </c>
      <c r="DJ158" s="268">
        <v>785499073.67000008</v>
      </c>
      <c r="DK158" s="262">
        <f>SUM(DJ158)</f>
        <v>785499073.67000008</v>
      </c>
    </row>
    <row r="159" spans="1:115" ht="14.45" customHeight="1">
      <c r="A159" s="12"/>
      <c r="B159" s="265" t="s">
        <v>134</v>
      </c>
      <c r="C159" s="140"/>
      <c r="D159" s="91">
        <f>+X159+AO159</f>
        <v>5611111.2506872667</v>
      </c>
      <c r="E159" s="104">
        <f>+Y159+AP159</f>
        <v>5598664.4152484667</v>
      </c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>
        <f>+E159</f>
        <v>5598664.4152484667</v>
      </c>
      <c r="Q159" s="104">
        <f>SUM(BS159)</f>
        <v>5208034.6612435998</v>
      </c>
      <c r="R159" s="266"/>
      <c r="S159" s="266"/>
      <c r="T159" s="266"/>
      <c r="U159" s="102">
        <f>(+'[24]PF resc'!D207)*1000</f>
        <v>5115030.2705116477</v>
      </c>
      <c r="V159" s="267">
        <f t="shared" si="234"/>
        <v>109.45515704032074</v>
      </c>
      <c r="W159" s="3"/>
      <c r="X159" s="91">
        <v>5611111.2506872667</v>
      </c>
      <c r="Y159" s="104">
        <v>5598664.4152484667</v>
      </c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>
        <f>+Y159</f>
        <v>5598664.4152484667</v>
      </c>
      <c r="AK159" s="104"/>
      <c r="AL159" s="102">
        <f>(+'[24]PF resc'!R207)*1000</f>
        <v>5115030.2705116477</v>
      </c>
      <c r="AM159" s="267">
        <f t="shared" si="235"/>
        <v>109.45515704032074</v>
      </c>
      <c r="AN159" s="3"/>
      <c r="AO159" s="91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>
        <f>+AP159</f>
        <v>0</v>
      </c>
      <c r="BB159" s="258"/>
      <c r="BC159" s="38"/>
      <c r="BD159" s="259"/>
      <c r="BF159" s="91">
        <f>+BU159+CJ159</f>
        <v>5144411.2107425993</v>
      </c>
      <c r="BG159" s="104">
        <f t="shared" ref="BG159:BR159" si="236">+BV159+CK159</f>
        <v>5208034.6612435998</v>
      </c>
      <c r="BH159" s="104">
        <f t="shared" si="236"/>
        <v>5191889.5372839998</v>
      </c>
      <c r="BI159" s="104">
        <f t="shared" si="236"/>
        <v>5228573.9808021989</v>
      </c>
      <c r="BJ159" s="104">
        <f t="shared" si="236"/>
        <v>5014800.9040154004</v>
      </c>
      <c r="BK159" s="104">
        <f t="shared" si="236"/>
        <v>5148137.8519510003</v>
      </c>
      <c r="BL159" s="104">
        <f t="shared" si="236"/>
        <v>5145419.8980837995</v>
      </c>
      <c r="BM159" s="104">
        <f t="shared" si="236"/>
        <v>4897936.2147301994</v>
      </c>
      <c r="BN159" s="104">
        <f t="shared" si="236"/>
        <v>5155258.1226882003</v>
      </c>
      <c r="BO159" s="104">
        <f t="shared" si="236"/>
        <v>4883763.1972850002</v>
      </c>
      <c r="BP159" s="104">
        <f t="shared" si="236"/>
        <v>4894152.1097921999</v>
      </c>
      <c r="BQ159" s="104">
        <f t="shared" si="236"/>
        <v>4540765.0853885999</v>
      </c>
      <c r="BR159" s="104">
        <f t="shared" si="236"/>
        <v>5500223.5515000001</v>
      </c>
      <c r="BS159" s="262">
        <f>SUM(BG159)</f>
        <v>5208034.6612435998</v>
      </c>
      <c r="BU159" s="91">
        <v>5144411.2107425993</v>
      </c>
      <c r="BV159" s="268">
        <v>5208034.6612435998</v>
      </c>
      <c r="BW159" s="104">
        <v>5191889.5372839998</v>
      </c>
      <c r="BX159" s="104">
        <v>5228573.9808021989</v>
      </c>
      <c r="BY159" s="104">
        <v>5014800.9040154004</v>
      </c>
      <c r="BZ159" s="104">
        <v>5148137.8519510003</v>
      </c>
      <c r="CA159" s="104">
        <v>5145419.8980837995</v>
      </c>
      <c r="CB159" s="104">
        <v>4897936.2147301994</v>
      </c>
      <c r="CC159" s="104">
        <v>5155258.1226882003</v>
      </c>
      <c r="CD159" s="104">
        <v>4883763.1972850002</v>
      </c>
      <c r="CE159" s="104">
        <v>4894152.1097921999</v>
      </c>
      <c r="CF159" s="104">
        <v>4540765.0853885999</v>
      </c>
      <c r="CG159" s="104">
        <v>5500223.5515000001</v>
      </c>
      <c r="CH159" s="105">
        <f>+BV159</f>
        <v>5208034.6612435998</v>
      </c>
      <c r="CJ159" s="91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  <c r="CW159" s="105">
        <f>+CK159</f>
        <v>0</v>
      </c>
      <c r="CY159" s="91">
        <v>3758258.6176359998</v>
      </c>
      <c r="CZ159" s="104">
        <v>4069856.1261886</v>
      </c>
      <c r="DA159" s="104">
        <v>4369436.2109139999</v>
      </c>
      <c r="DB159" s="104">
        <v>4736883</v>
      </c>
      <c r="DC159" s="104">
        <v>5068570.0385371996</v>
      </c>
      <c r="DD159" s="104">
        <v>5146892.9009606</v>
      </c>
      <c r="DE159" s="104">
        <v>5389717.9288462009</v>
      </c>
      <c r="DF159" s="104">
        <v>5394370.0576171996</v>
      </c>
      <c r="DG159" s="104">
        <v>5629624.221101</v>
      </c>
      <c r="DH159" s="104">
        <v>5655907.2115476001</v>
      </c>
      <c r="DI159" s="104">
        <v>5737623.8966597999</v>
      </c>
      <c r="DJ159" s="268">
        <v>5314602.2916994002</v>
      </c>
      <c r="DK159" s="262">
        <f>SUM(DJ159)</f>
        <v>5314602.2916994002</v>
      </c>
    </row>
    <row r="160" spans="1:115" ht="14.45" customHeight="1" thickBot="1">
      <c r="A160" s="12"/>
      <c r="B160" s="269" t="s">
        <v>135</v>
      </c>
      <c r="C160" s="140"/>
      <c r="D160" s="142">
        <f>SUM(D158:D159)</f>
        <v>866100174.52068722</v>
      </c>
      <c r="E160" s="138">
        <f t="shared" ref="E160:Q160" si="237">SUM(E158:E159)</f>
        <v>876029693.2452482</v>
      </c>
      <c r="F160" s="138">
        <f t="shared" si="237"/>
        <v>0</v>
      </c>
      <c r="G160" s="138">
        <f t="shared" si="237"/>
        <v>0</v>
      </c>
      <c r="H160" s="138">
        <f t="shared" si="237"/>
        <v>0</v>
      </c>
      <c r="I160" s="138">
        <f t="shared" si="237"/>
        <v>0</v>
      </c>
      <c r="J160" s="138">
        <f t="shared" si="237"/>
        <v>0</v>
      </c>
      <c r="K160" s="138">
        <f t="shared" si="237"/>
        <v>0</v>
      </c>
      <c r="L160" s="138">
        <f t="shared" si="237"/>
        <v>0</v>
      </c>
      <c r="M160" s="138">
        <f t="shared" si="237"/>
        <v>0</v>
      </c>
      <c r="N160" s="138">
        <f t="shared" si="237"/>
        <v>0</v>
      </c>
      <c r="O160" s="138">
        <f t="shared" si="237"/>
        <v>0</v>
      </c>
      <c r="P160" s="138">
        <f t="shared" si="237"/>
        <v>876029693.2452482</v>
      </c>
      <c r="Q160" s="138">
        <f t="shared" si="237"/>
        <v>794735918.95124352</v>
      </c>
      <c r="R160" s="266">
        <f t="shared" ref="R160:R162" si="238">IF(ISERROR((($E160-$D160)/ABS($D160)+1)*100),0,(($E160-$D160)/ABS($D160)+1)*100)</f>
        <v>101.14646307859898</v>
      </c>
      <c r="S160" s="266">
        <f t="shared" ref="S160:S162" si="239">IF(ISERROR((($E160-$BG160)/ABS($BG160)+1)*100),0,(($E160-$BG160)/ABS($BG160)+1)*100)</f>
        <v>110.22902983940656</v>
      </c>
      <c r="T160" s="266"/>
      <c r="U160" s="120">
        <f>(+'[24]PF resc'!D208)*1000</f>
        <v>893187351.72346878</v>
      </c>
      <c r="V160" s="267">
        <f t="shared" si="234"/>
        <v>98.079052681935806</v>
      </c>
      <c r="W160" s="3"/>
      <c r="X160" s="142">
        <f t="shared" ref="X160" si="240">SUM(X158:X159)</f>
        <v>774010038.52068722</v>
      </c>
      <c r="Y160" s="138">
        <f t="shared" ref="Y160:AJ160" si="241">SUM(Y158:Y159)</f>
        <v>788033508.66524827</v>
      </c>
      <c r="Z160" s="138">
        <f t="shared" si="241"/>
        <v>0</v>
      </c>
      <c r="AA160" s="138">
        <f t="shared" si="241"/>
        <v>0</v>
      </c>
      <c r="AB160" s="138">
        <f t="shared" si="241"/>
        <v>0</v>
      </c>
      <c r="AC160" s="138">
        <f t="shared" si="241"/>
        <v>0</v>
      </c>
      <c r="AD160" s="138">
        <f t="shared" si="241"/>
        <v>0</v>
      </c>
      <c r="AE160" s="138">
        <f t="shared" si="241"/>
        <v>0</v>
      </c>
      <c r="AF160" s="138">
        <f t="shared" si="241"/>
        <v>0</v>
      </c>
      <c r="AG160" s="138">
        <f t="shared" si="241"/>
        <v>0</v>
      </c>
      <c r="AH160" s="138">
        <f t="shared" si="241"/>
        <v>0</v>
      </c>
      <c r="AI160" s="138">
        <f t="shared" si="241"/>
        <v>0</v>
      </c>
      <c r="AJ160" s="138">
        <f t="shared" si="241"/>
        <v>788033508.66524827</v>
      </c>
      <c r="AK160" s="270">
        <f>IF(ISERROR((($Y160-$X160)/ABS($X160)+1)*100),0,(($Y160-$X160)/ABS($X160)+1)*100)</f>
        <v>101.81179434976879</v>
      </c>
      <c r="AL160" s="120">
        <f>(+'[24]PF resc'!R208)*1000</f>
        <v>800760270.16898572</v>
      </c>
      <c r="AM160" s="267">
        <f t="shared" si="235"/>
        <v>98.410665216813058</v>
      </c>
      <c r="AN160" s="3"/>
      <c r="AO160" s="142">
        <f t="shared" ref="AO160:BC160" si="242">SUM(AO158:AO159)</f>
        <v>92090136</v>
      </c>
      <c r="AP160" s="138">
        <f t="shared" si="242"/>
        <v>87996184.579999924</v>
      </c>
      <c r="AQ160" s="138">
        <f t="shared" si="242"/>
        <v>0</v>
      </c>
      <c r="AR160" s="138">
        <f t="shared" si="242"/>
        <v>0</v>
      </c>
      <c r="AS160" s="138">
        <f t="shared" si="242"/>
        <v>0</v>
      </c>
      <c r="AT160" s="138">
        <f t="shared" si="242"/>
        <v>0</v>
      </c>
      <c r="AU160" s="138">
        <f t="shared" si="242"/>
        <v>0</v>
      </c>
      <c r="AV160" s="138">
        <f t="shared" si="242"/>
        <v>0</v>
      </c>
      <c r="AW160" s="138">
        <f t="shared" si="242"/>
        <v>0</v>
      </c>
      <c r="AX160" s="138">
        <f t="shared" si="242"/>
        <v>0</v>
      </c>
      <c r="AY160" s="138">
        <f t="shared" si="242"/>
        <v>0</v>
      </c>
      <c r="AZ160" s="138">
        <f t="shared" si="242"/>
        <v>0</v>
      </c>
      <c r="BA160" s="138">
        <f t="shared" si="242"/>
        <v>87996184.579999924</v>
      </c>
      <c r="BB160" s="258"/>
      <c r="BC160" s="138">
        <f t="shared" si="242"/>
        <v>92427081.554483056</v>
      </c>
      <c r="BD160" s="259"/>
      <c r="BF160" s="142">
        <f>SUM(BF158:BF159)</f>
        <v>789171308.59074259</v>
      </c>
      <c r="BG160" s="138">
        <f>SUM(BG158:BG159)</f>
        <v>794735918.95124352</v>
      </c>
      <c r="BH160" s="138">
        <f t="shared" ref="BH160:BR160" si="243">SUM(BH158:BH159)</f>
        <v>799794664.14728391</v>
      </c>
      <c r="BI160" s="138">
        <f t="shared" si="243"/>
        <v>810983900.13080227</v>
      </c>
      <c r="BJ160" s="138">
        <f t="shared" si="243"/>
        <v>823370257.80401552</v>
      </c>
      <c r="BK160" s="138">
        <f t="shared" si="243"/>
        <v>832621793.231951</v>
      </c>
      <c r="BL160" s="138">
        <f t="shared" si="243"/>
        <v>836857549.76808381</v>
      </c>
      <c r="BM160" s="138">
        <f t="shared" si="243"/>
        <v>836843936.61473012</v>
      </c>
      <c r="BN160" s="138">
        <f t="shared" si="243"/>
        <v>852097525.52268803</v>
      </c>
      <c r="BO160" s="138">
        <f t="shared" si="243"/>
        <v>859990065.78728497</v>
      </c>
      <c r="BP160" s="138">
        <f t="shared" si="243"/>
        <v>861316396.89979219</v>
      </c>
      <c r="BQ160" s="138">
        <f t="shared" si="243"/>
        <v>869350246.78538835</v>
      </c>
      <c r="BR160" s="138">
        <f t="shared" si="243"/>
        <v>874209021.84149981</v>
      </c>
      <c r="BS160" s="271">
        <f>SUM(BS158:BS159)</f>
        <v>794735918.95124352</v>
      </c>
      <c r="BT160" s="185"/>
      <c r="BU160" s="142">
        <f>SUM(BU158:BU159)</f>
        <v>742571047.63074255</v>
      </c>
      <c r="BV160" s="138">
        <f>SUM(BV158:BV159)</f>
        <v>748740427.51124346</v>
      </c>
      <c r="BW160" s="138">
        <f t="shared" ref="BW160:CH160" si="244">SUM(BW158:BW159)</f>
        <v>753267606.67728388</v>
      </c>
      <c r="BX160" s="138">
        <f t="shared" si="244"/>
        <v>763885896.25080228</v>
      </c>
      <c r="BY160" s="138">
        <f t="shared" si="244"/>
        <v>777135617.46401548</v>
      </c>
      <c r="BZ160" s="138">
        <f t="shared" si="244"/>
        <v>768296268.80195105</v>
      </c>
      <c r="CA160" s="138">
        <f t="shared" si="244"/>
        <v>769164189.13808382</v>
      </c>
      <c r="CB160" s="138">
        <f t="shared" si="244"/>
        <v>769969066.32473016</v>
      </c>
      <c r="CC160" s="138">
        <f t="shared" si="244"/>
        <v>775808225.24268806</v>
      </c>
      <c r="CD160" s="138">
        <f t="shared" si="244"/>
        <v>775102435.757285</v>
      </c>
      <c r="CE160" s="138">
        <f t="shared" si="244"/>
        <v>770416632.7697922</v>
      </c>
      <c r="CF160" s="138">
        <f t="shared" si="244"/>
        <v>768946677.12538838</v>
      </c>
      <c r="CG160" s="138">
        <f t="shared" si="244"/>
        <v>771227315.45149982</v>
      </c>
      <c r="CH160" s="272">
        <f t="shared" si="244"/>
        <v>748740427.51124346</v>
      </c>
      <c r="CI160" s="185"/>
      <c r="CJ160" s="91">
        <f>SUM(CJ158:CJ159)</f>
        <v>46600260.960000001</v>
      </c>
      <c r="CK160" s="104">
        <f>SUM(CK158:CK159)</f>
        <v>45995491.439999998</v>
      </c>
      <c r="CL160" s="104">
        <f t="shared" ref="CL160:DK160" si="245">SUM(CL158:CL159)</f>
        <v>46527057.469999999</v>
      </c>
      <c r="CM160" s="104">
        <f t="shared" si="245"/>
        <v>47098003.880000003</v>
      </c>
      <c r="CN160" s="104">
        <f t="shared" si="245"/>
        <v>46234640.340000004</v>
      </c>
      <c r="CO160" s="104">
        <f t="shared" si="245"/>
        <v>64325524.43</v>
      </c>
      <c r="CP160" s="104">
        <f t="shared" si="245"/>
        <v>67693360.63000001</v>
      </c>
      <c r="CQ160" s="104">
        <f t="shared" si="245"/>
        <v>66874870.290000007</v>
      </c>
      <c r="CR160" s="104">
        <f t="shared" si="245"/>
        <v>76289300.280000001</v>
      </c>
      <c r="CS160" s="104">
        <f t="shared" si="245"/>
        <v>84887630.030000001</v>
      </c>
      <c r="CT160" s="104">
        <f t="shared" si="245"/>
        <v>90899764.129999995</v>
      </c>
      <c r="CU160" s="104">
        <f t="shared" si="245"/>
        <v>100403569.65999998</v>
      </c>
      <c r="CV160" s="104">
        <f t="shared" si="245"/>
        <v>102981706.39000002</v>
      </c>
      <c r="CW160" s="105">
        <f t="shared" si="245"/>
        <v>45995491.439999998</v>
      </c>
      <c r="CY160" s="273">
        <f t="shared" si="245"/>
        <v>569193855.59763587</v>
      </c>
      <c r="CZ160" s="274">
        <f t="shared" si="245"/>
        <v>600240496.19618869</v>
      </c>
      <c r="DA160" s="274">
        <f t="shared" si="245"/>
        <v>647365598.42091405</v>
      </c>
      <c r="DB160" s="274">
        <f t="shared" si="245"/>
        <v>690732095.92999995</v>
      </c>
      <c r="DC160" s="274">
        <f t="shared" si="245"/>
        <v>721335506.50853717</v>
      </c>
      <c r="DD160" s="274">
        <f t="shared" si="245"/>
        <v>731803130.27096057</v>
      </c>
      <c r="DE160" s="274">
        <f t="shared" si="245"/>
        <v>751120684.3488462</v>
      </c>
      <c r="DF160" s="274">
        <f t="shared" si="245"/>
        <v>760592611.80761719</v>
      </c>
      <c r="DG160" s="274">
        <f t="shared" si="245"/>
        <v>786958230.47110105</v>
      </c>
      <c r="DH160" s="274">
        <f t="shared" si="245"/>
        <v>799325080.94154763</v>
      </c>
      <c r="DI160" s="274">
        <f t="shared" si="245"/>
        <v>793096363.26665974</v>
      </c>
      <c r="DJ160" s="274">
        <f t="shared" si="245"/>
        <v>790813675.96169949</v>
      </c>
      <c r="DK160" s="275">
        <f t="shared" si="245"/>
        <v>790813675.96169949</v>
      </c>
    </row>
    <row r="161" spans="1:115" ht="14.45" customHeight="1" thickTop="1">
      <c r="A161" s="12"/>
      <c r="B161" s="269"/>
      <c r="C161" s="140"/>
      <c r="D161" s="91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266"/>
      <c r="S161" s="266"/>
      <c r="T161" s="266"/>
      <c r="U161" s="102"/>
      <c r="V161" s="267"/>
      <c r="W161" s="3"/>
      <c r="X161" s="91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266"/>
      <c r="AL161" s="102"/>
      <c r="AM161" s="267"/>
      <c r="AN161" s="3"/>
      <c r="AO161" s="91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258"/>
      <c r="BC161" s="38"/>
      <c r="BD161" s="259"/>
      <c r="BF161" s="91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262"/>
      <c r="BT161" s="185"/>
      <c r="BU161" s="91"/>
      <c r="BV161" s="104"/>
      <c r="BW161" s="104"/>
      <c r="BX161" s="104"/>
      <c r="BY161" s="104"/>
      <c r="BZ161" s="104"/>
      <c r="CA161" s="104"/>
      <c r="CB161" s="104"/>
      <c r="CC161" s="104"/>
      <c r="CD161" s="104"/>
      <c r="CE161" s="104"/>
      <c r="CF161" s="104"/>
      <c r="CG161" s="104"/>
      <c r="CH161" s="105"/>
      <c r="CI161" s="185"/>
      <c r="CJ161" s="91"/>
      <c r="CK161" s="104"/>
      <c r="CL161" s="104"/>
      <c r="CM161" s="104"/>
      <c r="CN161" s="104"/>
      <c r="CO161" s="104"/>
      <c r="CP161" s="104"/>
      <c r="CQ161" s="104"/>
      <c r="CR161" s="104"/>
      <c r="CS161" s="104"/>
      <c r="CT161" s="104"/>
      <c r="CU161" s="104"/>
      <c r="CV161" s="104"/>
      <c r="CW161" s="105"/>
      <c r="CY161" s="91"/>
      <c r="CZ161" s="104"/>
      <c r="DA161" s="104"/>
      <c r="DB161" s="104"/>
      <c r="DC161" s="104"/>
      <c r="DD161" s="104"/>
      <c r="DE161" s="104"/>
      <c r="DF161" s="104"/>
      <c r="DG161" s="104"/>
      <c r="DH161" s="104"/>
      <c r="DI161" s="104"/>
      <c r="DJ161" s="104"/>
      <c r="DK161" s="262"/>
    </row>
    <row r="162" spans="1:115" ht="14.45" customHeight="1">
      <c r="A162" s="12"/>
      <c r="B162" s="276" t="s">
        <v>136</v>
      </c>
      <c r="C162" s="263"/>
      <c r="D162" s="277">
        <f>D150/D160/D194*D195</f>
        <v>2.9553912976610551E-2</v>
      </c>
      <c r="E162" s="278">
        <f>E150/E160/E194*E195</f>
        <v>1.0601221174883492E-2</v>
      </c>
      <c r="F162" s="278" t="e">
        <f t="shared" ref="F162:O162" si="246">F150/F158/F194*F195</f>
        <v>#DIV/0!</v>
      </c>
      <c r="G162" s="278" t="e">
        <f>G150/G158/G194*G195</f>
        <v>#DIV/0!</v>
      </c>
      <c r="H162" s="278" t="e">
        <f t="shared" si="246"/>
        <v>#DIV/0!</v>
      </c>
      <c r="I162" s="278" t="e">
        <f t="shared" si="246"/>
        <v>#DIV/0!</v>
      </c>
      <c r="J162" s="278" t="e">
        <f t="shared" si="246"/>
        <v>#DIV/0!</v>
      </c>
      <c r="K162" s="278" t="e">
        <f t="shared" si="246"/>
        <v>#DIV/0!</v>
      </c>
      <c r="L162" s="278" t="e">
        <f t="shared" si="246"/>
        <v>#DIV/0!</v>
      </c>
      <c r="M162" s="278" t="e">
        <f t="shared" si="246"/>
        <v>#DIV/0!</v>
      </c>
      <c r="N162" s="278" t="e">
        <f t="shared" si="246"/>
        <v>#DIV/0!</v>
      </c>
      <c r="O162" s="278" t="e">
        <f t="shared" si="246"/>
        <v>#DIV/0!</v>
      </c>
      <c r="P162" s="278">
        <f>P150/P160/P194*P195</f>
        <v>2.0062679121149896E-2</v>
      </c>
      <c r="Q162" s="278">
        <f>SUM(BS162)</f>
        <v>5.0890906651934395E-2</v>
      </c>
      <c r="R162" s="266">
        <f t="shared" si="238"/>
        <v>35.870787002971383</v>
      </c>
      <c r="S162" s="266">
        <f t="shared" si="239"/>
        <v>27.383275850237343</v>
      </c>
      <c r="T162" s="266"/>
      <c r="U162" s="88"/>
      <c r="V162" s="267"/>
      <c r="W162" s="3"/>
      <c r="X162" s="277">
        <f t="shared" ref="X162:AJ162" si="247">X150/X160/X194*X195</f>
        <v>8.3918025689540474E-2</v>
      </c>
      <c r="Y162" s="278">
        <f t="shared" si="247"/>
        <v>6.4314124785720142E-2</v>
      </c>
      <c r="Z162" s="278" t="e">
        <f t="shared" si="247"/>
        <v>#DIV/0!</v>
      </c>
      <c r="AA162" s="278" t="e">
        <f t="shared" si="247"/>
        <v>#DIV/0!</v>
      </c>
      <c r="AB162" s="278" t="e">
        <f t="shared" si="247"/>
        <v>#DIV/0!</v>
      </c>
      <c r="AC162" s="278" t="e">
        <f t="shared" si="247"/>
        <v>#DIV/0!</v>
      </c>
      <c r="AD162" s="278" t="e">
        <f t="shared" si="247"/>
        <v>#DIV/0!</v>
      </c>
      <c r="AE162" s="278" t="e">
        <f t="shared" si="247"/>
        <v>#DIV/0!</v>
      </c>
      <c r="AF162" s="278" t="e">
        <f t="shared" si="247"/>
        <v>#DIV/0!</v>
      </c>
      <c r="AG162" s="278" t="e">
        <f t="shared" si="247"/>
        <v>#DIV/0!</v>
      </c>
      <c r="AH162" s="278" t="e">
        <f t="shared" si="247"/>
        <v>#DIV/0!</v>
      </c>
      <c r="AI162" s="278" t="e">
        <f t="shared" si="247"/>
        <v>#DIV/0!</v>
      </c>
      <c r="AJ162" s="278">
        <f t="shared" si="247"/>
        <v>7.3220945555281094E-2</v>
      </c>
      <c r="AK162" s="266">
        <f>IF(ISERROR((($Y162-$X162)/ABS($X162)+1)*100),0,(($Y162-$X162)/ABS($X162)+1)*100)</f>
        <v>76.639225312156313</v>
      </c>
      <c r="AL162" s="88"/>
      <c r="AM162" s="267"/>
      <c r="AN162" s="3"/>
      <c r="AO162" s="277">
        <f>AO150/AO160/AO194*AO195</f>
        <v>-0.40461960362367427</v>
      </c>
      <c r="AP162" s="278">
        <f>AP150/AP160/AP194*AP195</f>
        <v>-0.4738190574417328</v>
      </c>
      <c r="AQ162" s="278" t="e">
        <f t="shared" ref="AQ162:BA162" si="248">AQ150/AQ160/AQ194*AQ195</f>
        <v>#DIV/0!</v>
      </c>
      <c r="AR162" s="278" t="e">
        <f t="shared" si="248"/>
        <v>#DIV/0!</v>
      </c>
      <c r="AS162" s="278" t="e">
        <f t="shared" si="248"/>
        <v>#DIV/0!</v>
      </c>
      <c r="AT162" s="278" t="e">
        <f t="shared" si="248"/>
        <v>#DIV/0!</v>
      </c>
      <c r="AU162" s="278" t="e">
        <f t="shared" si="248"/>
        <v>#DIV/0!</v>
      </c>
      <c r="AV162" s="278" t="e">
        <f t="shared" si="248"/>
        <v>#DIV/0!</v>
      </c>
      <c r="AW162" s="278" t="e">
        <f t="shared" si="248"/>
        <v>#DIV/0!</v>
      </c>
      <c r="AX162" s="278" t="e">
        <f t="shared" si="248"/>
        <v>#DIV/0!</v>
      </c>
      <c r="AY162" s="278" t="e">
        <f t="shared" si="248"/>
        <v>#DIV/0!</v>
      </c>
      <c r="AZ162" s="278" t="e">
        <f t="shared" si="248"/>
        <v>#DIV/0!</v>
      </c>
      <c r="BA162" s="278">
        <f t="shared" si="248"/>
        <v>-0.89726326134462775</v>
      </c>
      <c r="BB162" s="258"/>
      <c r="BC162" s="38"/>
      <c r="BD162" s="259"/>
      <c r="BF162" s="277">
        <f>BF150/BF160/BF194*BF195</f>
        <v>6.4826142246588253E-2</v>
      </c>
      <c r="BG162" s="278">
        <f t="shared" ref="BG162:BR162" si="249">BG150/BG160/BG194*BG195</f>
        <v>3.8714218243510866E-2</v>
      </c>
      <c r="BH162" s="278">
        <f t="shared" si="249"/>
        <v>5.9817523294171934E-2</v>
      </c>
      <c r="BI162" s="278">
        <f t="shared" si="249"/>
        <v>3.3548970247464137E-2</v>
      </c>
      <c r="BJ162" s="278">
        <f t="shared" si="249"/>
        <v>5.8815707157222168E-2</v>
      </c>
      <c r="BK162" s="278">
        <f t="shared" si="249"/>
        <v>2.001345838352258E-2</v>
      </c>
      <c r="BL162" s="278">
        <f t="shared" si="249"/>
        <v>3.4098228532211998E-2</v>
      </c>
      <c r="BM162" s="278">
        <f t="shared" si="249"/>
        <v>4.9796007290364507E-2</v>
      </c>
      <c r="BN162" s="278">
        <f t="shared" si="249"/>
        <v>6.7979697468657256E-3</v>
      </c>
      <c r="BO162" s="278">
        <f t="shared" si="249"/>
        <v>4.8196734949850287E-2</v>
      </c>
      <c r="BP162" s="278">
        <f t="shared" si="249"/>
        <v>4.1189218926783705E-2</v>
      </c>
      <c r="BQ162" s="278">
        <f t="shared" si="249"/>
        <v>3.7955815495214859E-2</v>
      </c>
      <c r="BR162" s="278">
        <f t="shared" si="249"/>
        <v>2.6962556270265621E-2</v>
      </c>
      <c r="BS162" s="279">
        <f>BS150/BS160/BS194*BS195</f>
        <v>5.0890906651934395E-2</v>
      </c>
      <c r="BU162" s="277">
        <f t="shared" ref="BU162:CH162" si="250">BU150/BU160/BU194*BU195</f>
        <v>6.6576298774560311E-2</v>
      </c>
      <c r="BV162" s="278">
        <f t="shared" si="250"/>
        <v>5.8176266007189677E-2</v>
      </c>
      <c r="BW162" s="278">
        <f t="shared" si="250"/>
        <v>7.4956682283427972E-2</v>
      </c>
      <c r="BX162" s="278">
        <f t="shared" si="250"/>
        <v>5.4362648185170989E-2</v>
      </c>
      <c r="BY162" s="278">
        <f t="shared" si="250"/>
        <v>7.9359036333849331E-2</v>
      </c>
      <c r="BZ162" s="278">
        <f t="shared" si="250"/>
        <v>4.8678447763730988E-2</v>
      </c>
      <c r="CA162" s="278">
        <f t="shared" si="250"/>
        <v>5.802897034829619E-2</v>
      </c>
      <c r="CB162" s="278">
        <f t="shared" si="250"/>
        <v>7.9235183157678288E-2</v>
      </c>
      <c r="CC162" s="278">
        <f t="shared" si="250"/>
        <v>4.8797010108130492E-2</v>
      </c>
      <c r="CD162" s="278">
        <f t="shared" si="250"/>
        <v>8.8585753577967594E-2</v>
      </c>
      <c r="CE162" s="278">
        <f t="shared" si="250"/>
        <v>8.1719248605900394E-2</v>
      </c>
      <c r="CF162" s="278">
        <f t="shared" si="250"/>
        <v>8.1726690536086735E-2</v>
      </c>
      <c r="CG162" s="278">
        <f t="shared" si="250"/>
        <v>3.0308615496101157E-2</v>
      </c>
      <c r="CH162" s="280">
        <f t="shared" si="250"/>
        <v>7.2552853154830829E-2</v>
      </c>
      <c r="CJ162" s="277">
        <f t="shared" ref="CJ162:CW162" si="251">CJ150/CJ160/CJ194*CJ195</f>
        <v>3.6937552985425989E-2</v>
      </c>
      <c r="CK162" s="278">
        <f t="shared" si="251"/>
        <v>-0.27809991954714508</v>
      </c>
      <c r="CL162" s="278">
        <f t="shared" si="251"/>
        <v>-0.18528368617511001</v>
      </c>
      <c r="CM162" s="278">
        <f t="shared" si="251"/>
        <v>-0.30402956272463655</v>
      </c>
      <c r="CN162" s="278">
        <f t="shared" si="251"/>
        <v>-0.28648713680219151</v>
      </c>
      <c r="CO162" s="278">
        <f t="shared" si="251"/>
        <v>-0.32235770117744766</v>
      </c>
      <c r="CP162" s="278">
        <f t="shared" si="251"/>
        <v>-0.23781425229509875</v>
      </c>
      <c r="CQ162" s="278">
        <f t="shared" si="251"/>
        <v>-0.28915425396067851</v>
      </c>
      <c r="CR162" s="278">
        <f t="shared" si="251"/>
        <v>-0.4177716147911138</v>
      </c>
      <c r="CS162" s="278">
        <f t="shared" si="251"/>
        <v>-0.3363431790357877</v>
      </c>
      <c r="CT162" s="278">
        <f t="shared" si="251"/>
        <v>-0.30232580074654908</v>
      </c>
      <c r="CU162" s="278">
        <f t="shared" si="251"/>
        <v>-0.29727065246503598</v>
      </c>
      <c r="CV162" s="278">
        <f t="shared" si="251"/>
        <v>1.2052928739194016E-3</v>
      </c>
      <c r="CW162" s="280">
        <f t="shared" si="251"/>
        <v>-0.40413530934232578</v>
      </c>
      <c r="CY162" s="277">
        <f t="shared" ref="CY162:DK162" si="252">CY150/CY160/CY194*CY195</f>
        <v>0.10441246397871494</v>
      </c>
      <c r="CZ162" s="278">
        <f t="shared" si="252"/>
        <v>9.0325619312523295E-2</v>
      </c>
      <c r="DA162" s="278">
        <f t="shared" si="252"/>
        <v>0.10422319941628815</v>
      </c>
      <c r="DB162" s="278">
        <f t="shared" si="252"/>
        <v>9.4491022714277811E-2</v>
      </c>
      <c r="DC162" s="278">
        <f t="shared" si="252"/>
        <v>9.4114503673555089E-2</v>
      </c>
      <c r="DD162" s="278">
        <f t="shared" si="252"/>
        <v>8.327124267488574E-2</v>
      </c>
      <c r="DE162" s="278">
        <f t="shared" si="252"/>
        <v>6.9695280696482301E-2</v>
      </c>
      <c r="DF162" s="278">
        <f t="shared" si="252"/>
        <v>7.0718988115160197E-2</v>
      </c>
      <c r="DG162" s="278">
        <f t="shared" si="252"/>
        <v>5.6514422025867324E-2</v>
      </c>
      <c r="DH162" s="278">
        <f t="shared" si="252"/>
        <v>8.5893379206138723E-2</v>
      </c>
      <c r="DI162" s="278">
        <f t="shared" si="252"/>
        <v>5.4307137565333376E-2</v>
      </c>
      <c r="DJ162" s="278">
        <f t="shared" si="252"/>
        <v>7.1443018064231784E-2</v>
      </c>
      <c r="DK162" s="279">
        <f t="shared" si="252"/>
        <v>7.3028579718008579E-2</v>
      </c>
    </row>
    <row r="163" spans="1:115" ht="14.45" customHeight="1">
      <c r="A163" s="12"/>
      <c r="B163" s="263"/>
      <c r="C163" s="263"/>
      <c r="D163" s="277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66"/>
      <c r="S163" s="266"/>
      <c r="T163" s="266"/>
      <c r="U163" s="88"/>
      <c r="V163" s="267"/>
      <c r="W163" s="3"/>
      <c r="X163" s="277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81"/>
      <c r="AM163" s="280"/>
      <c r="AN163" s="3"/>
      <c r="AO163" s="277"/>
      <c r="AP163" s="278"/>
      <c r="AQ163" s="278"/>
      <c r="AR163" s="278"/>
      <c r="AS163" s="278"/>
      <c r="AT163" s="278"/>
      <c r="AU163" s="278"/>
      <c r="AV163" s="278"/>
      <c r="AW163" s="278"/>
      <c r="AX163" s="278"/>
      <c r="AY163" s="278"/>
      <c r="AZ163" s="278"/>
      <c r="BA163" s="278"/>
      <c r="BB163" s="258"/>
      <c r="BC163" s="38"/>
      <c r="BD163" s="259"/>
      <c r="BF163" s="277"/>
      <c r="BG163" s="278"/>
      <c r="BH163" s="278"/>
      <c r="BI163" s="278"/>
      <c r="BJ163" s="278"/>
      <c r="BK163" s="278"/>
      <c r="BL163" s="278"/>
      <c r="BM163" s="278"/>
      <c r="BN163" s="278"/>
      <c r="BO163" s="278"/>
      <c r="BP163" s="278"/>
      <c r="BQ163" s="278"/>
      <c r="BR163" s="278"/>
      <c r="BS163" s="279"/>
      <c r="BU163" s="277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80"/>
      <c r="CJ163" s="277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80"/>
      <c r="CY163" s="277"/>
      <c r="CZ163" s="278"/>
      <c r="DA163" s="278"/>
      <c r="DB163" s="278"/>
      <c r="DC163" s="278"/>
      <c r="DD163" s="278"/>
      <c r="DE163" s="278"/>
      <c r="DF163" s="278"/>
      <c r="DG163" s="278"/>
      <c r="DH163" s="278"/>
      <c r="DI163" s="278"/>
      <c r="DJ163" s="278"/>
      <c r="DK163" s="279"/>
    </row>
    <row r="164" spans="1:115" ht="14.45" customHeight="1">
      <c r="A164" s="12"/>
      <c r="B164" s="276" t="s">
        <v>137</v>
      </c>
      <c r="C164" s="276"/>
      <c r="D164" s="277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78"/>
      <c r="R164" s="266"/>
      <c r="S164" s="266"/>
      <c r="T164" s="266"/>
      <c r="U164" s="88"/>
      <c r="V164" s="267"/>
      <c r="W164" s="3"/>
      <c r="X164" s="277"/>
      <c r="Y164" s="282"/>
      <c r="Z164" s="282"/>
      <c r="AA164" s="282"/>
      <c r="AB164" s="282"/>
      <c r="AC164" s="282"/>
      <c r="AD164" s="282"/>
      <c r="AE164" s="282"/>
      <c r="AF164" s="282"/>
      <c r="AG164" s="282"/>
      <c r="AH164" s="282"/>
      <c r="AI164" s="282"/>
      <c r="AJ164" s="282"/>
      <c r="AK164" s="282"/>
      <c r="AL164" s="283"/>
      <c r="AM164" s="284"/>
      <c r="AN164" s="3"/>
      <c r="AO164" s="277"/>
      <c r="AP164" s="282"/>
      <c r="AQ164" s="282"/>
      <c r="AR164" s="282"/>
      <c r="AS164" s="282"/>
      <c r="AT164" s="282"/>
      <c r="AU164" s="282"/>
      <c r="AV164" s="282"/>
      <c r="AW164" s="282"/>
      <c r="AX164" s="282"/>
      <c r="AY164" s="282"/>
      <c r="AZ164" s="282"/>
      <c r="BA164" s="282"/>
      <c r="BB164" s="258"/>
      <c r="BC164" s="38"/>
      <c r="BD164" s="259"/>
      <c r="BF164" s="277"/>
      <c r="BG164" s="282"/>
      <c r="BH164" s="282"/>
      <c r="BI164" s="282"/>
      <c r="BJ164" s="282"/>
      <c r="BK164" s="282"/>
      <c r="BL164" s="282"/>
      <c r="BM164" s="282"/>
      <c r="BN164" s="282"/>
      <c r="BO164" s="282"/>
      <c r="BP164" s="282"/>
      <c r="BQ164" s="282"/>
      <c r="BR164" s="282"/>
      <c r="BS164" s="285"/>
      <c r="BU164" s="277"/>
      <c r="BV164" s="282"/>
      <c r="BW164" s="282"/>
      <c r="BX164" s="282"/>
      <c r="BY164" s="282"/>
      <c r="BZ164" s="282"/>
      <c r="CA164" s="282"/>
      <c r="CB164" s="282"/>
      <c r="CC164" s="282"/>
      <c r="CD164" s="282"/>
      <c r="CE164" s="282"/>
      <c r="CF164" s="282"/>
      <c r="CG164" s="282"/>
      <c r="CH164" s="284"/>
      <c r="CJ164" s="286"/>
      <c r="CK164" s="282"/>
      <c r="CL164" s="282"/>
      <c r="CM164" s="282"/>
      <c r="CN164" s="282"/>
      <c r="CO164" s="282"/>
      <c r="CP164" s="282"/>
      <c r="CQ164" s="282"/>
      <c r="CR164" s="282"/>
      <c r="CS164" s="282"/>
      <c r="CT164" s="282"/>
      <c r="CU164" s="282"/>
      <c r="CV164" s="282"/>
      <c r="CW164" s="284"/>
      <c r="CY164" s="286"/>
      <c r="CZ164" s="282"/>
      <c r="DA164" s="282"/>
      <c r="DB164" s="282"/>
      <c r="DC164" s="282"/>
      <c r="DD164" s="282"/>
      <c r="DE164" s="282"/>
      <c r="DF164" s="282"/>
      <c r="DG164" s="282"/>
      <c r="DH164" s="282"/>
      <c r="DI164" s="282"/>
      <c r="DJ164" s="282"/>
      <c r="DK164" s="285"/>
    </row>
    <row r="165" spans="1:115" ht="14.45" customHeight="1">
      <c r="A165" s="12"/>
      <c r="B165" s="287" t="s">
        <v>138</v>
      </c>
      <c r="C165" s="287"/>
      <c r="D165" s="277">
        <f>D62/D160/D194*D195</f>
        <v>8.7766248278433212E-2</v>
      </c>
      <c r="E165" s="278">
        <f>E62/E160/E194*E195</f>
        <v>0.11122617094447655</v>
      </c>
      <c r="F165" s="278" t="e">
        <f t="shared" ref="F165:O165" si="253">F62/F158/F194*F195</f>
        <v>#DIV/0!</v>
      </c>
      <c r="G165" s="278" t="e">
        <f t="shared" si="253"/>
        <v>#DIV/0!</v>
      </c>
      <c r="H165" s="278" t="e">
        <f t="shared" si="253"/>
        <v>#DIV/0!</v>
      </c>
      <c r="I165" s="278" t="e">
        <f t="shared" si="253"/>
        <v>#DIV/0!</v>
      </c>
      <c r="J165" s="278" t="e">
        <f t="shared" si="253"/>
        <v>#DIV/0!</v>
      </c>
      <c r="K165" s="278" t="e">
        <f t="shared" si="253"/>
        <v>#DIV/0!</v>
      </c>
      <c r="L165" s="278" t="e">
        <f t="shared" si="253"/>
        <v>#DIV/0!</v>
      </c>
      <c r="M165" s="278" t="e">
        <f t="shared" si="253"/>
        <v>#DIV/0!</v>
      </c>
      <c r="N165" s="278" t="e">
        <f t="shared" si="253"/>
        <v>#DIV/0!</v>
      </c>
      <c r="O165" s="278" t="e">
        <f t="shared" si="253"/>
        <v>#DIV/0!</v>
      </c>
      <c r="P165" s="278">
        <f>P62/P160/P194*P195</f>
        <v>9.8798359749996054E-2</v>
      </c>
      <c r="Q165" s="278">
        <f>SUM(BS165)</f>
        <v>9.0640439131387682E-2</v>
      </c>
      <c r="R165" s="266">
        <f t="shared" ref="R165:R166" si="254">IF(ISERROR((($E165-$D165)/ABS($D165)+1)*100),0,(($E165-$D165)/ABS($D165)+1)*100)</f>
        <v>126.73000512864367</v>
      </c>
      <c r="S165" s="266">
        <f t="shared" ref="S165:S166" si="255">IF(ISERROR((($E165-$BG165)/ABS($BG165)+1)*100),0,(($E165-$BG165)/ABS($BG165)+1)*100)</f>
        <v>117.39381002830092</v>
      </c>
      <c r="T165" s="266"/>
      <c r="U165" s="88"/>
      <c r="V165" s="267"/>
      <c r="W165" s="3"/>
      <c r="X165" s="277">
        <f t="shared" ref="X165:AJ165" si="256">X62/X160/X194*X195</f>
        <v>4.4200734408811768E-2</v>
      </c>
      <c r="Y165" s="278">
        <f t="shared" si="256"/>
        <v>5.7400849246319718E-2</v>
      </c>
      <c r="Z165" s="278" t="e">
        <f t="shared" si="256"/>
        <v>#DIV/0!</v>
      </c>
      <c r="AA165" s="278" t="e">
        <f t="shared" si="256"/>
        <v>#DIV/0!</v>
      </c>
      <c r="AB165" s="278" t="e">
        <f t="shared" si="256"/>
        <v>#DIV/0!</v>
      </c>
      <c r="AC165" s="278" t="e">
        <f t="shared" si="256"/>
        <v>#DIV/0!</v>
      </c>
      <c r="AD165" s="278" t="e">
        <f t="shared" si="256"/>
        <v>#DIV/0!</v>
      </c>
      <c r="AE165" s="278" t="e">
        <f t="shared" si="256"/>
        <v>#DIV/0!</v>
      </c>
      <c r="AF165" s="278" t="e">
        <f t="shared" si="256"/>
        <v>#DIV/0!</v>
      </c>
      <c r="AG165" s="278" t="e">
        <f t="shared" si="256"/>
        <v>#DIV/0!</v>
      </c>
      <c r="AH165" s="278" t="e">
        <f t="shared" si="256"/>
        <v>#DIV/0!</v>
      </c>
      <c r="AI165" s="278" t="e">
        <f t="shared" si="256"/>
        <v>#DIV/0!</v>
      </c>
      <c r="AJ165" s="278">
        <f t="shared" si="256"/>
        <v>5.052214918751672E-2</v>
      </c>
      <c r="AK165" s="266">
        <f>IF(ISERROR((($Y165-$X165)/ABS($X165)+1)*100),0,(($Y165-$X165)/ABS($X165)+1)*100)</f>
        <v>129.86401699894924</v>
      </c>
      <c r="AL165" s="88"/>
      <c r="AM165" s="267"/>
      <c r="AN165" s="3"/>
      <c r="AO165" s="277">
        <f>AO62/AO160/AO194*AO195</f>
        <v>0.46591480385992007</v>
      </c>
      <c r="AP165" s="278">
        <f t="shared" ref="AP165:BA165" si="257">AP62/AP160/AP194*AP195</f>
        <v>0.55752977415836213</v>
      </c>
      <c r="AQ165" s="278" t="e">
        <f t="shared" si="257"/>
        <v>#DIV/0!</v>
      </c>
      <c r="AR165" s="278" t="e">
        <f t="shared" si="257"/>
        <v>#DIV/0!</v>
      </c>
      <c r="AS165" s="278" t="e">
        <f t="shared" si="257"/>
        <v>#DIV/0!</v>
      </c>
      <c r="AT165" s="278" t="e">
        <f t="shared" si="257"/>
        <v>#DIV/0!</v>
      </c>
      <c r="AU165" s="278" t="e">
        <f t="shared" si="257"/>
        <v>#DIV/0!</v>
      </c>
      <c r="AV165" s="278" t="e">
        <f t="shared" si="257"/>
        <v>#DIV/0!</v>
      </c>
      <c r="AW165" s="278" t="e">
        <f t="shared" si="257"/>
        <v>#DIV/0!</v>
      </c>
      <c r="AX165" s="278" t="e">
        <f t="shared" si="257"/>
        <v>#DIV/0!</v>
      </c>
      <c r="AY165" s="278" t="e">
        <f t="shared" si="257"/>
        <v>#DIV/0!</v>
      </c>
      <c r="AZ165" s="278" t="e">
        <f t="shared" si="257"/>
        <v>#DIV/0!</v>
      </c>
      <c r="BA165" s="278">
        <f t="shared" si="257"/>
        <v>1.0451208879851908</v>
      </c>
      <c r="BB165" s="258"/>
      <c r="BC165" s="38"/>
      <c r="BD165" s="259"/>
      <c r="BF165" s="277">
        <f t="shared" ref="BF165:BR165" si="258">BF62/BF160/BF194*BF195</f>
        <v>8.6701850343548825E-2</v>
      </c>
      <c r="BG165" s="278">
        <f t="shared" si="258"/>
        <v>9.4746197365655413E-2</v>
      </c>
      <c r="BH165" s="278">
        <f t="shared" si="258"/>
        <v>7.7902930639071777E-2</v>
      </c>
      <c r="BI165" s="278">
        <f t="shared" si="258"/>
        <v>9.3900005366211584E-2</v>
      </c>
      <c r="BJ165" s="278">
        <f t="shared" si="258"/>
        <v>7.0689496436552174E-2</v>
      </c>
      <c r="BK165" s="278">
        <f t="shared" si="258"/>
        <v>8.77354840808659E-2</v>
      </c>
      <c r="BL165" s="278">
        <f t="shared" si="258"/>
        <v>6.8628551732924051E-2</v>
      </c>
      <c r="BM165" s="278">
        <f t="shared" si="258"/>
        <v>7.1219619119741728E-2</v>
      </c>
      <c r="BN165" s="278">
        <f t="shared" si="258"/>
        <v>9.4864058959214681E-2</v>
      </c>
      <c r="BO165" s="278">
        <f t="shared" si="258"/>
        <v>6.8679781733985631E-2</v>
      </c>
      <c r="BP165" s="278">
        <f t="shared" si="258"/>
        <v>6.6706494559203078E-2</v>
      </c>
      <c r="BQ165" s="278">
        <f t="shared" si="258"/>
        <v>7.367833922026043E-2</v>
      </c>
      <c r="BR165" s="278">
        <f t="shared" si="258"/>
        <v>-5.6871713484950986E-3</v>
      </c>
      <c r="BS165" s="279">
        <f>BS62/BS160/BS194*BS195</f>
        <v>9.0640439131387682E-2</v>
      </c>
      <c r="BU165" s="277">
        <f t="shared" ref="BU165:CH165" si="259">BU62/BU160/BU194*BU195</f>
        <v>8.2829519292912074E-2</v>
      </c>
      <c r="BV165" s="278">
        <f t="shared" si="259"/>
        <v>7.3450161964497246E-2</v>
      </c>
      <c r="BW165" s="278">
        <f t="shared" si="259"/>
        <v>6.079189016239471E-2</v>
      </c>
      <c r="BX165" s="278">
        <f t="shared" si="259"/>
        <v>7.1942036130313136E-2</v>
      </c>
      <c r="BY165" s="278">
        <f t="shared" si="259"/>
        <v>4.8295354097378757E-2</v>
      </c>
      <c r="BZ165" s="278">
        <f t="shared" si="259"/>
        <v>6.172734086554605E-2</v>
      </c>
      <c r="CA165" s="278">
        <f t="shared" si="259"/>
        <v>4.6779217874050899E-2</v>
      </c>
      <c r="CB165" s="278">
        <f t="shared" si="259"/>
        <v>4.2923661932900439E-2</v>
      </c>
      <c r="CC165" s="278">
        <f t="shared" si="259"/>
        <v>5.9931567929584852E-2</v>
      </c>
      <c r="CD165" s="278">
        <f t="shared" si="259"/>
        <v>2.8984897522035768E-2</v>
      </c>
      <c r="CE165" s="278">
        <f t="shared" si="259"/>
        <v>3.0842701710174968E-2</v>
      </c>
      <c r="CF165" s="278">
        <f t="shared" si="259"/>
        <v>3.6072278059959204E-2</v>
      </c>
      <c r="CG165" s="278">
        <f t="shared" si="259"/>
        <v>-5.4576680730037365E-3</v>
      </c>
      <c r="CH165" s="280">
        <f t="shared" si="259"/>
        <v>5.40260343853207E-2</v>
      </c>
      <c r="CJ165" s="277">
        <f t="shared" ref="CJ165:CW165" si="260">CJ62/CJ160/CJ194*CJ195</f>
        <v>0.14840710341916985</v>
      </c>
      <c r="CK165" s="278">
        <f t="shared" si="260"/>
        <v>0.44141501535965122</v>
      </c>
      <c r="CL165" s="278">
        <f t="shared" si="260"/>
        <v>0.3549286702516713</v>
      </c>
      <c r="CM165" s="278">
        <f t="shared" si="260"/>
        <v>0.45003788081316981</v>
      </c>
      <c r="CN165" s="278">
        <f t="shared" si="260"/>
        <v>0.44710176007153257</v>
      </c>
      <c r="CO165" s="278">
        <f t="shared" si="260"/>
        <v>0.39837359500597175</v>
      </c>
      <c r="CP165" s="278">
        <f t="shared" si="260"/>
        <v>0.31689108448889813</v>
      </c>
      <c r="CQ165" s="278">
        <f t="shared" si="260"/>
        <v>0.39700734239214924</v>
      </c>
      <c r="CR165" s="278">
        <f t="shared" si="260"/>
        <v>0.48542160009521468</v>
      </c>
      <c r="CS165" s="278">
        <f t="shared" si="260"/>
        <v>0.40868589725298415</v>
      </c>
      <c r="CT165" s="278">
        <f t="shared" si="260"/>
        <v>0.37066836745813764</v>
      </c>
      <c r="CU165" s="278">
        <f t="shared" si="260"/>
        <v>0.36168658261087427</v>
      </c>
      <c r="CV165" s="278">
        <f t="shared" si="260"/>
        <v>-7.4059160936491937E-3</v>
      </c>
      <c r="CW165" s="280">
        <f t="shared" si="260"/>
        <v>0.5470819956305113</v>
      </c>
      <c r="CY165" s="277">
        <f t="shared" ref="CY165:DK165" si="261">CY62/CY160/CY194*CY195</f>
        <v>5.2138422418274592E-2</v>
      </c>
      <c r="CZ165" s="278">
        <f t="shared" si="261"/>
        <v>5.0678529897163906E-2</v>
      </c>
      <c r="DA165" s="278">
        <f t="shared" si="261"/>
        <v>4.9853141239021223E-2</v>
      </c>
      <c r="DB165" s="278">
        <f t="shared" si="261"/>
        <v>5.2534926597040052E-2</v>
      </c>
      <c r="DC165" s="278">
        <f t="shared" si="261"/>
        <v>5.5289256799751579E-2</v>
      </c>
      <c r="DD165" s="278">
        <f t="shared" si="261"/>
        <v>5.672710743086113E-2</v>
      </c>
      <c r="DE165" s="278">
        <f t="shared" si="261"/>
        <v>6.9510692219772338E-2</v>
      </c>
      <c r="DF165" s="278">
        <f t="shared" si="261"/>
        <v>7.4961855332555755E-2</v>
      </c>
      <c r="DG165" s="278">
        <f t="shared" si="261"/>
        <v>7.9379437631394767E-2</v>
      </c>
      <c r="DH165" s="278">
        <f t="shared" si="261"/>
        <v>5.8184090446217834E-2</v>
      </c>
      <c r="DI165" s="278">
        <f t="shared" si="261"/>
        <v>7.862674059208323E-2</v>
      </c>
      <c r="DJ165" s="278">
        <f t="shared" si="261"/>
        <v>6.1659471711307007E-2</v>
      </c>
      <c r="DK165" s="279">
        <f t="shared" si="261"/>
        <v>5.7010469825076619E-2</v>
      </c>
    </row>
    <row r="166" spans="1:115" ht="14.45" customHeight="1">
      <c r="A166" s="12"/>
      <c r="B166" s="287" t="s">
        <v>139</v>
      </c>
      <c r="C166" s="287"/>
      <c r="D166" s="277">
        <f t="shared" ref="D166:P166" si="262">D62/D55</f>
        <v>0.37859168104767782</v>
      </c>
      <c r="E166" s="278">
        <f t="shared" si="262"/>
        <v>0.47442061769913935</v>
      </c>
      <c r="F166" s="278" t="e">
        <f t="shared" si="262"/>
        <v>#DIV/0!</v>
      </c>
      <c r="G166" s="278" t="e">
        <f t="shared" si="262"/>
        <v>#DIV/0!</v>
      </c>
      <c r="H166" s="278" t="e">
        <f t="shared" si="262"/>
        <v>#DIV/0!</v>
      </c>
      <c r="I166" s="278" t="e">
        <f t="shared" si="262"/>
        <v>#DIV/0!</v>
      </c>
      <c r="J166" s="278" t="e">
        <f t="shared" si="262"/>
        <v>#DIV/0!</v>
      </c>
      <c r="K166" s="278" t="e">
        <f t="shared" si="262"/>
        <v>#DIV/0!</v>
      </c>
      <c r="L166" s="278" t="e">
        <f t="shared" si="262"/>
        <v>#DIV/0!</v>
      </c>
      <c r="M166" s="278" t="e">
        <f t="shared" si="262"/>
        <v>#DIV/0!</v>
      </c>
      <c r="N166" s="278" t="e">
        <f t="shared" si="262"/>
        <v>#DIV/0!</v>
      </c>
      <c r="O166" s="278" t="e">
        <f t="shared" si="262"/>
        <v>#DIV/0!</v>
      </c>
      <c r="P166" s="278">
        <f t="shared" si="262"/>
        <v>0.42626327873825159</v>
      </c>
      <c r="Q166" s="278">
        <f>SUM(BS166)</f>
        <v>0.38807963679118856</v>
      </c>
      <c r="R166" s="266">
        <f t="shared" si="254"/>
        <v>125.31194990504648</v>
      </c>
      <c r="S166" s="266">
        <f t="shared" si="255"/>
        <v>111.11554370318295</v>
      </c>
      <c r="T166" s="266"/>
      <c r="U166" s="88"/>
      <c r="V166" s="267"/>
      <c r="W166" s="3"/>
      <c r="X166" s="277">
        <f t="shared" ref="X166:AJ166" si="263">X62/X55</f>
        <v>0.17942503098626111</v>
      </c>
      <c r="Y166" s="278">
        <f>Y62/Y55</f>
        <v>0.24885353402525132</v>
      </c>
      <c r="Z166" s="278" t="e">
        <f t="shared" si="263"/>
        <v>#DIV/0!</v>
      </c>
      <c r="AA166" s="278" t="e">
        <f t="shared" si="263"/>
        <v>#DIV/0!</v>
      </c>
      <c r="AB166" s="278" t="e">
        <f t="shared" si="263"/>
        <v>#DIV/0!</v>
      </c>
      <c r="AC166" s="278" t="e">
        <f t="shared" si="263"/>
        <v>#DIV/0!</v>
      </c>
      <c r="AD166" s="278" t="e">
        <f t="shared" si="263"/>
        <v>#DIV/0!</v>
      </c>
      <c r="AE166" s="278" t="e">
        <f t="shared" si="263"/>
        <v>#DIV/0!</v>
      </c>
      <c r="AF166" s="278" t="e">
        <f t="shared" si="263"/>
        <v>#DIV/0!</v>
      </c>
      <c r="AG166" s="278" t="e">
        <f t="shared" si="263"/>
        <v>#DIV/0!</v>
      </c>
      <c r="AH166" s="278" t="e">
        <f t="shared" si="263"/>
        <v>#DIV/0!</v>
      </c>
      <c r="AI166" s="278" t="e">
        <f t="shared" si="263"/>
        <v>#DIV/0!</v>
      </c>
      <c r="AJ166" s="278">
        <f t="shared" si="263"/>
        <v>0.21387817109305579</v>
      </c>
      <c r="AK166" s="266">
        <f>IF(ISERROR((($Y166-$X166)/ABS($X166)+1)*100),0,(($Y166-$X166)/ABS($X166)+1)*100)</f>
        <v>138.69499292119752</v>
      </c>
      <c r="AL166" s="88"/>
      <c r="AM166" s="267"/>
      <c r="AN166" s="3"/>
      <c r="AO166" s="277">
        <f t="shared" ref="AO166:BA166" si="264">AO62/AO55</f>
        <v>2.6390760969103262</v>
      </c>
      <c r="AP166" s="278">
        <f t="shared" si="264"/>
        <v>2.887950938397787</v>
      </c>
      <c r="AQ166" s="278" t="e">
        <f t="shared" si="264"/>
        <v>#DIV/0!</v>
      </c>
      <c r="AR166" s="278" t="e">
        <f t="shared" si="264"/>
        <v>#DIV/0!</v>
      </c>
      <c r="AS166" s="278" t="e">
        <f t="shared" si="264"/>
        <v>#DIV/0!</v>
      </c>
      <c r="AT166" s="278" t="e">
        <f t="shared" si="264"/>
        <v>#DIV/0!</v>
      </c>
      <c r="AU166" s="278" t="e">
        <f t="shared" si="264"/>
        <v>#DIV/0!</v>
      </c>
      <c r="AV166" s="278" t="e">
        <f t="shared" si="264"/>
        <v>#DIV/0!</v>
      </c>
      <c r="AW166" s="278" t="e">
        <f t="shared" si="264"/>
        <v>#DIV/0!</v>
      </c>
      <c r="AX166" s="278" t="e">
        <f t="shared" si="264"/>
        <v>#DIV/0!</v>
      </c>
      <c r="AY166" s="278" t="e">
        <f t="shared" si="264"/>
        <v>#DIV/0!</v>
      </c>
      <c r="AZ166" s="278" t="e">
        <f t="shared" si="264"/>
        <v>#DIV/0!</v>
      </c>
      <c r="BA166" s="278">
        <f t="shared" si="264"/>
        <v>2.7662457488074446</v>
      </c>
      <c r="BB166" s="258"/>
      <c r="BC166" s="38"/>
      <c r="BD166" s="259"/>
      <c r="BF166" s="277">
        <v>0.34932072474073828</v>
      </c>
      <c r="BG166" s="278">
        <v>0.42696152301286844</v>
      </c>
      <c r="BH166" s="278">
        <v>0.34023456944725922</v>
      </c>
      <c r="BI166" s="278">
        <v>0.43270808733404936</v>
      </c>
      <c r="BJ166" s="278">
        <v>0.30934166830585158</v>
      </c>
      <c r="BK166" s="278">
        <v>0.42598190824002974</v>
      </c>
      <c r="BL166" s="278">
        <v>0.33369528085588407</v>
      </c>
      <c r="BM166" s="278">
        <v>0.3170385026590401</v>
      </c>
      <c r="BN166" s="278">
        <v>0.47372343882690521</v>
      </c>
      <c r="BO166" s="278">
        <v>0.31100617110874501</v>
      </c>
      <c r="BP166" s="278">
        <v>0.32067012624153834</v>
      </c>
      <c r="BQ166" s="278">
        <v>0.34594735086112804</v>
      </c>
      <c r="BR166" s="278">
        <v>-0.12299158125806121</v>
      </c>
      <c r="BS166" s="279">
        <f>BS62/BS55</f>
        <v>0.38807963679118856</v>
      </c>
      <c r="BU166" s="277">
        <v>0.33665158579592275</v>
      </c>
      <c r="BV166" s="278">
        <v>0.33380608780450555</v>
      </c>
      <c r="BW166" s="278">
        <v>0.26785331198105095</v>
      </c>
      <c r="BX166" s="278">
        <v>0.33333450083572669</v>
      </c>
      <c r="BY166" s="278">
        <v>0.21310310110002934</v>
      </c>
      <c r="BZ166" s="278">
        <v>0.29596013118126274</v>
      </c>
      <c r="CA166" s="278">
        <v>0.2252378450826133</v>
      </c>
      <c r="CB166" s="278">
        <v>0.19015393730657212</v>
      </c>
      <c r="CC166" s="278">
        <v>0.28465053936322354</v>
      </c>
      <c r="CD166" s="278">
        <v>0.13289132050471711</v>
      </c>
      <c r="CE166" s="278">
        <v>0.14505922371703886</v>
      </c>
      <c r="CF166" s="278">
        <v>0.16465208183046523</v>
      </c>
      <c r="CG166" s="278">
        <v>0</v>
      </c>
      <c r="CH166" s="280">
        <v>0.23804028131019753</v>
      </c>
      <c r="CJ166" s="277">
        <v>0.52505187923186181</v>
      </c>
      <c r="CK166" s="278">
        <v>1.7492661004529833</v>
      </c>
      <c r="CL166" s="278">
        <v>1.3573404374668592</v>
      </c>
      <c r="CM166" s="278">
        <v>1.9057674452121582</v>
      </c>
      <c r="CN166" s="278">
        <v>1.7180932344441224</v>
      </c>
      <c r="CO166" s="278">
        <v>2.2785427444880009</v>
      </c>
      <c r="CP166" s="278">
        <v>1.7350130809352171</v>
      </c>
      <c r="CQ166" s="278">
        <v>1.8719625898186933</v>
      </c>
      <c r="CR166" s="278">
        <v>2.8530464919114333</v>
      </c>
      <c r="CS166" s="278">
        <v>2.3554154578867794</v>
      </c>
      <c r="CT166" s="278">
        <v>2.1927692804996264</v>
      </c>
      <c r="CU166" s="278">
        <v>2.1760740573782478</v>
      </c>
      <c r="CV166" s="278">
        <v>-0.39138380707819342</v>
      </c>
      <c r="CW166" s="280">
        <v>1.8910774520677249</v>
      </c>
      <c r="CY166" s="277">
        <v>0.20196578257533368</v>
      </c>
      <c r="CZ166" s="278">
        <v>0.21669531679127657</v>
      </c>
      <c r="DA166" s="278">
        <v>0.20321020468713719</v>
      </c>
      <c r="DB166" s="278">
        <v>0.22553645903385441</v>
      </c>
      <c r="DC166" s="278">
        <v>0.23396501625211066</v>
      </c>
      <c r="DD166" s="278">
        <v>0.25140991295041926</v>
      </c>
      <c r="DE166" s="278">
        <v>0.31028729527141569</v>
      </c>
      <c r="DF166" s="278">
        <v>0.31981482837455466</v>
      </c>
      <c r="DG166" s="278">
        <v>0.35992725318040614</v>
      </c>
      <c r="DH166" s="278">
        <v>0.25145033144703943</v>
      </c>
      <c r="DI166" s="278">
        <v>0.36223324908851512</v>
      </c>
      <c r="DJ166" s="278">
        <v>0.2780668235132529</v>
      </c>
      <c r="DK166" s="279">
        <f>DK62/DK55</f>
        <v>0.27102508645817541</v>
      </c>
    </row>
    <row r="167" spans="1:115" s="296" customFormat="1" ht="14.45" hidden="1" customHeight="1">
      <c r="A167" s="288"/>
      <c r="B167" s="289" t="s">
        <v>140</v>
      </c>
      <c r="C167" s="289"/>
      <c r="D167" s="290">
        <f>D62/D102</f>
        <v>1.2498852340131839</v>
      </c>
      <c r="E167" s="291">
        <f>E62/E102</f>
        <v>2.3050186776886932</v>
      </c>
      <c r="F167" s="291" t="e">
        <f t="shared" ref="F167:P167" si="265">F62/F102</f>
        <v>#DIV/0!</v>
      </c>
      <c r="G167" s="291" t="e">
        <f t="shared" si="265"/>
        <v>#DIV/0!</v>
      </c>
      <c r="H167" s="291" t="e">
        <f t="shared" si="265"/>
        <v>#DIV/0!</v>
      </c>
      <c r="I167" s="291" t="e">
        <f t="shared" si="265"/>
        <v>#DIV/0!</v>
      </c>
      <c r="J167" s="278" t="e">
        <f t="shared" si="265"/>
        <v>#DIV/0!</v>
      </c>
      <c r="K167" s="278" t="e">
        <f t="shared" si="265"/>
        <v>#DIV/0!</v>
      </c>
      <c r="L167" s="278" t="e">
        <f t="shared" si="265"/>
        <v>#DIV/0!</v>
      </c>
      <c r="M167" s="278" t="e">
        <f t="shared" si="265"/>
        <v>#DIV/0!</v>
      </c>
      <c r="N167" s="278" t="e">
        <f t="shared" si="265"/>
        <v>#DIV/0!</v>
      </c>
      <c r="O167" s="278" t="e">
        <f t="shared" si="265"/>
        <v>#DIV/0!</v>
      </c>
      <c r="P167" s="278">
        <f t="shared" si="265"/>
        <v>1.6742010520611155</v>
      </c>
      <c r="Q167" s="278">
        <f>SUM(BS167)</f>
        <v>1.1659228455158388</v>
      </c>
      <c r="R167" s="266">
        <f>IF(ISERROR((($K167-$J167)/ABS($J167)+1)*100),0,(($K167-$J167)/ABS($J167)+1)*100)</f>
        <v>0</v>
      </c>
      <c r="S167" s="266">
        <f>IF(ISERROR((($K167-$BM167)/ABS($BM167)+1)*100),0,(($K167-$BM167)/ABS($BM167)+1)*100)</f>
        <v>0</v>
      </c>
      <c r="T167" s="266"/>
      <c r="U167" s="88"/>
      <c r="V167" s="267"/>
      <c r="W167" s="292"/>
      <c r="X167" s="290">
        <f t="shared" ref="X167:AJ167" si="266">X62/X102</f>
        <v>0.35106005882725605</v>
      </c>
      <c r="Y167" s="291">
        <f t="shared" si="266"/>
        <v>0.5696537237099899</v>
      </c>
      <c r="Z167" s="291" t="e">
        <f t="shared" si="266"/>
        <v>#DIV/0!</v>
      </c>
      <c r="AA167" s="291" t="e">
        <f t="shared" si="266"/>
        <v>#DIV/0!</v>
      </c>
      <c r="AB167" s="291" t="e">
        <f t="shared" si="266"/>
        <v>#DIV/0!</v>
      </c>
      <c r="AC167" s="291" t="e">
        <f t="shared" si="266"/>
        <v>#DIV/0!</v>
      </c>
      <c r="AD167" s="278" t="e">
        <f t="shared" si="266"/>
        <v>#DIV/0!</v>
      </c>
      <c r="AE167" s="278" t="e">
        <f t="shared" si="266"/>
        <v>#DIV/0!</v>
      </c>
      <c r="AF167" s="278" t="e">
        <f t="shared" si="266"/>
        <v>#DIV/0!</v>
      </c>
      <c r="AG167" s="278" t="e">
        <f t="shared" si="266"/>
        <v>#DIV/0!</v>
      </c>
      <c r="AH167" s="278" t="e">
        <f t="shared" si="266"/>
        <v>#DIV/0!</v>
      </c>
      <c r="AI167" s="278" t="e">
        <f t="shared" si="266"/>
        <v>#DIV/0!</v>
      </c>
      <c r="AJ167" s="278">
        <f t="shared" si="266"/>
        <v>0.45098003046776258</v>
      </c>
      <c r="AK167" s="278"/>
      <c r="AL167" s="281"/>
      <c r="AM167" s="280"/>
      <c r="AN167" s="292"/>
      <c r="AO167" s="290">
        <f t="shared" ref="AO167:BA167" si="267">AO62/AO102</f>
        <v>-1.2810806352477024</v>
      </c>
      <c r="AP167" s="291">
        <f t="shared" si="267"/>
        <v>-1.2743810688081931</v>
      </c>
      <c r="AQ167" s="291" t="e">
        <f t="shared" si="267"/>
        <v>#DIV/0!</v>
      </c>
      <c r="AR167" s="291" t="e">
        <f t="shared" si="267"/>
        <v>#DIV/0!</v>
      </c>
      <c r="AS167" s="291" t="e">
        <f t="shared" si="267"/>
        <v>#DIV/0!</v>
      </c>
      <c r="AT167" s="291" t="e">
        <f t="shared" si="267"/>
        <v>#DIV/0!</v>
      </c>
      <c r="AU167" s="278" t="e">
        <f t="shared" si="267"/>
        <v>#DIV/0!</v>
      </c>
      <c r="AV167" s="278" t="e">
        <f t="shared" si="267"/>
        <v>#DIV/0!</v>
      </c>
      <c r="AW167" s="278" t="e">
        <f t="shared" si="267"/>
        <v>#DIV/0!</v>
      </c>
      <c r="AX167" s="278" t="e">
        <f t="shared" si="267"/>
        <v>#DIV/0!</v>
      </c>
      <c r="AY167" s="278" t="e">
        <f t="shared" si="267"/>
        <v>#DIV/0!</v>
      </c>
      <c r="AZ167" s="278" t="e">
        <f t="shared" si="267"/>
        <v>#DIV/0!</v>
      </c>
      <c r="BA167" s="278">
        <f t="shared" si="267"/>
        <v>-1.2774979460425619</v>
      </c>
      <c r="BB167" s="293"/>
      <c r="BC167" s="294"/>
      <c r="BD167" s="295"/>
      <c r="BF167" s="290">
        <v>0.92673729061971821</v>
      </c>
      <c r="BG167" s="291">
        <v>1.4792804031347782</v>
      </c>
      <c r="BH167" s="291">
        <v>0.8954480521926268</v>
      </c>
      <c r="BI167" s="291">
        <v>1.535948604785909</v>
      </c>
      <c r="BJ167" s="291">
        <v>0.78349414666475881</v>
      </c>
      <c r="BK167" s="291">
        <v>1.8004255047784361</v>
      </c>
      <c r="BL167" s="291">
        <v>1.021452413923007</v>
      </c>
      <c r="BM167" s="291">
        <v>0.86633715186688831</v>
      </c>
      <c r="BN167" s="291">
        <v>2.7243518691599138</v>
      </c>
      <c r="BO167" s="291">
        <v>0.83022276410871376</v>
      </c>
      <c r="BP167" s="291">
        <v>0.91271473627056421</v>
      </c>
      <c r="BQ167" s="291">
        <v>1.0716700261716525</v>
      </c>
      <c r="BR167" s="291">
        <v>-0.16193843038263059</v>
      </c>
      <c r="BS167" s="297">
        <f>BS62/BS102</f>
        <v>1.1659228455158388</v>
      </c>
      <c r="BU167" s="290">
        <v>0.86919659376883585</v>
      </c>
      <c r="BV167" s="291">
        <v>0.87963402331026908</v>
      </c>
      <c r="BW167" s="291">
        <v>0.59525741361530027</v>
      </c>
      <c r="BX167" s="291">
        <v>0.87801063746180574</v>
      </c>
      <c r="BY167" s="291">
        <v>0.43605453149264378</v>
      </c>
      <c r="BZ167" s="291">
        <v>0.79771104103060941</v>
      </c>
      <c r="CA167" s="278">
        <v>0.51349115172568394</v>
      </c>
      <c r="CB167" s="278">
        <v>0.38451398631775241</v>
      </c>
      <c r="CC167" s="278">
        <v>0.77095230469944742</v>
      </c>
      <c r="CD167" s="278">
        <v>0.23762035943802287</v>
      </c>
      <c r="CE167" s="278">
        <v>0.27151488426832043</v>
      </c>
      <c r="CF167" s="278">
        <v>0.32060935483852471</v>
      </c>
      <c r="CG167" s="278">
        <v>0</v>
      </c>
      <c r="CH167" s="280">
        <v>0.52576974146836519</v>
      </c>
      <c r="CJ167" s="290">
        <v>2.2535112704110483</v>
      </c>
      <c r="CK167" s="291">
        <v>-1.7474767766452239</v>
      </c>
      <c r="CL167" s="291">
        <v>-2.2474437214218672</v>
      </c>
      <c r="CM167" s="291">
        <v>-1.6290058811826673</v>
      </c>
      <c r="CN167" s="291">
        <v>-1.7541128042642375</v>
      </c>
      <c r="CO167" s="291">
        <v>-1.3574887823902091</v>
      </c>
      <c r="CP167" s="278">
        <v>-1.5494004330164082</v>
      </c>
      <c r="CQ167" s="278">
        <v>-1.5474327161094583</v>
      </c>
      <c r="CR167" s="278">
        <v>-1.2490156130473764</v>
      </c>
      <c r="CS167" s="278">
        <v>-1.3499227010735084</v>
      </c>
      <c r="CT167" s="278">
        <v>-1.3715913924494083</v>
      </c>
      <c r="CU167" s="278">
        <v>-1.3577196848954505</v>
      </c>
      <c r="CV167" s="278">
        <v>-0.78671475569122318</v>
      </c>
      <c r="CW167" s="280">
        <v>-1.5237904324747604</v>
      </c>
      <c r="CY167" s="290">
        <v>0.37622500195432745</v>
      </c>
      <c r="CZ167" s="291">
        <v>0.42220700218865964</v>
      </c>
      <c r="DA167" s="291">
        <v>0.37938794328135156</v>
      </c>
      <c r="DB167" s="291">
        <v>0.43593433797768105</v>
      </c>
      <c r="DC167" s="291">
        <v>0.46129783681174746</v>
      </c>
      <c r="DD167" s="291">
        <v>0.52279866166727507</v>
      </c>
      <c r="DE167" s="291">
        <v>0.72378899555407372</v>
      </c>
      <c r="DF167" s="291">
        <v>0.7686689901243271</v>
      </c>
      <c r="DG167" s="291">
        <v>0.97496328238386665</v>
      </c>
      <c r="DH167" s="291">
        <v>0.52390083232877493</v>
      </c>
      <c r="DI167" s="291">
        <v>1.0076030293054101</v>
      </c>
      <c r="DJ167" s="291">
        <v>0.62853125575053947</v>
      </c>
      <c r="DK167" s="297">
        <f>DK62/DK102</f>
        <v>0.58636579344463113</v>
      </c>
    </row>
    <row r="168" spans="1:115" ht="14.45" customHeight="1">
      <c r="A168" s="12"/>
      <c r="B168" s="298"/>
      <c r="C168" s="298"/>
      <c r="D168" s="277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78"/>
      <c r="R168" s="266"/>
      <c r="S168" s="266"/>
      <c r="T168" s="266"/>
      <c r="U168" s="88"/>
      <c r="V168" s="267"/>
      <c r="W168" s="3"/>
      <c r="X168" s="277"/>
      <c r="Y168" s="282"/>
      <c r="Z168" s="282"/>
      <c r="AA168" s="282"/>
      <c r="AB168" s="282"/>
      <c r="AC168" s="282"/>
      <c r="AD168" s="282"/>
      <c r="AE168" s="282"/>
      <c r="AF168" s="282"/>
      <c r="AG168" s="282"/>
      <c r="AH168" s="282"/>
      <c r="AI168" s="282"/>
      <c r="AJ168" s="282"/>
      <c r="AK168" s="282"/>
      <c r="AL168" s="283"/>
      <c r="AM168" s="284"/>
      <c r="AN168" s="3"/>
      <c r="AO168" s="277"/>
      <c r="AP168" s="282"/>
      <c r="AQ168" s="282"/>
      <c r="AR168" s="282"/>
      <c r="AS168" s="282"/>
      <c r="AT168" s="282"/>
      <c r="AU168" s="282"/>
      <c r="AV168" s="282"/>
      <c r="AW168" s="282"/>
      <c r="AX168" s="282"/>
      <c r="AY168" s="282"/>
      <c r="AZ168" s="282"/>
      <c r="BA168" s="282"/>
      <c r="BB168" s="258"/>
      <c r="BC168" s="38"/>
      <c r="BD168" s="259"/>
      <c r="BF168" s="277"/>
      <c r="BG168" s="282"/>
      <c r="BH168" s="282"/>
      <c r="BI168" s="282"/>
      <c r="BJ168" s="282"/>
      <c r="BK168" s="282"/>
      <c r="BL168" s="282"/>
      <c r="BM168" s="282"/>
      <c r="BN168" s="282"/>
      <c r="BO168" s="282"/>
      <c r="BP168" s="282"/>
      <c r="BQ168" s="282"/>
      <c r="BR168" s="282"/>
      <c r="BS168" s="285"/>
      <c r="BU168" s="277"/>
      <c r="BV168" s="282"/>
      <c r="BW168" s="282"/>
      <c r="BX168" s="282"/>
      <c r="BY168" s="282"/>
      <c r="BZ168" s="282"/>
      <c r="CA168" s="282"/>
      <c r="CB168" s="282"/>
      <c r="CC168" s="282"/>
      <c r="CD168" s="282"/>
      <c r="CE168" s="282"/>
      <c r="CF168" s="282"/>
      <c r="CG168" s="282"/>
      <c r="CH168" s="284"/>
      <c r="CJ168" s="277"/>
      <c r="CK168" s="282"/>
      <c r="CL168" s="282"/>
      <c r="CM168" s="282"/>
      <c r="CN168" s="282"/>
      <c r="CO168" s="282"/>
      <c r="CP168" s="282"/>
      <c r="CQ168" s="282"/>
      <c r="CR168" s="282"/>
      <c r="CS168" s="282"/>
      <c r="CT168" s="282"/>
      <c r="CU168" s="282"/>
      <c r="CV168" s="282"/>
      <c r="CW168" s="284"/>
      <c r="CY168" s="277"/>
      <c r="CZ168" s="282"/>
      <c r="DA168" s="282"/>
      <c r="DB168" s="282"/>
      <c r="DC168" s="282"/>
      <c r="DD168" s="282"/>
      <c r="DE168" s="282"/>
      <c r="DF168" s="282"/>
      <c r="DG168" s="282"/>
      <c r="DH168" s="282"/>
      <c r="DI168" s="282"/>
      <c r="DJ168" s="282"/>
      <c r="DK168" s="285"/>
    </row>
    <row r="169" spans="1:115" ht="14.45" hidden="1" customHeight="1">
      <c r="A169" s="12"/>
      <c r="B169" s="276" t="s">
        <v>141</v>
      </c>
      <c r="C169" s="276"/>
      <c r="D169" s="277"/>
      <c r="E169" s="282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82"/>
      <c r="Q169" s="278"/>
      <c r="R169" s="266"/>
      <c r="S169" s="266"/>
      <c r="T169" s="266"/>
      <c r="U169" s="88"/>
      <c r="V169" s="267"/>
      <c r="W169" s="3"/>
      <c r="X169" s="277"/>
      <c r="Y169" s="282"/>
      <c r="Z169" s="282"/>
      <c r="AA169" s="282"/>
      <c r="AB169" s="282"/>
      <c r="AC169" s="282"/>
      <c r="AD169" s="282"/>
      <c r="AE169" s="282"/>
      <c r="AF169" s="282"/>
      <c r="AG169" s="282"/>
      <c r="AH169" s="282"/>
      <c r="AI169" s="282"/>
      <c r="AJ169" s="282"/>
      <c r="AK169" s="282"/>
      <c r="AL169" s="283"/>
      <c r="AM169" s="284"/>
      <c r="AN169" s="3"/>
      <c r="AO169" s="277"/>
      <c r="AP169" s="282"/>
      <c r="AQ169" s="282"/>
      <c r="AR169" s="282"/>
      <c r="AS169" s="282"/>
      <c r="AT169" s="282"/>
      <c r="AU169" s="282"/>
      <c r="AV169" s="282"/>
      <c r="AW169" s="282"/>
      <c r="AX169" s="282"/>
      <c r="AY169" s="282"/>
      <c r="AZ169" s="282"/>
      <c r="BA169" s="282"/>
      <c r="BB169" s="258"/>
      <c r="BC169" s="38"/>
      <c r="BD169" s="259"/>
      <c r="BF169" s="277"/>
      <c r="BG169" s="282"/>
      <c r="BH169" s="282"/>
      <c r="BI169" s="282"/>
      <c r="BJ169" s="282"/>
      <c r="BK169" s="282"/>
      <c r="BL169" s="282"/>
      <c r="BM169" s="282"/>
      <c r="BN169" s="282"/>
      <c r="BO169" s="282"/>
      <c r="BP169" s="282"/>
      <c r="BQ169" s="282"/>
      <c r="BR169" s="282"/>
      <c r="BS169" s="285"/>
      <c r="BU169" s="277"/>
      <c r="BV169" s="282"/>
      <c r="BW169" s="282"/>
      <c r="BX169" s="282"/>
      <c r="BY169" s="282"/>
      <c r="BZ169" s="282"/>
      <c r="CA169" s="282"/>
      <c r="CB169" s="282"/>
      <c r="CC169" s="282"/>
      <c r="CD169" s="282"/>
      <c r="CE169" s="282"/>
      <c r="CF169" s="282"/>
      <c r="CG169" s="282"/>
      <c r="CH169" s="284"/>
      <c r="CJ169" s="277"/>
      <c r="CK169" s="282"/>
      <c r="CL169" s="282"/>
      <c r="CM169" s="282"/>
      <c r="CN169" s="282"/>
      <c r="CO169" s="282"/>
      <c r="CP169" s="282"/>
      <c r="CQ169" s="282"/>
      <c r="CR169" s="282"/>
      <c r="CS169" s="282"/>
      <c r="CT169" s="282"/>
      <c r="CU169" s="282"/>
      <c r="CV169" s="282"/>
      <c r="CW169" s="284"/>
      <c r="CY169" s="277"/>
      <c r="CZ169" s="282"/>
      <c r="DA169" s="282"/>
      <c r="DB169" s="282"/>
      <c r="DC169" s="282"/>
      <c r="DD169" s="282"/>
      <c r="DE169" s="282"/>
      <c r="DF169" s="282"/>
      <c r="DG169" s="282"/>
      <c r="DH169" s="282"/>
      <c r="DI169" s="282"/>
      <c r="DJ169" s="282"/>
      <c r="DK169" s="285"/>
    </row>
    <row r="170" spans="1:115" ht="14.45" hidden="1" customHeight="1">
      <c r="A170" s="12"/>
      <c r="B170" s="664" t="s">
        <v>142</v>
      </c>
      <c r="C170" s="299"/>
      <c r="D170" s="277">
        <f t="shared" ref="D170:P170" si="268">D102/D55</f>
        <v>0.30290115503811482</v>
      </c>
      <c r="E170" s="278">
        <f t="shared" si="268"/>
        <v>0.20582072600594029</v>
      </c>
      <c r="F170" s="278" t="e">
        <f t="shared" si="268"/>
        <v>#DIV/0!</v>
      </c>
      <c r="G170" s="278" t="e">
        <f t="shared" si="268"/>
        <v>#DIV/0!</v>
      </c>
      <c r="H170" s="278" t="e">
        <f t="shared" si="268"/>
        <v>#DIV/0!</v>
      </c>
      <c r="I170" s="278" t="e">
        <f t="shared" si="268"/>
        <v>#DIV/0!</v>
      </c>
      <c r="J170" s="278" t="e">
        <f t="shared" si="268"/>
        <v>#DIV/0!</v>
      </c>
      <c r="K170" s="278" t="e">
        <f t="shared" si="268"/>
        <v>#DIV/0!</v>
      </c>
      <c r="L170" s="278" t="e">
        <f t="shared" si="268"/>
        <v>#DIV/0!</v>
      </c>
      <c r="M170" s="278" t="e">
        <f t="shared" si="268"/>
        <v>#DIV/0!</v>
      </c>
      <c r="N170" s="278" t="e">
        <f t="shared" si="268"/>
        <v>#DIV/0!</v>
      </c>
      <c r="O170" s="278" t="e">
        <f t="shared" si="268"/>
        <v>#DIV/0!</v>
      </c>
      <c r="P170" s="278">
        <f t="shared" si="268"/>
        <v>0.25460698296269563</v>
      </c>
      <c r="Q170" s="278">
        <f>SUM(BS170)</f>
        <v>0.33285190206517534</v>
      </c>
      <c r="R170" s="266">
        <f>IF(ISERROR((($E170-$D170)/ABS($D170)+1)*100),0,(($E170-$D170)/ABS($D170)+1)*100)</f>
        <v>67.949798996323182</v>
      </c>
      <c r="S170" s="266">
        <f>IF(ISERROR((($E170-$BG170)/ABS($BG170)+1)*100),0,(($E170-$BG170)/ABS($BG170)+1)*100)</f>
        <v>71.310071313002979</v>
      </c>
      <c r="T170" s="266"/>
      <c r="U170" s="88"/>
      <c r="V170" s="267"/>
      <c r="W170" s="3"/>
      <c r="X170" s="277">
        <f t="shared" ref="X170:AJ170" si="269">X102/X55</f>
        <v>0.51109497214136146</v>
      </c>
      <c r="Y170" s="278">
        <f t="shared" si="269"/>
        <v>0.43685053510146526</v>
      </c>
      <c r="Z170" s="278" t="e">
        <f t="shared" si="269"/>
        <v>#DIV/0!</v>
      </c>
      <c r="AA170" s="278" t="e">
        <f t="shared" si="269"/>
        <v>#DIV/0!</v>
      </c>
      <c r="AB170" s="278" t="e">
        <f t="shared" si="269"/>
        <v>#DIV/0!</v>
      </c>
      <c r="AC170" s="278" t="e">
        <f t="shared" si="269"/>
        <v>#DIV/0!</v>
      </c>
      <c r="AD170" s="278" t="e">
        <f t="shared" si="269"/>
        <v>#DIV/0!</v>
      </c>
      <c r="AE170" s="278" t="e">
        <f t="shared" si="269"/>
        <v>#DIV/0!</v>
      </c>
      <c r="AF170" s="278" t="e">
        <f t="shared" si="269"/>
        <v>#DIV/0!</v>
      </c>
      <c r="AG170" s="278" t="e">
        <f t="shared" si="269"/>
        <v>#DIV/0!</v>
      </c>
      <c r="AH170" s="278" t="e">
        <f t="shared" si="269"/>
        <v>#DIV/0!</v>
      </c>
      <c r="AI170" s="278" t="e">
        <f t="shared" si="269"/>
        <v>#DIV/0!</v>
      </c>
      <c r="AJ170" s="278">
        <f t="shared" si="269"/>
        <v>0.47425197712461559</v>
      </c>
      <c r="AK170" s="266">
        <f>IF(ISERROR((($Y170-$X170)/ABS($X170)+1)*100),0,(($Y170-$X170)/ABS($X170)+1)*100)</f>
        <v>85.473455798473154</v>
      </c>
      <c r="AL170" s="88"/>
      <c r="AM170" s="267"/>
      <c r="AN170" s="3"/>
      <c r="AO170" s="277">
        <f t="shared" ref="AO170:BA170" si="270">AO102/AO55</f>
        <v>-2.0600390204165793</v>
      </c>
      <c r="AP170" s="278">
        <f t="shared" si="270"/>
        <v>-2.2661596355151534</v>
      </c>
      <c r="AQ170" s="278" t="e">
        <f t="shared" si="270"/>
        <v>#DIV/0!</v>
      </c>
      <c r="AR170" s="278" t="e">
        <f t="shared" si="270"/>
        <v>#DIV/0!</v>
      </c>
      <c r="AS170" s="278" t="e">
        <f t="shared" si="270"/>
        <v>#DIV/0!</v>
      </c>
      <c r="AT170" s="278" t="e">
        <f t="shared" si="270"/>
        <v>#DIV/0!</v>
      </c>
      <c r="AU170" s="278" t="e">
        <f t="shared" si="270"/>
        <v>#DIV/0!</v>
      </c>
      <c r="AV170" s="278" t="e">
        <f t="shared" si="270"/>
        <v>#DIV/0!</v>
      </c>
      <c r="AW170" s="278" t="e">
        <f t="shared" si="270"/>
        <v>#DIV/0!</v>
      </c>
      <c r="AX170" s="278" t="e">
        <f t="shared" si="270"/>
        <v>#DIV/0!</v>
      </c>
      <c r="AY170" s="278" t="e">
        <f t="shared" si="270"/>
        <v>#DIV/0!</v>
      </c>
      <c r="AZ170" s="278" t="e">
        <f t="shared" si="270"/>
        <v>#DIV/0!</v>
      </c>
      <c r="BA170" s="278">
        <f t="shared" si="270"/>
        <v>-2.1653621889387229</v>
      </c>
      <c r="BB170" s="258"/>
      <c r="BC170" s="38"/>
      <c r="BD170" s="259"/>
      <c r="BF170" s="277">
        <v>0.37693608347964952</v>
      </c>
      <c r="BG170" s="278">
        <v>0.28862785047924933</v>
      </c>
      <c r="BH170" s="278">
        <v>0.37996014242718879</v>
      </c>
      <c r="BI170" s="278">
        <v>0.28172042084335441</v>
      </c>
      <c r="BJ170" s="278">
        <v>0.39482320272931481</v>
      </c>
      <c r="BK170" s="278">
        <v>0.23660068528769918</v>
      </c>
      <c r="BL170" s="278">
        <v>0.32668705493023259</v>
      </c>
      <c r="BM170" s="278">
        <v>0.36595279560139737</v>
      </c>
      <c r="BN170" s="278">
        <v>0.17388482163024832</v>
      </c>
      <c r="BO170" s="278">
        <v>0.37460568964599028</v>
      </c>
      <c r="BP170" s="278">
        <v>0.35133663728475095</v>
      </c>
      <c r="BQ170" s="278">
        <v>0.32281144607259604</v>
      </c>
      <c r="BR170" s="278">
        <v>0.75949594526422692</v>
      </c>
      <c r="BS170" s="279">
        <f>BS102/BS55</f>
        <v>0.33285190206517534</v>
      </c>
      <c r="BU170" s="277">
        <v>0.38731351251182622</v>
      </c>
      <c r="BV170" s="278">
        <v>0.37948292012206958</v>
      </c>
      <c r="BW170" s="278">
        <v>0.44997896011784527</v>
      </c>
      <c r="BX170" s="278">
        <v>0.37964745142421702</v>
      </c>
      <c r="BY170" s="278">
        <v>0.48870745677281047</v>
      </c>
      <c r="BZ170" s="278">
        <v>0.37101170218089824</v>
      </c>
      <c r="CA170" s="278">
        <v>0.43864016804507533</v>
      </c>
      <c r="CB170" s="278">
        <v>0.49453061285899191</v>
      </c>
      <c r="CC170" s="278">
        <v>0.36921938961476142</v>
      </c>
      <c r="CD170" s="278">
        <v>0.55925898276985975</v>
      </c>
      <c r="CE170" s="278">
        <v>0.53425882749649301</v>
      </c>
      <c r="CF170" s="278">
        <v>0.5135598177208287</v>
      </c>
      <c r="CG170" s="278">
        <v>0.6795952143965942</v>
      </c>
      <c r="CH170" s="280">
        <v>0.45274625474908592</v>
      </c>
      <c r="CJ170" s="277">
        <v>0.23299279046254362</v>
      </c>
      <c r="CK170" s="278">
        <v>-1.0010239471171654</v>
      </c>
      <c r="CL170" s="278">
        <v>-0.60394857701180815</v>
      </c>
      <c r="CM170" s="278">
        <v>-1.1698959882382749</v>
      </c>
      <c r="CN170" s="278">
        <v>-0.97946564797169722</v>
      </c>
      <c r="CO170" s="278">
        <v>-1.6784983964847493</v>
      </c>
      <c r="CP170" s="278">
        <v>-1.1197964347779703</v>
      </c>
      <c r="CQ170" s="278">
        <v>-1.2097214763076518</v>
      </c>
      <c r="CR170" s="278">
        <v>-2.284236051261606</v>
      </c>
      <c r="CS170" s="278">
        <v>-1.7448520985784342</v>
      </c>
      <c r="CT170" s="278">
        <v>-1.5987044629842322</v>
      </c>
      <c r="CU170" s="278">
        <v>-1.6027417747469823</v>
      </c>
      <c r="CV170" s="278">
        <v>0.49749137695315737</v>
      </c>
      <c r="CW170" s="280">
        <v>-1.2410351264618851</v>
      </c>
      <c r="CY170" s="277">
        <v>0.53682179952477405</v>
      </c>
      <c r="CZ170" s="278">
        <v>0.5132442514405483</v>
      </c>
      <c r="DA170" s="278">
        <v>0.53562641693238477</v>
      </c>
      <c r="DB170" s="278">
        <v>0.51736337192460713</v>
      </c>
      <c r="DC170" s="278">
        <v>0.50718862648295959</v>
      </c>
      <c r="DD170" s="278">
        <v>0.48089241879204375</v>
      </c>
      <c r="DE170" s="278">
        <v>0.42869855327640771</v>
      </c>
      <c r="DF170" s="278">
        <v>0.41606313313462373</v>
      </c>
      <c r="DG170" s="278">
        <v>0.36917005971789413</v>
      </c>
      <c r="DH170" s="278">
        <v>0.47995787738936313</v>
      </c>
      <c r="DI170" s="278">
        <v>0.35949996035464493</v>
      </c>
      <c r="DJ170" s="278">
        <v>0.44240731223653901</v>
      </c>
      <c r="DK170" s="279">
        <f>DK102/DK55</f>
        <v>0.46221162538494426</v>
      </c>
    </row>
    <row r="171" spans="1:115" ht="14.45" hidden="1" customHeight="1">
      <c r="A171" s="12"/>
      <c r="B171" s="664"/>
      <c r="C171" s="299"/>
      <c r="D171" s="277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104"/>
      <c r="R171" s="266"/>
      <c r="S171" s="266"/>
      <c r="T171" s="266"/>
      <c r="U171" s="88"/>
      <c r="V171" s="267"/>
      <c r="W171" s="3"/>
      <c r="X171" s="277"/>
      <c r="Y171" s="282"/>
      <c r="Z171" s="282"/>
      <c r="AA171" s="282"/>
      <c r="AB171" s="282"/>
      <c r="AC171" s="282"/>
      <c r="AD171" s="282"/>
      <c r="AE171" s="282"/>
      <c r="AF171" s="282"/>
      <c r="AG171" s="282"/>
      <c r="AH171" s="282"/>
      <c r="AI171" s="282"/>
      <c r="AJ171" s="282"/>
      <c r="AK171" s="282"/>
      <c r="AL171" s="283"/>
      <c r="AM171" s="284"/>
      <c r="AN171" s="3"/>
      <c r="AO171" s="277"/>
      <c r="AP171" s="282"/>
      <c r="AQ171" s="282"/>
      <c r="AR171" s="282"/>
      <c r="AS171" s="282"/>
      <c r="AT171" s="282"/>
      <c r="AU171" s="282"/>
      <c r="AV171" s="282"/>
      <c r="AW171" s="282"/>
      <c r="AX171" s="282"/>
      <c r="AY171" s="282"/>
      <c r="AZ171" s="282"/>
      <c r="BA171" s="282"/>
      <c r="BB171" s="258"/>
      <c r="BC171" s="38"/>
      <c r="BD171" s="259"/>
      <c r="BF171" s="277"/>
      <c r="BG171" s="282"/>
      <c r="BH171" s="282"/>
      <c r="BI171" s="282"/>
      <c r="BJ171" s="282"/>
      <c r="BK171" s="282"/>
      <c r="BL171" s="282"/>
      <c r="BM171" s="282"/>
      <c r="BN171" s="282"/>
      <c r="BO171" s="282"/>
      <c r="BP171" s="282"/>
      <c r="BQ171" s="282"/>
      <c r="BR171" s="282"/>
      <c r="BS171" s="285"/>
      <c r="BU171" s="277"/>
      <c r="BV171" s="282"/>
      <c r="BW171" s="282"/>
      <c r="BX171" s="282"/>
      <c r="BY171" s="282"/>
      <c r="BZ171" s="282"/>
      <c r="CA171" s="282"/>
      <c r="CB171" s="282"/>
      <c r="CC171" s="282"/>
      <c r="CD171" s="282"/>
      <c r="CE171" s="282"/>
      <c r="CF171" s="282"/>
      <c r="CG171" s="282"/>
      <c r="CH171" s="284"/>
      <c r="CJ171" s="277"/>
      <c r="CK171" s="282"/>
      <c r="CL171" s="282"/>
      <c r="CM171" s="282"/>
      <c r="CN171" s="282"/>
      <c r="CO171" s="282"/>
      <c r="CP171" s="282"/>
      <c r="CQ171" s="282"/>
      <c r="CR171" s="282"/>
      <c r="CS171" s="282"/>
      <c r="CT171" s="282"/>
      <c r="CU171" s="282"/>
      <c r="CV171" s="282"/>
      <c r="CW171" s="284"/>
      <c r="CY171" s="277"/>
      <c r="CZ171" s="282"/>
      <c r="DA171" s="282"/>
      <c r="DB171" s="282"/>
      <c r="DC171" s="282"/>
      <c r="DD171" s="282"/>
      <c r="DE171" s="282"/>
      <c r="DF171" s="282"/>
      <c r="DG171" s="282"/>
      <c r="DH171" s="282"/>
      <c r="DI171" s="282"/>
      <c r="DJ171" s="282"/>
      <c r="DK171" s="285"/>
    </row>
    <row r="172" spans="1:115" ht="14.45" hidden="1" customHeight="1">
      <c r="A172" s="12"/>
      <c r="B172" s="299"/>
      <c r="C172" s="299"/>
      <c r="D172" s="277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2"/>
      <c r="P172" s="282"/>
      <c r="Q172" s="104"/>
      <c r="R172" s="266"/>
      <c r="S172" s="266"/>
      <c r="T172" s="266"/>
      <c r="U172" s="88"/>
      <c r="V172" s="267"/>
      <c r="W172" s="3"/>
      <c r="X172" s="277"/>
      <c r="Y172" s="282"/>
      <c r="Z172" s="282"/>
      <c r="AA172" s="282"/>
      <c r="AB172" s="282"/>
      <c r="AC172" s="282"/>
      <c r="AD172" s="282"/>
      <c r="AE172" s="282"/>
      <c r="AF172" s="282"/>
      <c r="AG172" s="282"/>
      <c r="AH172" s="282"/>
      <c r="AI172" s="282"/>
      <c r="AJ172" s="282"/>
      <c r="AK172" s="282"/>
      <c r="AL172" s="283"/>
      <c r="AM172" s="284"/>
      <c r="AN172" s="3"/>
      <c r="AO172" s="277"/>
      <c r="AP172" s="282"/>
      <c r="AQ172" s="282"/>
      <c r="AR172" s="282"/>
      <c r="AS172" s="282"/>
      <c r="AT172" s="282"/>
      <c r="AU172" s="282"/>
      <c r="AV172" s="282"/>
      <c r="AW172" s="282"/>
      <c r="AX172" s="282"/>
      <c r="AY172" s="282"/>
      <c r="AZ172" s="282"/>
      <c r="BA172" s="282"/>
      <c r="BB172" s="258"/>
      <c r="BC172" s="38"/>
      <c r="BD172" s="259"/>
      <c r="BF172" s="277"/>
      <c r="BG172" s="282"/>
      <c r="BH172" s="282"/>
      <c r="BI172" s="282"/>
      <c r="BJ172" s="282"/>
      <c r="BK172" s="282"/>
      <c r="BL172" s="282"/>
      <c r="BM172" s="282"/>
      <c r="BN172" s="282"/>
      <c r="BO172" s="282"/>
      <c r="BP172" s="282"/>
      <c r="BQ172" s="282"/>
      <c r="BR172" s="282"/>
      <c r="BS172" s="285"/>
      <c r="BU172" s="277"/>
      <c r="BV172" s="282"/>
      <c r="BW172" s="282"/>
      <c r="BX172" s="282"/>
      <c r="BY172" s="282"/>
      <c r="BZ172" s="282"/>
      <c r="CA172" s="282"/>
      <c r="CB172" s="282"/>
      <c r="CC172" s="282"/>
      <c r="CD172" s="282"/>
      <c r="CE172" s="282"/>
      <c r="CF172" s="282"/>
      <c r="CG172" s="282"/>
      <c r="CH172" s="284"/>
      <c r="CJ172" s="277"/>
      <c r="CK172" s="282"/>
      <c r="CL172" s="282"/>
      <c r="CM172" s="282"/>
      <c r="CN172" s="282"/>
      <c r="CO172" s="282"/>
      <c r="CP172" s="282"/>
      <c r="CQ172" s="282"/>
      <c r="CR172" s="282"/>
      <c r="CS172" s="282"/>
      <c r="CT172" s="282"/>
      <c r="CU172" s="282"/>
      <c r="CV172" s="282"/>
      <c r="CW172" s="284"/>
      <c r="CY172" s="277"/>
      <c r="CZ172" s="282"/>
      <c r="DA172" s="282"/>
      <c r="DB172" s="282"/>
      <c r="DC172" s="282"/>
      <c r="DD172" s="282"/>
      <c r="DE172" s="282"/>
      <c r="DF172" s="282"/>
      <c r="DG172" s="282"/>
      <c r="DH172" s="282"/>
      <c r="DI172" s="282"/>
      <c r="DJ172" s="282"/>
      <c r="DK172" s="285"/>
    </row>
    <row r="173" spans="1:115" s="296" customFormat="1" ht="14.45" hidden="1" customHeight="1">
      <c r="A173" s="288"/>
      <c r="B173" s="300" t="s">
        <v>143</v>
      </c>
      <c r="C173" s="300"/>
      <c r="D173" s="290"/>
      <c r="E173" s="301"/>
      <c r="F173" s="301"/>
      <c r="G173" s="301"/>
      <c r="H173" s="301"/>
      <c r="I173" s="301"/>
      <c r="J173" s="282"/>
      <c r="K173" s="282"/>
      <c r="L173" s="282"/>
      <c r="M173" s="282"/>
      <c r="N173" s="282"/>
      <c r="O173" s="282"/>
      <c r="P173" s="282"/>
      <c r="Q173" s="104"/>
      <c r="R173" s="302">
        <f ca="1">IF(ISERROR(IF(AND(BQ173&gt;0,$E173&lt;0),($E173-BQ173)/BQ173*100-100,IF(OR(AND(BQ173&lt;0,$E173&lt;0),AND(BQ173&gt;0,$E173&gt;0)),$E173/BQ173*100,($E173-BQ173)/cS(BQ173)*100+100))),0,IF(AND(BQ173&gt;0,$E173&lt;0),($E173-BQ173)/BQ173*100-100,IF(OR(AND(BQ173&lt;0,$E173&lt;0),AND(BQ173&gt;0,$E173&gt;0)),$E173/BQ173*100,($E173-BQ173)/cS(BQ173)*100+100)))</f>
        <v>0</v>
      </c>
      <c r="S173" s="302">
        <f ca="1">IF(ISERROR(IF(AND(BF173&gt;0,$E173&lt;0),($E173-BF173)/BF173*100-100,IF(OR(AND(BF173&lt;0,$E173&lt;0),AND(BF173&gt;0,$E173&gt;0)),$E173/BF173*100,($E173-BF173)/TS(BF173)*100+100))),0,IF(AND(BF173&gt;0,$E173&lt;0),($E173-BF173)/BF173*100-100,IF(OR(AND(BF173&lt;0,$E173&lt;0),AND(BF173&gt;0,$E173&gt;0)),$E173/BF173*100,($E173-BF173)/TS(BF173)*100+100)))</f>
        <v>0</v>
      </c>
      <c r="T173" s="302"/>
      <c r="U173" s="303"/>
      <c r="V173" s="304"/>
      <c r="W173" s="292"/>
      <c r="X173" s="290"/>
      <c r="Y173" s="301"/>
      <c r="Z173" s="301"/>
      <c r="AA173" s="301"/>
      <c r="AB173" s="301"/>
      <c r="AC173" s="301"/>
      <c r="AD173" s="282"/>
      <c r="AE173" s="282"/>
      <c r="AF173" s="282"/>
      <c r="AG173" s="282"/>
      <c r="AH173" s="282"/>
      <c r="AI173" s="282"/>
      <c r="AJ173" s="282"/>
      <c r="AK173" s="282"/>
      <c r="AL173" s="283"/>
      <c r="AM173" s="284"/>
      <c r="AN173" s="292"/>
      <c r="AO173" s="290"/>
      <c r="AP173" s="301"/>
      <c r="AQ173" s="301"/>
      <c r="AR173" s="301"/>
      <c r="AS173" s="301"/>
      <c r="AT173" s="301"/>
      <c r="AU173" s="282"/>
      <c r="AV173" s="282"/>
      <c r="AW173" s="282"/>
      <c r="AX173" s="282"/>
      <c r="AY173" s="282"/>
      <c r="AZ173" s="282"/>
      <c r="BA173" s="282"/>
      <c r="BB173" s="293"/>
      <c r="BC173" s="294"/>
      <c r="BD173" s="295"/>
      <c r="BF173" s="290"/>
      <c r="BG173" s="301"/>
      <c r="BH173" s="301"/>
      <c r="BI173" s="301"/>
      <c r="BJ173" s="301"/>
      <c r="BK173" s="301"/>
      <c r="BL173" s="301"/>
      <c r="BM173" s="301"/>
      <c r="BN173" s="301"/>
      <c r="BO173" s="301"/>
      <c r="BP173" s="301"/>
      <c r="BQ173" s="301"/>
      <c r="BR173" s="301"/>
      <c r="BS173" s="305"/>
      <c r="BU173" s="290"/>
      <c r="BV173" s="301"/>
      <c r="BW173" s="301"/>
      <c r="BX173" s="301"/>
      <c r="BY173" s="301"/>
      <c r="BZ173" s="301"/>
      <c r="CA173" s="282"/>
      <c r="CB173" s="282"/>
      <c r="CC173" s="282"/>
      <c r="CD173" s="282"/>
      <c r="CE173" s="282"/>
      <c r="CF173" s="282"/>
      <c r="CG173" s="282"/>
      <c r="CH173" s="284"/>
      <c r="CJ173" s="290"/>
      <c r="CK173" s="301"/>
      <c r="CL173" s="301"/>
      <c r="CM173" s="301"/>
      <c r="CN173" s="301"/>
      <c r="CO173" s="301"/>
      <c r="CP173" s="282"/>
      <c r="CQ173" s="282"/>
      <c r="CR173" s="282"/>
      <c r="CS173" s="282"/>
      <c r="CT173" s="282"/>
      <c r="CU173" s="282"/>
      <c r="CV173" s="282"/>
      <c r="CW173" s="284"/>
      <c r="CY173" s="290"/>
      <c r="CZ173" s="301"/>
      <c r="DA173" s="301"/>
      <c r="DB173" s="301"/>
      <c r="DC173" s="301"/>
      <c r="DD173" s="301"/>
      <c r="DE173" s="301"/>
      <c r="DF173" s="301"/>
      <c r="DG173" s="301"/>
      <c r="DH173" s="301"/>
      <c r="DI173" s="301"/>
      <c r="DJ173" s="301"/>
      <c r="DK173" s="305"/>
    </row>
    <row r="174" spans="1:115" s="296" customFormat="1" ht="14.45" hidden="1" customHeight="1">
      <c r="A174" s="288"/>
      <c r="B174" s="306" t="s">
        <v>144</v>
      </c>
      <c r="C174" s="306"/>
      <c r="D174" s="290">
        <f t="shared" ref="D174:P174" si="271">D$68/D17</f>
        <v>2.5833519808819694E-2</v>
      </c>
      <c r="E174" s="291">
        <f t="shared" si="271"/>
        <v>2.0261841559159055E-2</v>
      </c>
      <c r="F174" s="291" t="e">
        <f t="shared" si="271"/>
        <v>#DIV/0!</v>
      </c>
      <c r="G174" s="291" t="e">
        <f t="shared" si="271"/>
        <v>#DIV/0!</v>
      </c>
      <c r="H174" s="291" t="e">
        <f t="shared" si="271"/>
        <v>#DIV/0!</v>
      </c>
      <c r="I174" s="291" t="e">
        <f t="shared" si="271"/>
        <v>#DIV/0!</v>
      </c>
      <c r="J174" s="278" t="e">
        <f t="shared" si="271"/>
        <v>#DIV/0!</v>
      </c>
      <c r="K174" s="278" t="e">
        <f t="shared" si="271"/>
        <v>#DIV/0!</v>
      </c>
      <c r="L174" s="278" t="e">
        <f t="shared" si="271"/>
        <v>#DIV/0!</v>
      </c>
      <c r="M174" s="278" t="e">
        <f t="shared" si="271"/>
        <v>#DIV/0!</v>
      </c>
      <c r="N174" s="278" t="e">
        <f t="shared" si="271"/>
        <v>#DIV/0!</v>
      </c>
      <c r="O174" s="278" t="e">
        <f t="shared" si="271"/>
        <v>#DIV/0!</v>
      </c>
      <c r="P174" s="278">
        <f t="shared" si="271"/>
        <v>2.2742549749545055E-2</v>
      </c>
      <c r="Q174" s="104"/>
      <c r="R174" s="302">
        <f>IF(ISERROR(IF(AND(BQ174&gt;0,$E174&lt;0),($E174-BQ174)/BQ174*100-100,IF(OR(AND(BQ174&lt;0,$E174&lt;0),AND(BQ174&gt;0,$E174&gt;0)),$E174/BQ174*100,($E174-BQ174)/cS(BQ174)*100+100))),0,IF(AND(BQ174&gt;0,$E174&lt;0),($E174-BQ174)/BQ174*100-100,IF(OR(AND(BQ174&lt;0,$E174&lt;0),AND(BQ174&gt;0,$E174&gt;0)),$E174/BQ174*100,($E174-BQ174)/cS(BQ174)*100+100)))</f>
        <v>96.836152891339026</v>
      </c>
      <c r="S174" s="302">
        <f>IF(ISERROR(IF(AND(BF174&gt;0,$E174&lt;0),($E174-BF174)/BF174*100-100,IF(OR(AND(BF174&lt;0,$E174&lt;0),AND(BF174&gt;0,$E174&gt;0)),$E174/BF174*100,($E174-BF174)/TS(BF174)*100+100))),0,IF(AND(BF174&gt;0,$E174&lt;0),($E174-BF174)/BF174*100-100,IF(OR(AND(BF174&lt;0,$E174&lt;0),AND(BF174&gt;0,$E174&gt;0)),$E174/BF174*100,($E174-BF174)/TS(BF174)*100+100)))</f>
        <v>142.35198161339642</v>
      </c>
      <c r="T174" s="302"/>
      <c r="U174" s="303"/>
      <c r="V174" s="304"/>
      <c r="W174" s="292"/>
      <c r="X174" s="290">
        <f t="shared" ref="X174:AJ174" si="272">X$68/X17</f>
        <v>2.3697513648496454E-2</v>
      </c>
      <c r="Y174" s="291">
        <f t="shared" si="272"/>
        <v>1.8213471624361273E-2</v>
      </c>
      <c r="Z174" s="291" t="e">
        <f t="shared" si="272"/>
        <v>#DIV/0!</v>
      </c>
      <c r="AA174" s="291" t="e">
        <f t="shared" si="272"/>
        <v>#DIV/0!</v>
      </c>
      <c r="AB174" s="291" t="e">
        <f t="shared" si="272"/>
        <v>#DIV/0!</v>
      </c>
      <c r="AC174" s="291" t="e">
        <f t="shared" si="272"/>
        <v>#DIV/0!</v>
      </c>
      <c r="AD174" s="278" t="e">
        <f t="shared" si="272"/>
        <v>#DIV/0!</v>
      </c>
      <c r="AE174" s="278" t="e">
        <f t="shared" si="272"/>
        <v>#DIV/0!</v>
      </c>
      <c r="AF174" s="278" t="e">
        <f t="shared" si="272"/>
        <v>#DIV/0!</v>
      </c>
      <c r="AG174" s="278" t="e">
        <f t="shared" si="272"/>
        <v>#DIV/0!</v>
      </c>
      <c r="AH174" s="278" t="e">
        <f t="shared" si="272"/>
        <v>#DIV/0!</v>
      </c>
      <c r="AI174" s="278" t="e">
        <f t="shared" si="272"/>
        <v>#DIV/0!</v>
      </c>
      <c r="AJ174" s="278">
        <f t="shared" si="272"/>
        <v>2.0618793782153155E-2</v>
      </c>
      <c r="AK174" s="278"/>
      <c r="AL174" s="281"/>
      <c r="AM174" s="280"/>
      <c r="AN174" s="292"/>
      <c r="AO174" s="290">
        <f t="shared" ref="AO174:BA174" si="273">AO$68/AO17</f>
        <v>0.10420781199889809</v>
      </c>
      <c r="AP174" s="291" t="e">
        <f t="shared" si="273"/>
        <v>#DIV/0!</v>
      </c>
      <c r="AQ174" s="291" t="e">
        <f t="shared" si="273"/>
        <v>#DIV/0!</v>
      </c>
      <c r="AR174" s="291" t="e">
        <f t="shared" si="273"/>
        <v>#DIV/0!</v>
      </c>
      <c r="AS174" s="291" t="e">
        <f t="shared" si="273"/>
        <v>#DIV/0!</v>
      </c>
      <c r="AT174" s="291" t="e">
        <f t="shared" si="273"/>
        <v>#DIV/0!</v>
      </c>
      <c r="AU174" s="278" t="e">
        <f t="shared" si="273"/>
        <v>#DIV/0!</v>
      </c>
      <c r="AV174" s="278" t="e">
        <f t="shared" si="273"/>
        <v>#DIV/0!</v>
      </c>
      <c r="AW174" s="278" t="e">
        <f t="shared" si="273"/>
        <v>#DIV/0!</v>
      </c>
      <c r="AX174" s="278" t="e">
        <f t="shared" si="273"/>
        <v>#DIV/0!</v>
      </c>
      <c r="AY174" s="278" t="e">
        <f t="shared" si="273"/>
        <v>#DIV/0!</v>
      </c>
      <c r="AZ174" s="278" t="e">
        <f t="shared" si="273"/>
        <v>#DIV/0!</v>
      </c>
      <c r="BA174" s="278">
        <f t="shared" si="273"/>
        <v>0.20040811627715194</v>
      </c>
      <c r="BB174" s="293"/>
      <c r="BC174" s="294"/>
      <c r="BD174" s="295"/>
      <c r="BF174" s="290">
        <v>1.4233621007248598E-2</v>
      </c>
      <c r="BG174" s="291">
        <v>1.1619512888338838E-2</v>
      </c>
      <c r="BH174" s="291">
        <v>1.3928040630222299E-2</v>
      </c>
      <c r="BI174" s="291">
        <v>1.0233127831874406E-2</v>
      </c>
      <c r="BJ174" s="291">
        <v>1.9023455294184841E-2</v>
      </c>
      <c r="BK174" s="291">
        <v>2.7832555924707018E-2</v>
      </c>
      <c r="BL174" s="291">
        <v>2.4889458610322969E-2</v>
      </c>
      <c r="BM174" s="291">
        <v>2.6418469254482976E-2</v>
      </c>
      <c r="BN174" s="291">
        <v>2.2864370931044205E-2</v>
      </c>
      <c r="BO174" s="291">
        <v>1.9470941863690559E-2</v>
      </c>
      <c r="BP174" s="291">
        <v>2.5506920625277863E-2</v>
      </c>
      <c r="BQ174" s="291">
        <v>2.0923839861642483E-2</v>
      </c>
      <c r="BR174" s="291">
        <v>1.8159331342759641E-2</v>
      </c>
      <c r="BS174" s="297">
        <f>BS$68/BS17</f>
        <v>1.2730808533647936E-2</v>
      </c>
      <c r="BU174" s="290">
        <v>1.4682784946972076E-2</v>
      </c>
      <c r="BV174" s="291">
        <v>1.1712930519855187E-2</v>
      </c>
      <c r="BW174" s="291">
        <v>1.4216130528359185E-2</v>
      </c>
      <c r="BX174" s="291">
        <v>1.0349076706626241E-2</v>
      </c>
      <c r="BY174" s="291">
        <v>1.9087435286400705E-2</v>
      </c>
      <c r="BZ174" s="291">
        <v>3.4743552416020174E-2</v>
      </c>
      <c r="CA174" s="278">
        <v>3.03245526164929E-2</v>
      </c>
      <c r="CB174" s="278">
        <v>2.9283780881162597E-2</v>
      </c>
      <c r="CC174" s="278">
        <v>2.5456174131605256E-2</v>
      </c>
      <c r="CD174" s="278">
        <v>2.5387443399799408E-2</v>
      </c>
      <c r="CE174" s="278">
        <v>3.1628518151508141E-2</v>
      </c>
      <c r="CF174" s="278">
        <v>2.5886504613587366E-2</v>
      </c>
      <c r="CG174" s="278">
        <v>2.2936008339952785E-2</v>
      </c>
      <c r="CH174" s="280">
        <v>2.2020994386760525E-2</v>
      </c>
      <c r="CJ174" s="290">
        <v>9.5908013668610029E-3</v>
      </c>
      <c r="CK174" s="291">
        <v>1.0292517186334546E-2</v>
      </c>
      <c r="CL174" s="291">
        <v>1.0505174768230475E-2</v>
      </c>
      <c r="CM174" s="291">
        <v>8.6686800890274675E-3</v>
      </c>
      <c r="CN174" s="291">
        <v>1.8015017593400667E-2</v>
      </c>
      <c r="CO174" s="291">
        <v>8.2837672991494908E-3</v>
      </c>
      <c r="CP174" s="278">
        <v>8.2336843757789147E-3</v>
      </c>
      <c r="CQ174" s="278">
        <v>1.246509613963085E-2</v>
      </c>
      <c r="CR174" s="278">
        <v>1.12715680766924E-2</v>
      </c>
      <c r="CS174" s="278">
        <v>6.251629354826157E-3</v>
      </c>
      <c r="CT174" s="278">
        <v>9.6985386476119689E-3</v>
      </c>
      <c r="CU174" s="278">
        <v>8.5072120085757895E-3</v>
      </c>
      <c r="CV174" s="278">
        <v>7.1253906444115047E-3</v>
      </c>
      <c r="CW174" s="280">
        <v>9.1503873363927117E-3</v>
      </c>
      <c r="CY174" s="290">
        <v>5.7726709921364899E-3</v>
      </c>
      <c r="CZ174" s="291">
        <v>5.0003493063729429E-3</v>
      </c>
      <c r="DA174" s="291">
        <v>5.9482806178559663E-3</v>
      </c>
      <c r="DB174" s="291">
        <v>4.5363621003639961E-3</v>
      </c>
      <c r="DC174" s="291">
        <v>6.5606090887299412E-3</v>
      </c>
      <c r="DD174" s="291">
        <v>1.1289276503316001E-2</v>
      </c>
      <c r="DE174" s="291">
        <v>7.9492686459402152E-3</v>
      </c>
      <c r="DF174" s="291">
        <v>1.1448442825986203E-2</v>
      </c>
      <c r="DG174" s="291">
        <v>7.6403208233188002E-3</v>
      </c>
      <c r="DH174" s="291">
        <v>1.0438264116023874E-2</v>
      </c>
      <c r="DI174" s="291">
        <v>2.0129686799320333E-2</v>
      </c>
      <c r="DJ174" s="291">
        <v>1.6520421804254077E-2</v>
      </c>
      <c r="DK174" s="297">
        <f>DK$68/DK17</f>
        <v>8.1707188642521997E-3</v>
      </c>
    </row>
    <row r="175" spans="1:115" s="296" customFormat="1" ht="14.45" hidden="1" customHeight="1">
      <c r="A175" s="288"/>
      <c r="B175" s="306" t="s">
        <v>145</v>
      </c>
      <c r="C175" s="306"/>
      <c r="D175" s="290">
        <f t="shared" ref="D175:P175" si="274">D$68/D55</f>
        <v>5.325690074572214E-2</v>
      </c>
      <c r="E175" s="291">
        <f t="shared" si="274"/>
        <v>5.2576674470662159E-2</v>
      </c>
      <c r="F175" s="291" t="e">
        <f t="shared" si="274"/>
        <v>#DIV/0!</v>
      </c>
      <c r="G175" s="291" t="e">
        <f t="shared" si="274"/>
        <v>#DIV/0!</v>
      </c>
      <c r="H175" s="291" t="e">
        <f t="shared" si="274"/>
        <v>#DIV/0!</v>
      </c>
      <c r="I175" s="291" t="e">
        <f t="shared" si="274"/>
        <v>#DIV/0!</v>
      </c>
      <c r="J175" s="278" t="e">
        <f t="shared" si="274"/>
        <v>#DIV/0!</v>
      </c>
      <c r="K175" s="278" t="e">
        <f t="shared" si="274"/>
        <v>#DIV/0!</v>
      </c>
      <c r="L175" s="278" t="e">
        <f t="shared" si="274"/>
        <v>#DIV/0!</v>
      </c>
      <c r="M175" s="278" t="e">
        <f t="shared" si="274"/>
        <v>#DIV/0!</v>
      </c>
      <c r="N175" s="278" t="e">
        <f t="shared" si="274"/>
        <v>#DIV/0!</v>
      </c>
      <c r="O175" s="278" t="e">
        <f t="shared" si="274"/>
        <v>#DIV/0!</v>
      </c>
      <c r="P175" s="278">
        <f t="shared" si="274"/>
        <v>5.2918511586285265E-2</v>
      </c>
      <c r="Q175" s="104"/>
      <c r="R175" s="302">
        <f>IF(ISERROR(IF(AND(BQ175&gt;0,$E175&lt;0),($E175-BQ175)/BQ175*100-100,IF(OR(AND(BQ175&lt;0,$E175&lt;0),AND(BQ175&gt;0,$E175&gt;0)),$E175/BQ175*100,($E175-BQ175)/cS(BQ175)*100+100))),0,IF(AND(BQ175&gt;0,$E175&lt;0),($E175-BQ175)/BQ175*100-100,IF(OR(AND(BQ175&lt;0,$E175&lt;0),AND(BQ175&gt;0,$E175&gt;0)),$E175/BQ175*100,($E175-BQ175)/cS(BQ175)*100+100)))</f>
        <v>95.347458097565251</v>
      </c>
      <c r="S175" s="302">
        <f>IF(ISERROR(IF(AND(BF175&gt;0,$E175&lt;0),($E175-BF175)/BF175*100-100,IF(OR(AND(BF175&lt;0,$E175&lt;0),AND(BF175&gt;0,$E175&gt;0)),$E175/BF175*100,($E175-BF175)/TS(BF175)*100+100))),0,IF(AND(BF175&gt;0,$E175&lt;0),($E175-BF175)/BF175*100-100,IF(OR(AND(BF175&lt;0,$E175&lt;0),AND(BF175&gt;0,$E175&gt;0)),$E175/BF175*100,($E175-BF175)/TS(BF175)*100+100)))</f>
        <v>187.12457776714891</v>
      </c>
      <c r="T175" s="302"/>
      <c r="U175" s="303"/>
      <c r="V175" s="304"/>
      <c r="W175" s="292"/>
      <c r="X175" s="290">
        <f t="shared" ref="X175:AJ175" si="275">X$68/X55</f>
        <v>5.1747487477732702E-2</v>
      </c>
      <c r="Y175" s="291">
        <f t="shared" si="275"/>
        <v>5.1678459737262997E-2</v>
      </c>
      <c r="Z175" s="291" t="e">
        <f t="shared" si="275"/>
        <v>#DIV/0!</v>
      </c>
      <c r="AA175" s="291" t="e">
        <f t="shared" si="275"/>
        <v>#DIV/0!</v>
      </c>
      <c r="AB175" s="291" t="e">
        <f t="shared" si="275"/>
        <v>#DIV/0!</v>
      </c>
      <c r="AC175" s="291" t="e">
        <f t="shared" si="275"/>
        <v>#DIV/0!</v>
      </c>
      <c r="AD175" s="278" t="e">
        <f t="shared" si="275"/>
        <v>#DIV/0!</v>
      </c>
      <c r="AE175" s="278" t="e">
        <f t="shared" si="275"/>
        <v>#DIV/0!</v>
      </c>
      <c r="AF175" s="278" t="e">
        <f t="shared" si="275"/>
        <v>#DIV/0!</v>
      </c>
      <c r="AG175" s="278" t="e">
        <f t="shared" si="275"/>
        <v>#DIV/0!</v>
      </c>
      <c r="AH175" s="278" t="e">
        <f t="shared" si="275"/>
        <v>#DIV/0!</v>
      </c>
      <c r="AI175" s="278" t="e">
        <f t="shared" si="275"/>
        <v>#DIV/0!</v>
      </c>
      <c r="AJ175" s="278">
        <f t="shared" si="275"/>
        <v>5.1713233211695554E-2</v>
      </c>
      <c r="AK175" s="278"/>
      <c r="AL175" s="281"/>
      <c r="AM175" s="280"/>
      <c r="AN175" s="292"/>
      <c r="AO175" s="290">
        <f t="shared" ref="AO175:BA175" si="276">AO$68/AO55</f>
        <v>7.0388308882246495E-2</v>
      </c>
      <c r="AP175" s="291">
        <f t="shared" si="276"/>
        <v>6.2187387765267221E-2</v>
      </c>
      <c r="AQ175" s="291" t="e">
        <f t="shared" si="276"/>
        <v>#DIV/0!</v>
      </c>
      <c r="AR175" s="291" t="e">
        <f t="shared" si="276"/>
        <v>#DIV/0!</v>
      </c>
      <c r="AS175" s="291" t="e">
        <f t="shared" si="276"/>
        <v>#DIV/0!</v>
      </c>
      <c r="AT175" s="291" t="e">
        <f t="shared" si="276"/>
        <v>#DIV/0!</v>
      </c>
      <c r="AU175" s="278" t="e">
        <f t="shared" si="276"/>
        <v>#DIV/0!</v>
      </c>
      <c r="AV175" s="278" t="e">
        <f t="shared" si="276"/>
        <v>#DIV/0!</v>
      </c>
      <c r="AW175" s="278" t="e">
        <f t="shared" si="276"/>
        <v>#DIV/0!</v>
      </c>
      <c r="AX175" s="278" t="e">
        <f t="shared" si="276"/>
        <v>#DIV/0!</v>
      </c>
      <c r="AY175" s="278" t="e">
        <f t="shared" si="276"/>
        <v>#DIV/0!</v>
      </c>
      <c r="AZ175" s="278" t="e">
        <f t="shared" si="276"/>
        <v>#DIV/0!</v>
      </c>
      <c r="BA175" s="278">
        <f t="shared" si="276"/>
        <v>6.6197815871989654E-2</v>
      </c>
      <c r="BB175" s="293"/>
      <c r="BC175" s="294"/>
      <c r="BD175" s="295"/>
      <c r="BF175" s="290">
        <v>2.80971506244822E-2</v>
      </c>
      <c r="BG175" s="291">
        <v>3.1116140901403237E-2</v>
      </c>
      <c r="BH175" s="291">
        <v>3.1828907284446678E-2</v>
      </c>
      <c r="BI175" s="291">
        <v>2.8369941250184817E-2</v>
      </c>
      <c r="BJ175" s="291">
        <v>5.143660023649281E-2</v>
      </c>
      <c r="BK175" s="291">
        <v>7.2005246783247961E-2</v>
      </c>
      <c r="BL175" s="291">
        <v>6.6823892587640543E-2</v>
      </c>
      <c r="BM175" s="291">
        <v>6.1919763273686562E-2</v>
      </c>
      <c r="BN175" s="291">
        <v>6.6948905521489577E-2</v>
      </c>
      <c r="BO175" s="291">
        <v>5.5108409421674304E-2</v>
      </c>
      <c r="BP175" s="291">
        <v>5.7416904170553063E-2</v>
      </c>
      <c r="BQ175" s="291">
        <v>5.5142187867098194E-2</v>
      </c>
      <c r="BR175" s="291">
        <v>5.2492286500079137E-2</v>
      </c>
      <c r="BS175" s="297">
        <f>BS$68/BS55</f>
        <v>2.9604254894768273E-2</v>
      </c>
      <c r="BU175" s="290">
        <v>2.8332372980824392E-2</v>
      </c>
      <c r="BV175" s="291">
        <v>3.1367813983879209E-2</v>
      </c>
      <c r="BW175" s="291">
        <v>3.209764372286375E-2</v>
      </c>
      <c r="BX175" s="291">
        <v>2.8513648544395205E-2</v>
      </c>
      <c r="BY175" s="291">
        <v>5.1845942647537238E-2</v>
      </c>
      <c r="BZ175" s="291">
        <v>7.1068578160329382E-2</v>
      </c>
      <c r="CA175" s="278">
        <v>6.613607569291291E-2</v>
      </c>
      <c r="CB175" s="278">
        <v>6.1589028639107687E-2</v>
      </c>
      <c r="CC175" s="278">
        <v>6.5759286676417145E-2</v>
      </c>
      <c r="CD175" s="278">
        <v>5.3962300130692399E-2</v>
      </c>
      <c r="CE175" s="278">
        <v>5.6137025630937511E-2</v>
      </c>
      <c r="CF175" s="278">
        <v>5.3568516609900467E-2</v>
      </c>
      <c r="CG175" s="278">
        <v>4.6269550818419436E-2</v>
      </c>
      <c r="CH175" s="280">
        <v>4.984379426610093E-2</v>
      </c>
      <c r="CJ175" s="290">
        <v>2.4834427171674972E-2</v>
      </c>
      <c r="CK175" s="291">
        <v>2.7543740984725347E-2</v>
      </c>
      <c r="CL175" s="291">
        <v>2.8052606374058278E-2</v>
      </c>
      <c r="CM175" s="291">
        <v>2.6239703411301475E-2</v>
      </c>
      <c r="CN175" s="291">
        <v>4.5444597450302403E-2</v>
      </c>
      <c r="CO175" s="291">
        <v>8.5350977370953596E-2</v>
      </c>
      <c r="CP175" s="278">
        <v>7.5710789561602307E-2</v>
      </c>
      <c r="CQ175" s="278">
        <v>6.5972795636890874E-2</v>
      </c>
      <c r="CR175" s="278">
        <v>8.1919255849291883E-2</v>
      </c>
      <c r="CS175" s="278">
        <v>6.8263497123517508E-2</v>
      </c>
      <c r="CT175" s="278">
        <v>7.1061042973801475E-2</v>
      </c>
      <c r="CU175" s="278">
        <v>7.1027973604072661E-2</v>
      </c>
      <c r="CV175" s="278" t="e">
        <v>#DIV/0!</v>
      </c>
      <c r="CW175" s="280">
        <v>5.9015976815864679E-2</v>
      </c>
      <c r="CY175" s="290">
        <v>2.4678760699121137E-2</v>
      </c>
      <c r="CZ175" s="291">
        <v>2.6240497599681605E-2</v>
      </c>
      <c r="DA175" s="291">
        <v>2.7593076058827964E-2</v>
      </c>
      <c r="DB175" s="291">
        <v>2.2074409045500065E-2</v>
      </c>
      <c r="DC175" s="291">
        <v>2.5804135710167948E-2</v>
      </c>
      <c r="DD175" s="291">
        <v>2.7199998588703228E-2</v>
      </c>
      <c r="DE175" s="291">
        <v>2.4606568065942917E-2</v>
      </c>
      <c r="DF175" s="291">
        <v>2.8322001902640941E-2</v>
      </c>
      <c r="DG175" s="291">
        <v>2.839404874485417E-2</v>
      </c>
      <c r="DH175" s="291">
        <v>2.7454383157695762E-2</v>
      </c>
      <c r="DI175" s="291">
        <v>3.1064906159398404E-2</v>
      </c>
      <c r="DJ175" s="291">
        <v>3.0960150379119845E-2</v>
      </c>
      <c r="DK175" s="297">
        <f>DK$68/DK55</f>
        <v>2.7134049561264733E-2</v>
      </c>
    </row>
    <row r="176" spans="1:115" s="296" customFormat="1" ht="14.45" hidden="1" customHeight="1">
      <c r="A176" s="288"/>
      <c r="B176" s="289" t="s">
        <v>140</v>
      </c>
      <c r="C176" s="289"/>
      <c r="D176" s="290">
        <f>D$68/D102</f>
        <v>0.17582270605412745</v>
      </c>
      <c r="E176" s="291">
        <f>E$68/E102</f>
        <v>0.25544888258311127</v>
      </c>
      <c r="F176" s="291" t="e">
        <f t="shared" ref="F176:P176" si="277">F$68/F102</f>
        <v>#DIV/0!</v>
      </c>
      <c r="G176" s="291" t="e">
        <f t="shared" si="277"/>
        <v>#DIV/0!</v>
      </c>
      <c r="H176" s="291" t="e">
        <f t="shared" si="277"/>
        <v>#DIV/0!</v>
      </c>
      <c r="I176" s="291" t="e">
        <f t="shared" si="277"/>
        <v>#DIV/0!</v>
      </c>
      <c r="J176" s="278" t="e">
        <f t="shared" si="277"/>
        <v>#DIV/0!</v>
      </c>
      <c r="K176" s="278" t="e">
        <f t="shared" si="277"/>
        <v>#DIV/0!</v>
      </c>
      <c r="L176" s="278" t="e">
        <f t="shared" si="277"/>
        <v>#DIV/0!</v>
      </c>
      <c r="M176" s="278" t="e">
        <f t="shared" si="277"/>
        <v>#DIV/0!</v>
      </c>
      <c r="N176" s="278" t="e">
        <f t="shared" si="277"/>
        <v>#DIV/0!</v>
      </c>
      <c r="O176" s="278" t="e">
        <f t="shared" si="277"/>
        <v>#DIV/0!</v>
      </c>
      <c r="P176" s="278">
        <f t="shared" si="277"/>
        <v>0.20784391288293436</v>
      </c>
      <c r="Q176" s="104"/>
      <c r="R176" s="302">
        <f>IF(ISERROR(IF(AND(BQ176&gt;0,$E176&lt;0),($E176-BQ176)/BQ176*100-100,IF(OR(AND(BQ176&lt;0,$E176&lt;0),AND(BQ176&gt;0,$E176&gt;0)),$E176/BQ176*100,($E176-BQ176)/cS(BQ176)*100+100))),0,IF(AND(BQ176&gt;0,$E176&lt;0),($E176-BQ176)/BQ176*100-100,IF(OR(AND(BQ176&lt;0,$E176&lt;0),AND(BQ176&gt;0,$E176&gt;0)),$E176/BQ176*100,($E176-BQ176)/cS(BQ176)*100+100)))</f>
        <v>149.54398143038793</v>
      </c>
      <c r="S176" s="302">
        <f>IF(ISERROR(IF(AND(BF176&gt;0,$E176&lt;0),($E176-BF176)/BF176*100-100,IF(OR(AND(BF176&lt;0,$E176&lt;0),AND(BF176&gt;0,$E176&gt;0)),$E176/BF176*100,($E176-BF176)/TS(BF176)*100+100))),0,IF(AND(BF176&gt;0,$E176&lt;0),($E176-BF176)/BF176*100-100,IF(OR(AND(BF176&lt;0,$E176&lt;0),AND(BF176&gt;0,$E176&gt;0)),$E176/BF176*100,($E176-BF176)/TS(BF176)*100+100)))</f>
        <v>342.69632040991098</v>
      </c>
      <c r="T176" s="302"/>
      <c r="U176" s="303"/>
      <c r="V176" s="304"/>
      <c r="W176" s="292"/>
      <c r="X176" s="290">
        <f t="shared" ref="X176:AJ176" si="278">X$68/X102</f>
        <v>0.10124828123611457</v>
      </c>
      <c r="Y176" s="291">
        <f t="shared" si="278"/>
        <v>0.11829780573637132</v>
      </c>
      <c r="Z176" s="291" t="e">
        <f t="shared" si="278"/>
        <v>#DIV/0!</v>
      </c>
      <c r="AA176" s="291" t="e">
        <f t="shared" si="278"/>
        <v>#DIV/0!</v>
      </c>
      <c r="AB176" s="291" t="e">
        <f t="shared" si="278"/>
        <v>#DIV/0!</v>
      </c>
      <c r="AC176" s="291" t="e">
        <f t="shared" si="278"/>
        <v>#DIV/0!</v>
      </c>
      <c r="AD176" s="278" t="e">
        <f t="shared" si="278"/>
        <v>#DIV/0!</v>
      </c>
      <c r="AE176" s="278" t="e">
        <f t="shared" si="278"/>
        <v>#DIV/0!</v>
      </c>
      <c r="AF176" s="278" t="e">
        <f t="shared" si="278"/>
        <v>#DIV/0!</v>
      </c>
      <c r="AG176" s="278" t="e">
        <f t="shared" si="278"/>
        <v>#DIV/0!</v>
      </c>
      <c r="AH176" s="278" t="e">
        <f t="shared" si="278"/>
        <v>#DIV/0!</v>
      </c>
      <c r="AI176" s="278" t="e">
        <f t="shared" si="278"/>
        <v>#DIV/0!</v>
      </c>
      <c r="AJ176" s="278">
        <f t="shared" si="278"/>
        <v>0.1090416818612593</v>
      </c>
      <c r="AK176" s="278"/>
      <c r="AL176" s="281"/>
      <c r="AM176" s="280"/>
      <c r="AN176" s="292"/>
      <c r="AO176" s="290">
        <f t="shared" ref="AO176:BA176" si="279">AO$68/AO102</f>
        <v>-3.4168434764897136E-2</v>
      </c>
      <c r="AP176" s="291">
        <f t="shared" si="279"/>
        <v>-2.7441750700466651E-2</v>
      </c>
      <c r="AQ176" s="291" t="e">
        <f t="shared" si="279"/>
        <v>#DIV/0!</v>
      </c>
      <c r="AR176" s="291" t="e">
        <f t="shared" si="279"/>
        <v>#DIV/0!</v>
      </c>
      <c r="AS176" s="291" t="e">
        <f t="shared" si="279"/>
        <v>#DIV/0!</v>
      </c>
      <c r="AT176" s="291" t="e">
        <f t="shared" si="279"/>
        <v>#DIV/0!</v>
      </c>
      <c r="AU176" s="278" t="e">
        <f t="shared" si="279"/>
        <v>#DIV/0!</v>
      </c>
      <c r="AV176" s="278" t="e">
        <f t="shared" si="279"/>
        <v>#DIV/0!</v>
      </c>
      <c r="AW176" s="278" t="e">
        <f t="shared" si="279"/>
        <v>#DIV/0!</v>
      </c>
      <c r="AX176" s="278" t="e">
        <f t="shared" si="279"/>
        <v>#DIV/0!</v>
      </c>
      <c r="AY176" s="278" t="e">
        <f t="shared" si="279"/>
        <v>#DIV/0!</v>
      </c>
      <c r="AZ176" s="278" t="e">
        <f t="shared" si="279"/>
        <v>#DIV/0!</v>
      </c>
      <c r="BA176" s="278">
        <f t="shared" si="279"/>
        <v>-3.057124402104491E-2</v>
      </c>
      <c r="BB176" s="293"/>
      <c r="BC176" s="294"/>
      <c r="BD176" s="295"/>
      <c r="BF176" s="290">
        <v>7.4540888643788175E-2</v>
      </c>
      <c r="BG176" s="291">
        <v>0.10780713243623836</v>
      </c>
      <c r="BH176" s="291">
        <v>8.376906872684943E-2</v>
      </c>
      <c r="BI176" s="291">
        <v>0.10070246652783262</v>
      </c>
      <c r="BJ176" s="291">
        <v>0.13027755177741421</v>
      </c>
      <c r="BK176" s="291">
        <v>0.30433236782764084</v>
      </c>
      <c r="BL176" s="291">
        <v>0.20455016989244179</v>
      </c>
      <c r="BM176" s="291">
        <v>0.1692015036308965</v>
      </c>
      <c r="BN176" s="291">
        <v>0.3850186858968685</v>
      </c>
      <c r="BO176" s="291">
        <v>0.14711044424806474</v>
      </c>
      <c r="BP176" s="291">
        <v>0.16342418659861502</v>
      </c>
      <c r="BQ176" s="291">
        <v>0.17081856463880601</v>
      </c>
      <c r="BR176" s="291">
        <v>6.9114636921224368E-2</v>
      </c>
      <c r="BS176" s="297">
        <f>BS$68/BS102</f>
        <v>8.8941221940115278E-2</v>
      </c>
      <c r="BU176" s="290">
        <v>7.3151005750049305E-2</v>
      </c>
      <c r="BV176" s="291">
        <v>8.2659356510140211E-2</v>
      </c>
      <c r="BW176" s="291">
        <v>7.1331432283984295E-2</v>
      </c>
      <c r="BX176" s="291">
        <v>7.5105597146585698E-2</v>
      </c>
      <c r="BY176" s="291">
        <v>0.10608788945006685</v>
      </c>
      <c r="BZ176" s="291">
        <v>0.19155346783557164</v>
      </c>
      <c r="CA176" s="278">
        <v>0.1507752379077984</v>
      </c>
      <c r="CB176" s="278">
        <v>0.12454037634404017</v>
      </c>
      <c r="CC176" s="278">
        <v>0.17810355719679158</v>
      </c>
      <c r="CD176" s="278">
        <v>9.6488928731071261E-2</v>
      </c>
      <c r="CE176" s="278">
        <v>0.10507458696376151</v>
      </c>
      <c r="CF176" s="278">
        <v>0.10430823199454504</v>
      </c>
      <c r="CG176" s="278">
        <v>6.8083985640631256E-2</v>
      </c>
      <c r="CH176" s="280">
        <v>0.11009211836268992</v>
      </c>
      <c r="CJ176" s="290">
        <v>0.1065888224368359</v>
      </c>
      <c r="CK176" s="291">
        <v>-2.7515566499730776E-2</v>
      </c>
      <c r="CL176" s="291">
        <v>-4.6448667058470124E-2</v>
      </c>
      <c r="CM176" s="291">
        <v>-2.2429090855175401E-2</v>
      </c>
      <c r="CN176" s="291">
        <v>-4.6397336695176858E-2</v>
      </c>
      <c r="CO176" s="291">
        <v>-5.0849603162983474E-2</v>
      </c>
      <c r="CP176" s="278">
        <v>-6.7611207903706186E-2</v>
      </c>
      <c r="CQ176" s="278">
        <v>-5.4535524853419171E-2</v>
      </c>
      <c r="CR176" s="278">
        <v>-3.5862867939610299E-2</v>
      </c>
      <c r="CS176" s="278">
        <v>-3.9122798533545132E-2</v>
      </c>
      <c r="CT176" s="278">
        <v>-4.44491428022631E-2</v>
      </c>
      <c r="CU176" s="278">
        <v>-4.4316542267256703E-2</v>
      </c>
      <c r="CV176" s="278">
        <v>-0.14440967456613299</v>
      </c>
      <c r="CW176" s="280">
        <v>-4.6316493839582182E-2</v>
      </c>
      <c r="CY176" s="290">
        <v>4.5971979381180528E-2</v>
      </c>
      <c r="CZ176" s="291">
        <v>5.1126724802140672E-2</v>
      </c>
      <c r="DA176" s="291">
        <v>5.1515524975145499E-2</v>
      </c>
      <c r="DB176" s="291">
        <v>4.2667127677366502E-2</v>
      </c>
      <c r="DC176" s="291">
        <v>5.0876802757001315E-2</v>
      </c>
      <c r="DD176" s="291">
        <v>5.6561504248761198E-2</v>
      </c>
      <c r="DE176" s="291">
        <v>5.7398299756046961E-2</v>
      </c>
      <c r="DF176" s="291">
        <v>6.8071404667033833E-2</v>
      </c>
      <c r="DG176" s="291">
        <v>7.6913194874340118E-2</v>
      </c>
      <c r="DH176" s="291">
        <v>5.7201651334547313E-2</v>
      </c>
      <c r="DI176" s="291">
        <v>8.6411431391405516E-2</v>
      </c>
      <c r="DJ176" s="291">
        <v>6.9981100046932726E-2</v>
      </c>
      <c r="DK176" s="297">
        <f>DK$68/DK102</f>
        <v>5.8704818466360845E-2</v>
      </c>
    </row>
    <row r="177" spans="1:115" ht="14.45" hidden="1" customHeight="1">
      <c r="A177" s="12"/>
      <c r="B177" s="307"/>
      <c r="C177" s="307"/>
      <c r="D177" s="277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104"/>
      <c r="R177" s="266">
        <f ca="1">IF(ISERROR(IF(AND(BQ177&gt;0,$E177&lt;0),($E177-BQ177)/BQ177*100-100,IF(OR(AND(BQ177&lt;0,$E177&lt;0),AND(BQ177&gt;0,$E177&gt;0)),$E177/BQ177*100,($E177-BQ177)/cS(BQ177)*100+100))),0,IF(AND(BQ177&gt;0,$E177&lt;0),($E177-BQ177)/BQ177*100-100,IF(OR(AND(BQ177&lt;0,$E177&lt;0),AND(BQ177&gt;0,$E177&gt;0)),$E177/BQ177*100,($E177-BQ177)/cS(BQ177)*100+100)))</f>
        <v>0</v>
      </c>
      <c r="S177" s="266"/>
      <c r="T177" s="266"/>
      <c r="U177" s="88"/>
      <c r="V177" s="267"/>
      <c r="W177" s="3"/>
      <c r="X177" s="277"/>
      <c r="Y177" s="282"/>
      <c r="Z177" s="282"/>
      <c r="AA177" s="282"/>
      <c r="AB177" s="282"/>
      <c r="AC177" s="282"/>
      <c r="AD177" s="282"/>
      <c r="AE177" s="282"/>
      <c r="AF177" s="282"/>
      <c r="AG177" s="282"/>
      <c r="AH177" s="282"/>
      <c r="AI177" s="282"/>
      <c r="AJ177" s="282"/>
      <c r="AK177" s="282"/>
      <c r="AL177" s="283"/>
      <c r="AM177" s="284"/>
      <c r="AN177" s="3"/>
      <c r="AO177" s="277"/>
      <c r="AP177" s="282"/>
      <c r="AQ177" s="282"/>
      <c r="AR177" s="282"/>
      <c r="AS177" s="282"/>
      <c r="AT177" s="282"/>
      <c r="AU177" s="282"/>
      <c r="AV177" s="282"/>
      <c r="AW177" s="282"/>
      <c r="AX177" s="282"/>
      <c r="AY177" s="282"/>
      <c r="AZ177" s="282"/>
      <c r="BA177" s="282"/>
      <c r="BB177" s="258"/>
      <c r="BC177" s="38"/>
      <c r="BD177" s="259"/>
      <c r="BF177" s="277"/>
      <c r="BG177" s="282"/>
      <c r="BH177" s="282"/>
      <c r="BI177" s="282"/>
      <c r="BJ177" s="282"/>
      <c r="BK177" s="282"/>
      <c r="BL177" s="282"/>
      <c r="BM177" s="282"/>
      <c r="BN177" s="282"/>
      <c r="BO177" s="282"/>
      <c r="BP177" s="282"/>
      <c r="BQ177" s="282"/>
      <c r="BR177" s="282"/>
      <c r="BS177" s="285"/>
      <c r="BU177" s="277"/>
      <c r="BV177" s="282"/>
      <c r="BW177" s="282"/>
      <c r="BX177" s="282"/>
      <c r="BY177" s="282"/>
      <c r="BZ177" s="282"/>
      <c r="CA177" s="282"/>
      <c r="CB177" s="282"/>
      <c r="CC177" s="282"/>
      <c r="CD177" s="282"/>
      <c r="CE177" s="282"/>
      <c r="CF177" s="282"/>
      <c r="CG177" s="282"/>
      <c r="CH177" s="284"/>
      <c r="CJ177" s="277"/>
      <c r="CK177" s="282"/>
      <c r="CL177" s="282"/>
      <c r="CM177" s="282"/>
      <c r="CN177" s="282"/>
      <c r="CO177" s="282"/>
      <c r="CP177" s="282"/>
      <c r="CQ177" s="282"/>
      <c r="CR177" s="282"/>
      <c r="CS177" s="282"/>
      <c r="CT177" s="282"/>
      <c r="CU177" s="282"/>
      <c r="CV177" s="282"/>
      <c r="CW177" s="284"/>
      <c r="CY177" s="277"/>
      <c r="CZ177" s="282"/>
      <c r="DA177" s="282"/>
      <c r="DB177" s="282"/>
      <c r="DC177" s="282"/>
      <c r="DD177" s="282"/>
      <c r="DE177" s="282"/>
      <c r="DF177" s="282"/>
      <c r="DG177" s="282"/>
      <c r="DH177" s="282"/>
      <c r="DI177" s="282"/>
      <c r="DJ177" s="282"/>
      <c r="DK177" s="285"/>
    </row>
    <row r="178" spans="1:115" s="296" customFormat="1" ht="14.45" hidden="1" customHeight="1">
      <c r="A178" s="288"/>
      <c r="B178" s="308" t="s">
        <v>146</v>
      </c>
      <c r="C178" s="308"/>
      <c r="D178" s="290"/>
      <c r="E178" s="301"/>
      <c r="F178" s="301"/>
      <c r="G178" s="301"/>
      <c r="H178" s="301"/>
      <c r="I178" s="301"/>
      <c r="J178" s="282"/>
      <c r="K178" s="282"/>
      <c r="L178" s="282"/>
      <c r="M178" s="282"/>
      <c r="N178" s="282"/>
      <c r="O178" s="282"/>
      <c r="P178" s="282"/>
      <c r="Q178" s="104"/>
      <c r="R178" s="302">
        <f ca="1">IF(ISERROR(IF(AND(BQ178&gt;0,$E178&lt;0),($E178-BQ178)/BQ178*100-100,IF(OR(AND(BQ178&lt;0,$E178&lt;0),AND(BQ178&gt;0,$E178&gt;0)),$E178/BQ178*100,($E178-BQ178)/cS(BQ178)*100+100))),0,IF(AND(BQ178&gt;0,$E178&lt;0),($E178-BQ178)/BQ178*100-100,IF(OR(AND(BQ178&lt;0,$E178&lt;0),AND(BQ178&gt;0,$E178&gt;0)),$E178/BQ178*100,($E178-BQ178)/cS(BQ178)*100+100)))</f>
        <v>0</v>
      </c>
      <c r="S178" s="302"/>
      <c r="T178" s="302"/>
      <c r="U178" s="303"/>
      <c r="V178" s="304"/>
      <c r="W178" s="292"/>
      <c r="X178" s="290"/>
      <c r="Y178" s="301"/>
      <c r="Z178" s="301"/>
      <c r="AA178" s="301"/>
      <c r="AB178" s="301"/>
      <c r="AC178" s="301"/>
      <c r="AD178" s="282"/>
      <c r="AE178" s="282"/>
      <c r="AF178" s="282"/>
      <c r="AG178" s="282"/>
      <c r="AH178" s="282"/>
      <c r="AI178" s="282"/>
      <c r="AJ178" s="282"/>
      <c r="AK178" s="282"/>
      <c r="AL178" s="283"/>
      <c r="AM178" s="284"/>
      <c r="AN178" s="292"/>
      <c r="AO178" s="290"/>
      <c r="AP178" s="301"/>
      <c r="AQ178" s="301"/>
      <c r="AR178" s="301"/>
      <c r="AS178" s="301"/>
      <c r="AT178" s="301"/>
      <c r="AU178" s="282"/>
      <c r="AV178" s="282"/>
      <c r="AW178" s="282"/>
      <c r="AX178" s="282"/>
      <c r="AY178" s="282"/>
      <c r="AZ178" s="282"/>
      <c r="BA178" s="282"/>
      <c r="BB178" s="293"/>
      <c r="BC178" s="294"/>
      <c r="BD178" s="295"/>
      <c r="BF178" s="290"/>
      <c r="BG178" s="301"/>
      <c r="BH178" s="301"/>
      <c r="BI178" s="301"/>
      <c r="BJ178" s="301"/>
      <c r="BK178" s="301"/>
      <c r="BL178" s="301"/>
      <c r="BM178" s="301"/>
      <c r="BN178" s="301"/>
      <c r="BO178" s="301"/>
      <c r="BP178" s="301"/>
      <c r="BQ178" s="301"/>
      <c r="BR178" s="301"/>
      <c r="BS178" s="305"/>
      <c r="BU178" s="290"/>
      <c r="BV178" s="301"/>
      <c r="BW178" s="301"/>
      <c r="BX178" s="301"/>
      <c r="BY178" s="301"/>
      <c r="BZ178" s="301"/>
      <c r="CA178" s="282"/>
      <c r="CB178" s="282"/>
      <c r="CC178" s="282"/>
      <c r="CD178" s="282"/>
      <c r="CE178" s="282"/>
      <c r="CF178" s="282"/>
      <c r="CG178" s="282"/>
      <c r="CH178" s="284"/>
      <c r="CJ178" s="290"/>
      <c r="CK178" s="301"/>
      <c r="CL178" s="301"/>
      <c r="CM178" s="301"/>
      <c r="CN178" s="301"/>
      <c r="CO178" s="301"/>
      <c r="CP178" s="282"/>
      <c r="CQ178" s="282"/>
      <c r="CR178" s="282"/>
      <c r="CS178" s="282"/>
      <c r="CT178" s="282"/>
      <c r="CU178" s="282"/>
      <c r="CV178" s="282"/>
      <c r="CW178" s="284"/>
      <c r="CY178" s="290"/>
      <c r="CZ178" s="301"/>
      <c r="DA178" s="301"/>
      <c r="DB178" s="301"/>
      <c r="DC178" s="301"/>
      <c r="DD178" s="301"/>
      <c r="DE178" s="301"/>
      <c r="DF178" s="301"/>
      <c r="DG178" s="301"/>
      <c r="DH178" s="301"/>
      <c r="DI178" s="301"/>
      <c r="DJ178" s="301"/>
      <c r="DK178" s="305"/>
    </row>
    <row r="179" spans="1:115" s="296" customFormat="1" ht="14.45" hidden="1" customHeight="1">
      <c r="A179" s="288"/>
      <c r="B179" s="306" t="s">
        <v>145</v>
      </c>
      <c r="C179" s="306"/>
      <c r="D179" s="290">
        <f t="shared" ref="D179:P179" si="280">D$141/D55</f>
        <v>0.17541632100652038</v>
      </c>
      <c r="E179" s="291">
        <f t="shared" si="280"/>
        <v>0.16060261002257079</v>
      </c>
      <c r="F179" s="291" t="e">
        <f t="shared" si="280"/>
        <v>#DIV/0!</v>
      </c>
      <c r="G179" s="291" t="e">
        <f t="shared" si="280"/>
        <v>#DIV/0!</v>
      </c>
      <c r="H179" s="291" t="e">
        <f t="shared" si="280"/>
        <v>#DIV/0!</v>
      </c>
      <c r="I179" s="291" t="e">
        <f t="shared" si="280"/>
        <v>#DIV/0!</v>
      </c>
      <c r="J179" s="278" t="e">
        <f t="shared" si="280"/>
        <v>#DIV/0!</v>
      </c>
      <c r="K179" s="278" t="e">
        <f t="shared" si="280"/>
        <v>#DIV/0!</v>
      </c>
      <c r="L179" s="278" t="e">
        <f t="shared" si="280"/>
        <v>#DIV/0!</v>
      </c>
      <c r="M179" s="278" t="e">
        <f t="shared" si="280"/>
        <v>#DIV/0!</v>
      </c>
      <c r="N179" s="278" t="e">
        <f t="shared" si="280"/>
        <v>#DIV/0!</v>
      </c>
      <c r="O179" s="278" t="e">
        <f t="shared" si="280"/>
        <v>#DIV/0!</v>
      </c>
      <c r="P179" s="278">
        <f t="shared" si="280"/>
        <v>0.16804700965853195</v>
      </c>
      <c r="Q179" s="104"/>
      <c r="R179" s="302">
        <f>IF(ISERROR(IF(AND(BQ179&gt;0,$E179&lt;0),($E179-BQ179)/BQ179*100-100,IF(OR(AND(BQ179&lt;0,$E179&lt;0),AND(BQ179&gt;0,$E179&gt;0)),$E179/BQ179*100,($E179-BQ179)/cS(BQ179)*100+100))),0,IF(AND(BQ179&gt;0,$E179&lt;0),($E179-BQ179)/BQ179*100-100,IF(OR(AND(BQ179&lt;0,$E179&lt;0),AND(BQ179&gt;0,$E179&gt;0)),$E179/BQ179*100,($E179-BQ179)/cS(BQ179)*100+100)))</f>
        <v>111.07088243610224</v>
      </c>
      <c r="S179" s="302">
        <f>IF(ISERROR(IF(AND(BF179&gt;0,$E179&lt;0),($E179-BF179)/BF179*100-100,IF(OR(AND(BF179&lt;0,$E179&lt;0),AND(BF179&gt;0,$E179&gt;0)),$E179/BF179*100,($E179-BF179)/TS(BF179)*100+100))),0,IF(AND(BF179&gt;0,$E179&lt;0),($E179-BF179)/BF179*100-100,IF(OR(AND(BF179&lt;0,$E179&lt;0),AND(BF179&gt;0,$E179&gt;0)),$E179/BF179*100,($E179-BF179)/TS(BF179)*100+100)))</f>
        <v>138.74676612488236</v>
      </c>
      <c r="T179" s="302"/>
      <c r="U179" s="303"/>
      <c r="V179" s="304"/>
      <c r="W179" s="292"/>
      <c r="X179" s="290">
        <f t="shared" ref="X179:AJ179" si="281">X$141/X55</f>
        <v>0.17044465125778072</v>
      </c>
      <c r="Y179" s="291">
        <f t="shared" si="281"/>
        <v>0.15802544016275893</v>
      </c>
      <c r="Z179" s="291" t="e">
        <f t="shared" si="281"/>
        <v>#DIV/0!</v>
      </c>
      <c r="AA179" s="291" t="e">
        <f t="shared" si="281"/>
        <v>#DIV/0!</v>
      </c>
      <c r="AB179" s="291" t="e">
        <f t="shared" si="281"/>
        <v>#DIV/0!</v>
      </c>
      <c r="AC179" s="291" t="e">
        <f t="shared" si="281"/>
        <v>#DIV/0!</v>
      </c>
      <c r="AD179" s="278" t="e">
        <f t="shared" si="281"/>
        <v>#DIV/0!</v>
      </c>
      <c r="AE179" s="278" t="e">
        <f t="shared" si="281"/>
        <v>#DIV/0!</v>
      </c>
      <c r="AF179" s="278" t="e">
        <f t="shared" si="281"/>
        <v>#DIV/0!</v>
      </c>
      <c r="AG179" s="278" t="e">
        <f t="shared" si="281"/>
        <v>#DIV/0!</v>
      </c>
      <c r="AH179" s="278" t="e">
        <f t="shared" si="281"/>
        <v>#DIV/0!</v>
      </c>
      <c r="AI179" s="278" t="e">
        <f t="shared" si="281"/>
        <v>#DIV/0!</v>
      </c>
      <c r="AJ179" s="278">
        <f t="shared" si="281"/>
        <v>0.16428175271980774</v>
      </c>
      <c r="AK179" s="278"/>
      <c r="AL179" s="281"/>
      <c r="AM179" s="280"/>
      <c r="AN179" s="292"/>
      <c r="AO179" s="290">
        <f t="shared" ref="AO179:BA179" si="282">AO$141/AO55</f>
        <v>0.23184334824414385</v>
      </c>
      <c r="AP179" s="291">
        <f t="shared" si="282"/>
        <v>0.18817779181824845</v>
      </c>
      <c r="AQ179" s="291" t="e">
        <f t="shared" si="282"/>
        <v>#DIV/0!</v>
      </c>
      <c r="AR179" s="291" t="e">
        <f t="shared" si="282"/>
        <v>#DIV/0!</v>
      </c>
      <c r="AS179" s="291" t="e">
        <f t="shared" si="282"/>
        <v>#DIV/0!</v>
      </c>
      <c r="AT179" s="291" t="e">
        <f t="shared" si="282"/>
        <v>#DIV/0!</v>
      </c>
      <c r="AU179" s="278" t="e">
        <f t="shared" si="282"/>
        <v>#DIV/0!</v>
      </c>
      <c r="AV179" s="278" t="e">
        <f t="shared" si="282"/>
        <v>#DIV/0!</v>
      </c>
      <c r="AW179" s="278" t="e">
        <f t="shared" si="282"/>
        <v>#DIV/0!</v>
      </c>
      <c r="AX179" s="278" t="e">
        <f t="shared" si="282"/>
        <v>#DIV/0!</v>
      </c>
      <c r="AY179" s="278" t="e">
        <f t="shared" si="282"/>
        <v>#DIV/0!</v>
      </c>
      <c r="AZ179" s="278" t="e">
        <f t="shared" si="282"/>
        <v>#DIV/0!</v>
      </c>
      <c r="BA179" s="278">
        <f t="shared" si="282"/>
        <v>0.20953119496506326</v>
      </c>
      <c r="BB179" s="293"/>
      <c r="BC179" s="294"/>
      <c r="BD179" s="295"/>
      <c r="BF179" s="290">
        <v>0.11575232670865752</v>
      </c>
      <c r="BG179" s="291">
        <v>0.11416721730249502</v>
      </c>
      <c r="BH179" s="291">
        <v>0.11871208517905033</v>
      </c>
      <c r="BI179" s="291">
        <v>0.12712074120339126</v>
      </c>
      <c r="BJ179" s="291">
        <v>0.13744198074064498</v>
      </c>
      <c r="BK179" s="291">
        <v>0.13942938359592846</v>
      </c>
      <c r="BL179" s="291">
        <v>0.16088990987280763</v>
      </c>
      <c r="BM179" s="291">
        <v>0.14428281498562542</v>
      </c>
      <c r="BN179" s="291">
        <v>0.13993774366565226</v>
      </c>
      <c r="BO179" s="291">
        <v>0.15635394774683764</v>
      </c>
      <c r="BP179" s="291">
        <v>0.15333264801321692</v>
      </c>
      <c r="BQ179" s="291">
        <v>0.14459470069931565</v>
      </c>
      <c r="BR179" s="291">
        <v>0.17639984577411311</v>
      </c>
      <c r="BS179" s="297">
        <f>BS$141/BS55</f>
        <v>0.11496102732185245</v>
      </c>
      <c r="BU179" s="290">
        <v>0.11672137639644961</v>
      </c>
      <c r="BV179" s="291">
        <v>0.11509151185913273</v>
      </c>
      <c r="BW179" s="291">
        <v>0.11971458519720445</v>
      </c>
      <c r="BX179" s="291">
        <v>0.12776486411339102</v>
      </c>
      <c r="BY179" s="291">
        <v>0.13853595354800893</v>
      </c>
      <c r="BZ179" s="291">
        <v>0.13761626372786323</v>
      </c>
      <c r="CA179" s="278">
        <v>0.15923574814212121</v>
      </c>
      <c r="CB179" s="278">
        <v>0.14351484737763759</v>
      </c>
      <c r="CC179" s="278">
        <v>0.13745346513716641</v>
      </c>
      <c r="CD179" s="278">
        <v>0.15310685606554039</v>
      </c>
      <c r="CE179" s="278">
        <v>0.1499173104366901</v>
      </c>
      <c r="CF179" s="278">
        <v>0.14051795672403869</v>
      </c>
      <c r="CG179" s="278">
        <v>0.15726841271752651</v>
      </c>
      <c r="CH179" s="280">
        <v>0.13699641432285742</v>
      </c>
      <c r="CJ179" s="290">
        <v>0.10231082738664929</v>
      </c>
      <c r="CK179" s="291">
        <v>0.10104722145457334</v>
      </c>
      <c r="CL179" s="291">
        <v>0.10462489345499981</v>
      </c>
      <c r="CM179" s="291">
        <v>0.11757261768389692</v>
      </c>
      <c r="CN179" s="291">
        <v>0.12142827697362914</v>
      </c>
      <c r="CO179" s="291">
        <v>0.16526286268378071</v>
      </c>
      <c r="CP179" s="278">
        <v>0.18226240739586069</v>
      </c>
      <c r="CQ179" s="278">
        <v>0.1536939780258389</v>
      </c>
      <c r="CR179" s="278">
        <v>0.17120029472334461</v>
      </c>
      <c r="CS179" s="278">
        <v>0.19362419429269245</v>
      </c>
      <c r="CT179" s="278">
        <v>0.1897695120828565</v>
      </c>
      <c r="CU179" s="278">
        <v>0.18577620172721859</v>
      </c>
      <c r="CV179" s="278" t="e">
        <v>#DIV/0!</v>
      </c>
      <c r="CW179" s="280">
        <v>0.15788776096170029</v>
      </c>
      <c r="CY179" s="290">
        <v>0.13236489384960895</v>
      </c>
      <c r="CZ179" s="291">
        <v>0.12702273453757187</v>
      </c>
      <c r="DA179" s="291">
        <v>0.11079425670825112</v>
      </c>
      <c r="DB179" s="291">
        <v>0.11170618243371237</v>
      </c>
      <c r="DC179" s="291">
        <v>0.10892859087977567</v>
      </c>
      <c r="DD179" s="291">
        <v>0.11184106362322875</v>
      </c>
      <c r="DE179" s="291">
        <v>0.11758727744390772</v>
      </c>
      <c r="DF179" s="291">
        <v>0.11434993584867512</v>
      </c>
      <c r="DG179" s="291">
        <v>0.11291880256860283</v>
      </c>
      <c r="DH179" s="291">
        <v>0.10875814727664873</v>
      </c>
      <c r="DI179" s="291">
        <v>0.1093070776171354</v>
      </c>
      <c r="DJ179" s="291">
        <v>0.12021945457317383</v>
      </c>
      <c r="DK179" s="297">
        <f>DK$141/DK55</f>
        <v>0.11503719948177321</v>
      </c>
    </row>
    <row r="180" spans="1:115" s="296" customFormat="1" ht="14.45" hidden="1" customHeight="1">
      <c r="A180" s="288"/>
      <c r="B180" s="306" t="s">
        <v>147</v>
      </c>
      <c r="C180" s="306"/>
      <c r="D180" s="290">
        <f>D$141/D102</f>
        <v>0.57912067381997046</v>
      </c>
      <c r="E180" s="291">
        <f>E$141/E102</f>
        <v>0.78030338896936735</v>
      </c>
      <c r="F180" s="291" t="e">
        <f t="shared" ref="F180:P180" si="283">F$141/F102</f>
        <v>#DIV/0!</v>
      </c>
      <c r="G180" s="291" t="e">
        <f t="shared" si="283"/>
        <v>#DIV/0!</v>
      </c>
      <c r="H180" s="291" t="e">
        <f t="shared" si="283"/>
        <v>#DIV/0!</v>
      </c>
      <c r="I180" s="291" t="e">
        <f t="shared" si="283"/>
        <v>#DIV/0!</v>
      </c>
      <c r="J180" s="278" t="e">
        <f t="shared" si="283"/>
        <v>#DIV/0!</v>
      </c>
      <c r="K180" s="278" t="e">
        <f t="shared" si="283"/>
        <v>#DIV/0!</v>
      </c>
      <c r="L180" s="278" t="e">
        <f t="shared" si="283"/>
        <v>#DIV/0!</v>
      </c>
      <c r="M180" s="278" t="e">
        <f t="shared" si="283"/>
        <v>#DIV/0!</v>
      </c>
      <c r="N180" s="278" t="e">
        <f t="shared" si="283"/>
        <v>#DIV/0!</v>
      </c>
      <c r="O180" s="278" t="e">
        <f t="shared" si="283"/>
        <v>#DIV/0!</v>
      </c>
      <c r="P180" s="278">
        <f t="shared" si="283"/>
        <v>0.66002514032835369</v>
      </c>
      <c r="Q180" s="104"/>
      <c r="R180" s="302">
        <f>IF(ISERROR(IF(AND(BQ180&gt;0,$E180&lt;0),($E180-BQ180)/BQ180*100-100,IF(OR(AND(BQ180&lt;0,$E180&lt;0),AND(BQ180&gt;0,$E180&gt;0)),$E180/BQ180*100,($E180-BQ180)/cS(BQ180)*100+100))),0,IF(AND(BQ180&gt;0,$E180&lt;0),($E180-BQ180)/BQ180*100-100,IF(OR(AND(BQ180&lt;0,$E180&lt;0),AND(BQ180&gt;0,$E180&gt;0)),$E180/BQ180*100,($E180-BQ180)/cS(BQ180)*100+100)))</f>
        <v>174.20476971168907</v>
      </c>
      <c r="S180" s="302">
        <f>IF(ISERROR(IF(AND(BF180&gt;0,$E180&lt;0),($E180-BF180)/BF180*100-100,IF(OR(AND(BF180&lt;0,$E180&lt;0),AND(BF180&gt;0,$E180&gt;0)),$E180/BF180*100,($E180-BF180)/TS(BF180)*100+100))),0,IF(AND(BF180&gt;0,$E180&lt;0),($E180-BF180)/BF180*100-100,IF(OR(AND(BF180&lt;0,$E180&lt;0),AND(BF180&gt;0,$E180&gt;0)),$E180/BF180*100,($E180-BF180)/TS(BF180)*100+100)))</f>
        <v>254.0981349811712</v>
      </c>
      <c r="T180" s="302"/>
      <c r="U180" s="303"/>
      <c r="V180" s="304"/>
      <c r="W180" s="292"/>
      <c r="X180" s="290">
        <f t="shared" ref="X180:AJ180" si="284">X$141/X102</f>
        <v>0.33348919584096048</v>
      </c>
      <c r="Y180" s="291">
        <f t="shared" si="284"/>
        <v>0.36173800296720499</v>
      </c>
      <c r="Z180" s="291" t="e">
        <f t="shared" si="284"/>
        <v>#DIV/0!</v>
      </c>
      <c r="AA180" s="291" t="e">
        <f t="shared" si="284"/>
        <v>#DIV/0!</v>
      </c>
      <c r="AB180" s="291" t="e">
        <f t="shared" si="284"/>
        <v>#DIV/0!</v>
      </c>
      <c r="AC180" s="291" t="e">
        <f t="shared" si="284"/>
        <v>#DIV/0!</v>
      </c>
      <c r="AD180" s="278" t="e">
        <f t="shared" si="284"/>
        <v>#DIV/0!</v>
      </c>
      <c r="AE180" s="278" t="e">
        <f t="shared" si="284"/>
        <v>#DIV/0!</v>
      </c>
      <c r="AF180" s="278" t="e">
        <f t="shared" si="284"/>
        <v>#DIV/0!</v>
      </c>
      <c r="AG180" s="278" t="e">
        <f t="shared" si="284"/>
        <v>#DIV/0!</v>
      </c>
      <c r="AH180" s="278" t="e">
        <f t="shared" si="284"/>
        <v>#DIV/0!</v>
      </c>
      <c r="AI180" s="278" t="e">
        <f t="shared" si="284"/>
        <v>#DIV/0!</v>
      </c>
      <c r="AJ180" s="278">
        <f t="shared" si="284"/>
        <v>0.34640182992139784</v>
      </c>
      <c r="AK180" s="278"/>
      <c r="AL180" s="281"/>
      <c r="AM180" s="280"/>
      <c r="AN180" s="292"/>
      <c r="AO180" s="290">
        <f t="shared" ref="AO180:BA180" si="285">AO$141/AO102</f>
        <v>-0.11254318289430298</v>
      </c>
      <c r="AP180" s="291">
        <f t="shared" si="285"/>
        <v>-8.3038188867692472E-2</v>
      </c>
      <c r="AQ180" s="291" t="e">
        <f t="shared" si="285"/>
        <v>#DIV/0!</v>
      </c>
      <c r="AR180" s="291" t="e">
        <f t="shared" si="285"/>
        <v>#DIV/0!</v>
      </c>
      <c r="AS180" s="291" t="e">
        <f t="shared" si="285"/>
        <v>#DIV/0!</v>
      </c>
      <c r="AT180" s="291" t="e">
        <f t="shared" si="285"/>
        <v>#DIV/0!</v>
      </c>
      <c r="AU180" s="278" t="e">
        <f t="shared" si="285"/>
        <v>#DIV/0!</v>
      </c>
      <c r="AV180" s="278" t="e">
        <f t="shared" si="285"/>
        <v>#DIV/0!</v>
      </c>
      <c r="AW180" s="278" t="e">
        <f t="shared" si="285"/>
        <v>#DIV/0!</v>
      </c>
      <c r="AX180" s="278" t="e">
        <f t="shared" si="285"/>
        <v>#DIV/0!</v>
      </c>
      <c r="AY180" s="278" t="e">
        <f t="shared" si="285"/>
        <v>#DIV/0!</v>
      </c>
      <c r="AZ180" s="278" t="e">
        <f t="shared" si="285"/>
        <v>#DIV/0!</v>
      </c>
      <c r="BA180" s="278">
        <f t="shared" si="285"/>
        <v>-9.6764964325786851E-2</v>
      </c>
      <c r="BB180" s="293"/>
      <c r="BC180" s="294"/>
      <c r="BD180" s="295"/>
      <c r="BF180" s="290">
        <v>0.30708741291123143</v>
      </c>
      <c r="BG180" s="291">
        <v>0.39555163201654714</v>
      </c>
      <c r="BH180" s="291">
        <v>0.31243299473654385</v>
      </c>
      <c r="BI180" s="291">
        <v>0.45123012674354362</v>
      </c>
      <c r="BJ180" s="291">
        <v>0.34811019157572975</v>
      </c>
      <c r="BK180" s="291">
        <v>0.58930253488651818</v>
      </c>
      <c r="BL180" s="291">
        <v>0.49248939449764034</v>
      </c>
      <c r="BM180" s="291">
        <v>0.394266191486568</v>
      </c>
      <c r="BN180" s="291">
        <v>0.80477262105842851</v>
      </c>
      <c r="BO180" s="291">
        <v>0.41738273621683419</v>
      </c>
      <c r="BP180" s="291">
        <v>0.43642658277321655</v>
      </c>
      <c r="BQ180" s="291">
        <v>0.4479230908894048</v>
      </c>
      <c r="BR180" s="291">
        <v>0.23225910141329853</v>
      </c>
      <c r="BS180" s="297">
        <f>BS$141/BS102</f>
        <v>0.34538191492546155</v>
      </c>
      <c r="BU180" s="290">
        <v>0.30136148785381106</v>
      </c>
      <c r="BV180" s="291">
        <v>0.30328509072848614</v>
      </c>
      <c r="BW180" s="291">
        <v>0.2660448505544622</v>
      </c>
      <c r="BX180" s="291">
        <v>0.33653555063807583</v>
      </c>
      <c r="BY180" s="291">
        <v>0.2834741963276638</v>
      </c>
      <c r="BZ180" s="291">
        <v>0.37092162570323495</v>
      </c>
      <c r="CA180" s="278">
        <v>0.36302135495661647</v>
      </c>
      <c r="CB180" s="278">
        <v>0.290204172696097</v>
      </c>
      <c r="CC180" s="278">
        <v>0.3722812750451257</v>
      </c>
      <c r="CD180" s="278">
        <v>0.27376736142393854</v>
      </c>
      <c r="CE180" s="278">
        <v>0.28060801753935305</v>
      </c>
      <c r="CF180" s="278">
        <v>0.27361555923057884</v>
      </c>
      <c r="CG180" s="278">
        <v>0.23141483251491635</v>
      </c>
      <c r="CH180" s="280">
        <v>0.30258983456148408</v>
      </c>
      <c r="CJ180" s="290">
        <v>0.4391158506816415</v>
      </c>
      <c r="CK180" s="291">
        <v>-0.10094386027984426</v>
      </c>
      <c r="CL180" s="291">
        <v>-0.1732347710340813</v>
      </c>
      <c r="CM180" s="291">
        <v>-0.10049835102088639</v>
      </c>
      <c r="CN180" s="291">
        <v>-0.12397400278926163</v>
      </c>
      <c r="CO180" s="291">
        <v>-9.8458755176583965E-2</v>
      </c>
      <c r="CP180" s="278">
        <v>-0.16276387541097959</v>
      </c>
      <c r="CQ180" s="278">
        <v>-0.12704906132190713</v>
      </c>
      <c r="CR180" s="278">
        <v>-7.4948600267817772E-2</v>
      </c>
      <c r="CS180" s="278">
        <v>-0.11096882907751435</v>
      </c>
      <c r="CT180" s="278">
        <v>-0.11870205937163771</v>
      </c>
      <c r="CU180" s="278">
        <v>-0.11591149906637098</v>
      </c>
      <c r="CV180" s="278">
        <v>-0.48528738258938875</v>
      </c>
      <c r="CW180" s="280">
        <v>-0.12391233531124382</v>
      </c>
      <c r="CY180" s="290">
        <v>0.24657138358909059</v>
      </c>
      <c r="CZ180" s="291">
        <v>0.24748983389692297</v>
      </c>
      <c r="DA180" s="291">
        <v>0.20684987372875843</v>
      </c>
      <c r="DB180" s="291">
        <v>0.21591436212069293</v>
      </c>
      <c r="DC180" s="291">
        <v>0.21476938793980513</v>
      </c>
      <c r="DD180" s="291">
        <v>0.23256982071824489</v>
      </c>
      <c r="DE180" s="291">
        <v>0.2742889532638384</v>
      </c>
      <c r="DF180" s="291">
        <v>0.27483794343219403</v>
      </c>
      <c r="DG180" s="291">
        <v>0.30587204892750819</v>
      </c>
      <c r="DH180" s="291">
        <v>0.22659935881918924</v>
      </c>
      <c r="DI180" s="291">
        <v>0.30405310061593471</v>
      </c>
      <c r="DJ180" s="291">
        <v>0.2717393027828095</v>
      </c>
      <c r="DK180" s="297">
        <f>DK$141/DK102</f>
        <v>0.24888426245438255</v>
      </c>
    </row>
    <row r="181" spans="1:115" s="296" customFormat="1" ht="14.45" hidden="1" customHeight="1">
      <c r="A181" s="288"/>
      <c r="B181" s="306" t="s">
        <v>148</v>
      </c>
      <c r="C181" s="306"/>
      <c r="D181" s="290">
        <f>D$141/D143</f>
        <v>0.20104673001508874</v>
      </c>
      <c r="E181" s="291">
        <f>E$141/E143</f>
        <v>0.16820869008001979</v>
      </c>
      <c r="F181" s="291" t="e">
        <f t="shared" ref="F181:P181" si="286">F$141/F143</f>
        <v>#DIV/0!</v>
      </c>
      <c r="G181" s="291" t="e">
        <f t="shared" si="286"/>
        <v>#DIV/0!</v>
      </c>
      <c r="H181" s="291" t="e">
        <f t="shared" si="286"/>
        <v>#DIV/0!</v>
      </c>
      <c r="I181" s="291" t="e">
        <f t="shared" si="286"/>
        <v>#DIV/0!</v>
      </c>
      <c r="J181" s="278" t="e">
        <f t="shared" si="286"/>
        <v>#DIV/0!</v>
      </c>
      <c r="K181" s="278" t="e">
        <f t="shared" si="286"/>
        <v>#DIV/0!</v>
      </c>
      <c r="L181" s="278" t="e">
        <f t="shared" si="286"/>
        <v>#DIV/0!</v>
      </c>
      <c r="M181" s="278" t="e">
        <f t="shared" si="286"/>
        <v>#DIV/0!</v>
      </c>
      <c r="N181" s="278" t="e">
        <f t="shared" si="286"/>
        <v>#DIV/0!</v>
      </c>
      <c r="O181" s="278" t="e">
        <f t="shared" si="286"/>
        <v>#DIV/0!</v>
      </c>
      <c r="P181" s="278">
        <f t="shared" si="286"/>
        <v>0.18397158515858364</v>
      </c>
      <c r="Q181" s="104"/>
      <c r="R181" s="302">
        <f>IF(ISERROR(IF(AND(BQ181&gt;0,$E181&lt;0),($E181-BQ181)/BQ181*100-100,IF(OR(AND(BQ181&lt;0,$E181&lt;0),AND(BQ181&gt;0,$E181&gt;0)),$E181/BQ181*100,($E181-BQ181)/cS(BQ181)*100+100))),0,IF(AND(BQ181&gt;0,$E181&lt;0),($E181-BQ181)/BQ181*100-100,IF(OR(AND(BQ181&lt;0,$E181&lt;0),AND(BQ181&gt;0,$E181&gt;0)),$E181/BQ181*100,($E181-BQ181)/cS(BQ181)*100+100)))</f>
        <v>95.598997834579762</v>
      </c>
      <c r="S181" s="302">
        <f>IF(ISERROR(IF(AND(BF181&gt;0,$E181&lt;0),($E181-BF181)/BF181*100-100,IF(OR(AND(BF181&lt;0,$E181&lt;0),AND(BF181&gt;0,$E181&gt;0)),$E181/BF181*100,($E181-BF181)/TS(BF181)*100+100))),0,IF(AND(BF181&gt;0,$E181&lt;0),($E181-BF181)/BF181*100-100,IF(OR(AND(BF181&lt;0,$E181&lt;0),AND(BF181&gt;0,$E181&gt;0)),$E181/BF181*100,($E181-BF181)/TS(BF181)*100+100)))</f>
        <v>107.36312264045205</v>
      </c>
      <c r="T181" s="302"/>
      <c r="U181" s="303"/>
      <c r="V181" s="304"/>
      <c r="W181" s="292"/>
      <c r="X181" s="290">
        <f t="shared" ref="X181:AJ181" si="287">X$141/X143</f>
        <v>0.2585041847388021</v>
      </c>
      <c r="Y181" s="291">
        <f t="shared" si="287"/>
        <v>0.21912221162122675</v>
      </c>
      <c r="Z181" s="291" t="e">
        <f t="shared" si="287"/>
        <v>#DIV/0!</v>
      </c>
      <c r="AA181" s="291" t="e">
        <f t="shared" si="287"/>
        <v>#DIV/0!</v>
      </c>
      <c r="AB181" s="291" t="e">
        <f t="shared" si="287"/>
        <v>#DIV/0!</v>
      </c>
      <c r="AC181" s="291" t="e">
        <f t="shared" si="287"/>
        <v>#DIV/0!</v>
      </c>
      <c r="AD181" s="278" t="e">
        <f t="shared" si="287"/>
        <v>#DIV/0!</v>
      </c>
      <c r="AE181" s="278" t="e">
        <f t="shared" si="287"/>
        <v>#DIV/0!</v>
      </c>
      <c r="AF181" s="278" t="e">
        <f t="shared" si="287"/>
        <v>#DIV/0!</v>
      </c>
      <c r="AG181" s="278" t="e">
        <f t="shared" si="287"/>
        <v>#DIV/0!</v>
      </c>
      <c r="AH181" s="278" t="e">
        <f t="shared" si="287"/>
        <v>#DIV/0!</v>
      </c>
      <c r="AI181" s="278" t="e">
        <f t="shared" si="287"/>
        <v>#DIV/0!</v>
      </c>
      <c r="AJ181" s="278">
        <f t="shared" si="287"/>
        <v>0.23807922285397737</v>
      </c>
      <c r="AK181" s="278"/>
      <c r="AL181" s="281"/>
      <c r="AM181" s="280"/>
      <c r="AN181" s="292"/>
      <c r="AO181" s="290">
        <f t="shared" ref="AO181:BA181" si="288">AO$141/AO143</f>
        <v>7.0428807071398328E-2</v>
      </c>
      <c r="AP181" s="291">
        <f t="shared" si="288"/>
        <v>5.4475799129882201E-2</v>
      </c>
      <c r="AQ181" s="291" t="e">
        <f t="shared" si="288"/>
        <v>#DIV/0!</v>
      </c>
      <c r="AR181" s="291" t="e">
        <f t="shared" si="288"/>
        <v>#DIV/0!</v>
      </c>
      <c r="AS181" s="291" t="e">
        <f t="shared" si="288"/>
        <v>#DIV/0!</v>
      </c>
      <c r="AT181" s="291" t="e">
        <f t="shared" si="288"/>
        <v>#DIV/0!</v>
      </c>
      <c r="AU181" s="278" t="e">
        <f t="shared" si="288"/>
        <v>#DIV/0!</v>
      </c>
      <c r="AV181" s="278" t="e">
        <f t="shared" si="288"/>
        <v>#DIV/0!</v>
      </c>
      <c r="AW181" s="278" t="e">
        <f t="shared" si="288"/>
        <v>#DIV/0!</v>
      </c>
      <c r="AX181" s="278" t="e">
        <f t="shared" si="288"/>
        <v>#DIV/0!</v>
      </c>
      <c r="AY181" s="278" t="e">
        <f t="shared" si="288"/>
        <v>#DIV/0!</v>
      </c>
      <c r="AZ181" s="278" t="e">
        <f t="shared" si="288"/>
        <v>#DIV/0!</v>
      </c>
      <c r="BA181" s="278">
        <f t="shared" si="288"/>
        <v>6.2085278297797843E-2</v>
      </c>
      <c r="BB181" s="293"/>
      <c r="BC181" s="294"/>
      <c r="BD181" s="295"/>
      <c r="BF181" s="290">
        <v>0.15667268792407726</v>
      </c>
      <c r="BG181" s="291">
        <v>0.13829409219068664</v>
      </c>
      <c r="BH181" s="291">
        <v>0.16069275532033947</v>
      </c>
      <c r="BI181" s="291">
        <v>0.15036751009185023</v>
      </c>
      <c r="BJ181" s="291">
        <v>0.18507743785943967</v>
      </c>
      <c r="BK181" s="291">
        <v>0.15443614481595347</v>
      </c>
      <c r="BL181" s="291">
        <v>0.19286664978374235</v>
      </c>
      <c r="BM181" s="291">
        <v>0.18537485564256412</v>
      </c>
      <c r="BN181" s="291">
        <v>0.1448551528324282</v>
      </c>
      <c r="BO181" s="291">
        <v>0.20000549553724445</v>
      </c>
      <c r="BP181" s="291">
        <v>0.19118879141798026</v>
      </c>
      <c r="BQ181" s="291">
        <v>0.1759523571273002</v>
      </c>
      <c r="BR181" s="291">
        <v>0.42311872246426746</v>
      </c>
      <c r="BS181" s="297">
        <f>BS$141/BS143</f>
        <v>0.14698847463788875</v>
      </c>
      <c r="BU181" s="290">
        <v>0.16002209761603614</v>
      </c>
      <c r="BV181" s="291">
        <v>0.15645754162190534</v>
      </c>
      <c r="BW181" s="291">
        <v>0.17874901784270336</v>
      </c>
      <c r="BX181" s="291">
        <v>0.17078183443709583</v>
      </c>
      <c r="BY181" s="291">
        <v>0.21318848624752454</v>
      </c>
      <c r="BZ181" s="291">
        <v>0.17951401626173644</v>
      </c>
      <c r="CA181" s="278">
        <v>0.22097796952997714</v>
      </c>
      <c r="CB181" s="278">
        <v>0.22113764825748528</v>
      </c>
      <c r="CC181" s="278">
        <v>0.17892133337576444</v>
      </c>
      <c r="CD181" s="278">
        <v>0.25782167950832668</v>
      </c>
      <c r="CE181" s="278">
        <v>0.2435072602601539</v>
      </c>
      <c r="CF181" s="278">
        <v>0.22412653729552945</v>
      </c>
      <c r="CG181" s="278">
        <v>0.32923851133021548</v>
      </c>
      <c r="CH181" s="280">
        <v>0.20021393112746125</v>
      </c>
      <c r="CJ181" s="290">
        <v>0.11769090602175249</v>
      </c>
      <c r="CK181" s="291">
        <v>4.8070314157455628E-2</v>
      </c>
      <c r="CL181" s="291">
        <v>6.1235232352293702E-2</v>
      </c>
      <c r="CM181" s="291">
        <v>5.1398571057764797E-2</v>
      </c>
      <c r="CN181" s="291">
        <v>5.7798385502394745E-2</v>
      </c>
      <c r="CO181" s="291">
        <v>5.8114183161810461E-2</v>
      </c>
      <c r="CP181" s="278">
        <v>7.9173652756742971E-2</v>
      </c>
      <c r="CQ181" s="278">
        <v>6.5030453170656061E-2</v>
      </c>
      <c r="CR181" s="278">
        <v>4.9545202857598877E-2</v>
      </c>
      <c r="CS181" s="278">
        <v>6.5892719557558904E-2</v>
      </c>
      <c r="CT181" s="278">
        <v>6.8054969771877027E-2</v>
      </c>
      <c r="CU181" s="278">
        <v>6.6621841169592827E-2</v>
      </c>
      <c r="CV181" s="278">
        <v>0.32672962032664599</v>
      </c>
      <c r="CW181" s="280">
        <v>6.4918899639289776E-2</v>
      </c>
      <c r="CY181" s="290">
        <v>0.22225913642684506</v>
      </c>
      <c r="CZ181" s="291">
        <v>0.20695208130567952</v>
      </c>
      <c r="DA181" s="291">
        <v>0.19262943622060974</v>
      </c>
      <c r="DB181" s="291">
        <v>0.18794907662469496</v>
      </c>
      <c r="DC181" s="291">
        <v>0.18102269638840701</v>
      </c>
      <c r="DD181" s="291">
        <v>0.17725858441799594</v>
      </c>
      <c r="DE181" s="291">
        <v>0.17069125000704313</v>
      </c>
      <c r="DF181" s="291">
        <v>0.16375783618454184</v>
      </c>
      <c r="DG181" s="291">
        <v>0.15182385671779053</v>
      </c>
      <c r="DH181" s="291">
        <v>0.17296135591058823</v>
      </c>
      <c r="DI181" s="291">
        <v>0.1457802614840604</v>
      </c>
      <c r="DJ181" s="291">
        <v>0.17736397308956281</v>
      </c>
      <c r="DK181" s="297">
        <f>DK$141/DK143</f>
        <v>0.17621429681416031</v>
      </c>
    </row>
    <row r="182" spans="1:115" ht="14.45" hidden="1" customHeight="1">
      <c r="A182" s="12"/>
      <c r="B182" s="234"/>
      <c r="C182" s="234"/>
      <c r="D182" s="309"/>
      <c r="E182" s="104"/>
      <c r="F182" s="14"/>
      <c r="G182" s="14"/>
      <c r="H182" s="14"/>
      <c r="I182" s="261"/>
      <c r="J182" s="14"/>
      <c r="K182" s="14"/>
      <c r="L182" s="14"/>
      <c r="M182" s="14"/>
      <c r="N182" s="14"/>
      <c r="O182" s="14"/>
      <c r="P182" s="14"/>
      <c r="Q182" s="104"/>
      <c r="R182" s="266">
        <f ca="1">IF(ISERROR(IF(AND(BQ182&gt;0,$E182&lt;0),($E182-BQ182)/BQ182*100-100,IF(OR(AND(BQ182&lt;0,$E182&lt;0),AND(BQ182&gt;0,$E182&gt;0)),$E182/BQ182*100,($E182-BQ182)/cS(BQ182)*100+100))),0,IF(AND(BQ182&gt;0,$E182&lt;0),($E182-BQ182)/BQ182*100-100,IF(OR(AND(BQ182&lt;0,$E182&lt;0),AND(BQ182&gt;0,$E182&gt;0)),$E182/BQ182*100,($E182-BQ182)/cS(BQ182)*100+100)))</f>
        <v>0</v>
      </c>
      <c r="S182" s="266">
        <f ca="1">IF(ISERROR(IF(AND(BF182&gt;0,$E182&lt;0),($E182-BF182)/BF182*100-100,IF(OR(AND(BF182&lt;0,$E182&lt;0),AND(BF182&gt;0,$E182&gt;0)),$E182/BF182*100,($E182-BF182)/TS(BF182)*100+100))),0,IF(AND(BF182&gt;0,$E182&lt;0),($E182-BF182)/BF182*100-100,IF(OR(AND(BF182&lt;0,$E182&lt;0),AND(BF182&gt;0,$E182&gt;0)),$E182/BF182*100,($E182-BF182)/TS(BF182)*100+100)))</f>
        <v>0</v>
      </c>
      <c r="T182" s="266"/>
      <c r="U182" s="88"/>
      <c r="V182" s="267"/>
      <c r="W182" s="3"/>
      <c r="X182" s="309"/>
      <c r="Y182" s="104"/>
      <c r="Z182" s="14"/>
      <c r="AA182" s="14"/>
      <c r="AB182" s="14"/>
      <c r="AC182" s="261"/>
      <c r="AD182" s="14"/>
      <c r="AE182" s="14"/>
      <c r="AF182" s="14"/>
      <c r="AG182" s="14"/>
      <c r="AH182" s="14"/>
      <c r="AI182" s="14"/>
      <c r="AJ182" s="14"/>
      <c r="AK182" s="14"/>
      <c r="AL182" s="84"/>
      <c r="AM182" s="13"/>
      <c r="AN182" s="3"/>
      <c r="AO182" s="309"/>
      <c r="AP182" s="104"/>
      <c r="AQ182" s="14"/>
      <c r="AR182" s="14"/>
      <c r="AS182" s="14"/>
      <c r="AT182" s="261"/>
      <c r="AU182" s="14"/>
      <c r="AV182" s="14"/>
      <c r="AW182" s="14"/>
      <c r="AX182" s="14"/>
      <c r="AY182" s="14"/>
      <c r="AZ182" s="14"/>
      <c r="BA182" s="14"/>
      <c r="BB182" s="258"/>
      <c r="BC182" s="38"/>
      <c r="BD182" s="259"/>
      <c r="BF182" s="309"/>
      <c r="BG182" s="104"/>
      <c r="BH182" s="14"/>
      <c r="BI182" s="14"/>
      <c r="BJ182" s="14"/>
      <c r="BK182" s="261"/>
      <c r="BL182" s="261"/>
      <c r="BM182" s="261"/>
      <c r="BN182" s="261"/>
      <c r="BO182" s="261"/>
      <c r="BP182" s="261"/>
      <c r="BQ182" s="261"/>
      <c r="BR182" s="261"/>
      <c r="BS182" s="310"/>
      <c r="BU182" s="309"/>
      <c r="BV182" s="104"/>
      <c r="BW182" s="14"/>
      <c r="BX182" s="14"/>
      <c r="BY182" s="14"/>
      <c r="BZ182" s="261"/>
      <c r="CA182" s="14"/>
      <c r="CB182" s="14"/>
      <c r="CC182" s="14"/>
      <c r="CD182" s="14"/>
      <c r="CE182" s="14"/>
      <c r="CF182" s="14"/>
      <c r="CG182" s="14"/>
      <c r="CH182" s="13"/>
      <c r="CJ182" s="309"/>
      <c r="CK182" s="104"/>
      <c r="CL182" s="14"/>
      <c r="CM182" s="14"/>
      <c r="CN182" s="14"/>
      <c r="CO182" s="261"/>
      <c r="CP182" s="14"/>
      <c r="CQ182" s="14"/>
      <c r="CR182" s="14"/>
      <c r="CS182" s="14"/>
      <c r="CT182" s="14"/>
      <c r="CU182" s="14"/>
      <c r="CV182" s="14"/>
      <c r="CW182" s="13"/>
      <c r="CY182" s="309"/>
      <c r="CZ182" s="104"/>
      <c r="DA182" s="14"/>
      <c r="DB182" s="14"/>
      <c r="DC182" s="14"/>
      <c r="DD182" s="261"/>
      <c r="DE182" s="261"/>
      <c r="DF182" s="261"/>
      <c r="DG182" s="261"/>
      <c r="DH182" s="261"/>
      <c r="DI182" s="261"/>
      <c r="DJ182" s="261"/>
      <c r="DK182" s="310"/>
    </row>
    <row r="183" spans="1:115" ht="14.45" hidden="1" customHeight="1">
      <c r="A183" s="12"/>
      <c r="B183" s="311"/>
      <c r="C183" s="311"/>
      <c r="D183" s="312"/>
      <c r="E183" s="313"/>
      <c r="F183" s="14"/>
      <c r="G183" s="14"/>
      <c r="H183" s="14"/>
      <c r="I183" s="261"/>
      <c r="J183" s="14"/>
      <c r="K183" s="14"/>
      <c r="L183" s="14"/>
      <c r="M183" s="14"/>
      <c r="N183" s="14"/>
      <c r="O183" s="14"/>
      <c r="P183" s="14"/>
      <c r="Q183" s="104"/>
      <c r="R183" s="266"/>
      <c r="S183" s="266"/>
      <c r="T183" s="266"/>
      <c r="U183" s="88"/>
      <c r="V183" s="267"/>
      <c r="W183" s="3"/>
      <c r="X183" s="312"/>
      <c r="Y183" s="313"/>
      <c r="Z183" s="14"/>
      <c r="AA183" s="14"/>
      <c r="AB183" s="314"/>
      <c r="AC183" s="314"/>
      <c r="AD183" s="314"/>
      <c r="AE183" s="314"/>
      <c r="AF183" s="314"/>
      <c r="AG183" s="314"/>
      <c r="AH183" s="314"/>
      <c r="AI183" s="314"/>
      <c r="AJ183" s="314"/>
      <c r="AK183" s="14"/>
      <c r="AL183" s="84"/>
      <c r="AM183" s="13"/>
      <c r="AN183" s="3"/>
      <c r="AO183" s="312"/>
      <c r="AP183" s="313"/>
      <c r="AQ183" s="14"/>
      <c r="AR183" s="14"/>
      <c r="AS183" s="14"/>
      <c r="AT183" s="261"/>
      <c r="AU183" s="14"/>
      <c r="AV183" s="14"/>
      <c r="AW183" s="14"/>
      <c r="AX183" s="14"/>
      <c r="AY183" s="14"/>
      <c r="AZ183" s="14"/>
      <c r="BA183" s="14"/>
      <c r="BB183" s="258"/>
      <c r="BC183" s="38"/>
      <c r="BD183" s="259"/>
      <c r="BF183" s="312"/>
      <c r="BG183" s="313"/>
      <c r="BH183" s="14"/>
      <c r="BI183" s="14"/>
      <c r="BJ183" s="14"/>
      <c r="BK183" s="261"/>
      <c r="BL183" s="261"/>
      <c r="BM183" s="261"/>
      <c r="BN183" s="261"/>
      <c r="BO183" s="261"/>
      <c r="BP183" s="261"/>
      <c r="BQ183" s="261"/>
      <c r="BR183" s="261"/>
      <c r="BS183" s="310"/>
      <c r="BU183" s="312"/>
      <c r="BV183" s="313"/>
      <c r="BW183" s="14"/>
      <c r="BX183" s="14"/>
      <c r="BY183" s="14"/>
      <c r="BZ183" s="261"/>
      <c r="CA183" s="14"/>
      <c r="CB183" s="14"/>
      <c r="CC183" s="14"/>
      <c r="CD183" s="14"/>
      <c r="CE183" s="14"/>
      <c r="CF183" s="14"/>
      <c r="CG183" s="14"/>
      <c r="CH183" s="13"/>
      <c r="CJ183" s="312"/>
      <c r="CK183" s="313"/>
      <c r="CL183" s="14"/>
      <c r="CM183" s="14"/>
      <c r="CN183" s="14"/>
      <c r="CO183" s="261"/>
      <c r="CP183" s="14"/>
      <c r="CQ183" s="14"/>
      <c r="CR183" s="14"/>
      <c r="CS183" s="14"/>
      <c r="CT183" s="14"/>
      <c r="CU183" s="14"/>
      <c r="CV183" s="14"/>
      <c r="CW183" s="13"/>
      <c r="CY183" s="312"/>
      <c r="CZ183" s="313"/>
      <c r="DA183" s="14"/>
      <c r="DB183" s="14"/>
      <c r="DC183" s="14"/>
      <c r="DD183" s="261"/>
      <c r="DE183" s="261"/>
      <c r="DF183" s="261"/>
      <c r="DG183" s="261"/>
      <c r="DH183" s="261"/>
      <c r="DI183" s="261"/>
      <c r="DJ183" s="261"/>
      <c r="DK183" s="310"/>
    </row>
    <row r="184" spans="1:115" ht="14.45" hidden="1" customHeight="1">
      <c r="A184" s="12"/>
      <c r="B184" s="315" t="s">
        <v>149</v>
      </c>
      <c r="C184" s="315"/>
      <c r="D184" s="316">
        <f t="shared" ref="D184:O184" si="289">SUM(D185:D186)</f>
        <v>266</v>
      </c>
      <c r="E184" s="317">
        <f>SUM(E185:E186)</f>
        <v>252</v>
      </c>
      <c r="F184" s="317">
        <f t="shared" si="289"/>
        <v>0</v>
      </c>
      <c r="G184" s="317">
        <f t="shared" si="289"/>
        <v>0</v>
      </c>
      <c r="H184" s="317">
        <f t="shared" si="289"/>
        <v>0</v>
      </c>
      <c r="I184" s="317">
        <f t="shared" si="289"/>
        <v>0</v>
      </c>
      <c r="J184" s="317">
        <f t="shared" si="289"/>
        <v>0</v>
      </c>
      <c r="K184" s="317">
        <f t="shared" si="289"/>
        <v>0</v>
      </c>
      <c r="L184" s="317">
        <f t="shared" si="289"/>
        <v>0</v>
      </c>
      <c r="M184" s="317">
        <f t="shared" si="289"/>
        <v>0</v>
      </c>
      <c r="N184" s="317">
        <f>SUM(N185:N186)</f>
        <v>0</v>
      </c>
      <c r="O184" s="317">
        <f t="shared" si="289"/>
        <v>0</v>
      </c>
      <c r="P184" s="318">
        <f>+P185+P186</f>
        <v>259</v>
      </c>
      <c r="Q184" s="178">
        <f>SUM(BS184)</f>
        <v>184.5</v>
      </c>
      <c r="R184" s="319">
        <f t="shared" ref="R184:R186" si="290">IF(ISERROR((($E184-$D184)/ABS($D184)+1)*100),0,(($E184-$D184)/ABS($D184)+1)*100)</f>
        <v>94.736842105263165</v>
      </c>
      <c r="S184" s="319">
        <f t="shared" ref="S184:S186" si="291">IF(ISERROR((($E184-$BG184)/ABS($BG184)+1)*100),0,(($E184-$BG184)/ABS($BG184)+1)*100)</f>
        <v>146.51162790697674</v>
      </c>
      <c r="T184" s="266"/>
      <c r="U184" s="88"/>
      <c r="V184" s="267"/>
      <c r="W184" s="3"/>
      <c r="X184" s="316"/>
      <c r="Y184" s="317"/>
      <c r="Z184" s="317"/>
      <c r="AA184" s="317"/>
      <c r="AB184" s="317"/>
      <c r="AC184" s="317"/>
      <c r="AD184" s="317"/>
      <c r="AE184" s="317"/>
      <c r="AF184" s="317"/>
      <c r="AG184" s="317"/>
      <c r="AH184" s="317"/>
      <c r="AI184" s="317"/>
      <c r="AJ184" s="318" t="e">
        <f>+AJ185+AJ186</f>
        <v>#DIV/0!</v>
      </c>
      <c r="AK184" s="266">
        <f t="shared" ref="AK184:AK186" si="292">IF(ISERROR((($Y184-$X184)/ABS($X184)+1)*100),0,(($Y184-$X184)/ABS($X184)+1)*100)</f>
        <v>0</v>
      </c>
      <c r="AL184" s="88"/>
      <c r="AM184" s="267"/>
      <c r="AN184" s="3"/>
      <c r="AO184" s="316"/>
      <c r="AP184" s="317"/>
      <c r="AQ184" s="317"/>
      <c r="AR184" s="317"/>
      <c r="AS184" s="317"/>
      <c r="AT184" s="317"/>
      <c r="AU184" s="317"/>
      <c r="AV184" s="317"/>
      <c r="AW184" s="317">
        <f>SUM(AW185:AW186)</f>
        <v>0</v>
      </c>
      <c r="AX184" s="317">
        <f>SUM(AX185:AX186)</f>
        <v>0</v>
      </c>
      <c r="AY184" s="317">
        <f>SUM(AY185:AY186)</f>
        <v>0</v>
      </c>
      <c r="AZ184" s="317">
        <f>SUM(AZ185:AZ186)</f>
        <v>0</v>
      </c>
      <c r="BA184" s="318"/>
      <c r="BB184" s="258"/>
      <c r="BC184" s="38"/>
      <c r="BD184" s="259"/>
      <c r="BF184" s="316">
        <v>197</v>
      </c>
      <c r="BG184" s="317">
        <v>172</v>
      </c>
      <c r="BH184" s="317">
        <v>182</v>
      </c>
      <c r="BI184" s="317">
        <v>188</v>
      </c>
      <c r="BJ184" s="317">
        <v>287</v>
      </c>
      <c r="BK184" s="317">
        <v>287</v>
      </c>
      <c r="BL184" s="317">
        <v>287</v>
      </c>
      <c r="BM184" s="317">
        <v>293.5</v>
      </c>
      <c r="BN184" s="317">
        <v>284.5</v>
      </c>
      <c r="BO184" s="317">
        <v>276.5</v>
      </c>
      <c r="BP184" s="317">
        <v>279</v>
      </c>
      <c r="BQ184" s="317">
        <v>276</v>
      </c>
      <c r="BR184" s="317">
        <v>239</v>
      </c>
      <c r="BS184" s="320">
        <f>+BS185+BS186</f>
        <v>184.5</v>
      </c>
      <c r="BU184" s="316"/>
      <c r="BV184" s="317"/>
      <c r="BW184" s="317"/>
      <c r="BX184" s="317"/>
      <c r="BY184" s="317"/>
      <c r="BZ184" s="317"/>
      <c r="CA184" s="317"/>
      <c r="CB184" s="317"/>
      <c r="CC184" s="317"/>
      <c r="CD184" s="317"/>
      <c r="CE184" s="317"/>
      <c r="CF184" s="317"/>
      <c r="CG184" s="317"/>
      <c r="CH184" s="321" t="e">
        <v>#DIV/0!</v>
      </c>
      <c r="CJ184" s="316"/>
      <c r="CK184" s="317"/>
      <c r="CL184" s="317"/>
      <c r="CM184" s="317"/>
      <c r="CN184" s="317"/>
      <c r="CO184" s="317"/>
      <c r="CP184" s="317"/>
      <c r="CQ184" s="317"/>
      <c r="CR184" s="317">
        <v>0</v>
      </c>
      <c r="CS184" s="317">
        <v>0</v>
      </c>
      <c r="CT184" s="317">
        <v>0</v>
      </c>
      <c r="CU184" s="317">
        <v>0</v>
      </c>
      <c r="CV184" s="317">
        <v>0</v>
      </c>
      <c r="CW184" s="321"/>
      <c r="CY184" s="316">
        <v>146</v>
      </c>
      <c r="CZ184" s="317">
        <v>140</v>
      </c>
      <c r="DA184" s="317">
        <v>147</v>
      </c>
      <c r="DB184" s="317">
        <v>168</v>
      </c>
      <c r="DC184" s="317">
        <v>177</v>
      </c>
      <c r="DD184" s="317">
        <v>198</v>
      </c>
      <c r="DE184" s="317">
        <v>193</v>
      </c>
      <c r="DF184" s="317">
        <v>182</v>
      </c>
      <c r="DG184" s="317">
        <v>190</v>
      </c>
      <c r="DH184" s="317">
        <v>208</v>
      </c>
      <c r="DI184" s="317">
        <v>200</v>
      </c>
      <c r="DJ184" s="317">
        <v>200</v>
      </c>
      <c r="DK184" s="320">
        <f>+DK185+DK186</f>
        <v>179.08333333333334</v>
      </c>
    </row>
    <row r="185" spans="1:115" ht="14.45" hidden="1" customHeight="1">
      <c r="A185" s="12"/>
      <c r="B185" s="322" t="s">
        <v>150</v>
      </c>
      <c r="C185" s="322"/>
      <c r="D185" s="323">
        <v>246</v>
      </c>
      <c r="E185" s="324">
        <v>232</v>
      </c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5">
        <f>AVERAGE(D185:E185)</f>
        <v>239</v>
      </c>
      <c r="Q185" s="14">
        <f>SUM(BS185)</f>
        <v>99</v>
      </c>
      <c r="R185" s="266">
        <f t="shared" si="290"/>
        <v>94.308943089430898</v>
      </c>
      <c r="S185" s="266">
        <f t="shared" si="291"/>
        <v>236.73469387755102</v>
      </c>
      <c r="T185" s="266"/>
      <c r="U185" s="88"/>
      <c r="V185" s="267"/>
      <c r="W185" s="3"/>
      <c r="X185" s="323"/>
      <c r="Y185" s="324"/>
      <c r="Z185" s="324"/>
      <c r="AA185" s="324"/>
      <c r="AB185" s="324"/>
      <c r="AC185" s="324"/>
      <c r="AD185" s="324"/>
      <c r="AE185" s="324"/>
      <c r="AF185" s="324"/>
      <c r="AG185" s="324"/>
      <c r="AH185" s="324"/>
      <c r="AI185" s="324"/>
      <c r="AJ185" s="325" t="e">
        <f>AVERAGE(X185:AI185)</f>
        <v>#DIV/0!</v>
      </c>
      <c r="AK185" s="266">
        <f t="shared" si="292"/>
        <v>0</v>
      </c>
      <c r="AL185" s="88"/>
      <c r="AM185" s="267"/>
      <c r="AN185" s="3"/>
      <c r="AO185" s="323"/>
      <c r="AP185" s="324"/>
      <c r="AQ185" s="324"/>
      <c r="AR185" s="324"/>
      <c r="AS185" s="324"/>
      <c r="AT185" s="324"/>
      <c r="AU185" s="324"/>
      <c r="AV185" s="324"/>
      <c r="AW185" s="324"/>
      <c r="AX185" s="324"/>
      <c r="AY185" s="324"/>
      <c r="AZ185" s="324"/>
      <c r="BA185" s="325"/>
      <c r="BB185" s="258"/>
      <c r="BC185" s="38"/>
      <c r="BD185" s="259"/>
      <c r="BF185" s="323">
        <v>100</v>
      </c>
      <c r="BG185" s="324">
        <v>98</v>
      </c>
      <c r="BH185" s="324">
        <v>114</v>
      </c>
      <c r="BI185" s="324">
        <v>118</v>
      </c>
      <c r="BJ185" s="324">
        <v>228</v>
      </c>
      <c r="BK185" s="324">
        <v>239</v>
      </c>
      <c r="BL185" s="324">
        <v>239</v>
      </c>
      <c r="BM185" s="324">
        <v>248</v>
      </c>
      <c r="BN185" s="324">
        <v>245</v>
      </c>
      <c r="BO185" s="324">
        <v>240</v>
      </c>
      <c r="BP185" s="324">
        <v>240</v>
      </c>
      <c r="BQ185" s="324">
        <v>239</v>
      </c>
      <c r="BR185" s="324">
        <v>239</v>
      </c>
      <c r="BS185" s="326">
        <f>AVERAGE(BF185:BG185)</f>
        <v>99</v>
      </c>
      <c r="BU185" s="323"/>
      <c r="BV185" s="324"/>
      <c r="BW185" s="324"/>
      <c r="BX185" s="324"/>
      <c r="BY185" s="324"/>
      <c r="BZ185" s="324"/>
      <c r="CA185" s="324"/>
      <c r="CB185" s="324"/>
      <c r="CC185" s="324"/>
      <c r="CD185" s="324"/>
      <c r="CE185" s="324"/>
      <c r="CF185" s="324"/>
      <c r="CG185" s="324"/>
      <c r="CH185" s="327" t="e">
        <v>#DIV/0!</v>
      </c>
      <c r="CJ185" s="323"/>
      <c r="CK185" s="324"/>
      <c r="CL185" s="324"/>
      <c r="CM185" s="324"/>
      <c r="CN185" s="324"/>
      <c r="CO185" s="324"/>
      <c r="CP185" s="324"/>
      <c r="CQ185" s="324"/>
      <c r="CR185" s="324"/>
      <c r="CS185" s="324"/>
      <c r="CT185" s="324"/>
      <c r="CU185" s="324"/>
      <c r="CV185" s="324"/>
      <c r="CW185" s="327"/>
      <c r="CY185" s="323">
        <v>82</v>
      </c>
      <c r="CZ185" s="324">
        <v>86</v>
      </c>
      <c r="DA185" s="324">
        <v>89</v>
      </c>
      <c r="DB185" s="324">
        <v>91</v>
      </c>
      <c r="DC185" s="324">
        <v>93</v>
      </c>
      <c r="DD185" s="324">
        <v>102</v>
      </c>
      <c r="DE185" s="324">
        <v>100</v>
      </c>
      <c r="DF185" s="324">
        <v>94</v>
      </c>
      <c r="DG185" s="324">
        <v>102</v>
      </c>
      <c r="DH185" s="324">
        <v>102</v>
      </c>
      <c r="DI185" s="324">
        <v>103</v>
      </c>
      <c r="DJ185" s="324">
        <v>104</v>
      </c>
      <c r="DK185" s="326">
        <f>AVERAGE(CY185:DJ185)</f>
        <v>95.666666666666671</v>
      </c>
    </row>
    <row r="186" spans="1:115" ht="14.45" hidden="1" customHeight="1">
      <c r="A186" s="12"/>
      <c r="B186" s="322" t="s">
        <v>151</v>
      </c>
      <c r="C186" s="322"/>
      <c r="D186" s="323">
        <v>20</v>
      </c>
      <c r="E186" s="324">
        <v>20</v>
      </c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5">
        <f>AVERAGE(D186:E186)</f>
        <v>20</v>
      </c>
      <c r="Q186" s="14">
        <f>SUM(BS186)</f>
        <v>85.5</v>
      </c>
      <c r="R186" s="266">
        <f t="shared" si="290"/>
        <v>100</v>
      </c>
      <c r="S186" s="266">
        <f t="shared" si="291"/>
        <v>27.027027027027028</v>
      </c>
      <c r="T186" s="266"/>
      <c r="U186" s="88"/>
      <c r="V186" s="267"/>
      <c r="W186" s="3"/>
      <c r="X186" s="323"/>
      <c r="Y186" s="324"/>
      <c r="Z186" s="324"/>
      <c r="AA186" s="324"/>
      <c r="AB186" s="324"/>
      <c r="AC186" s="324"/>
      <c r="AD186" s="324"/>
      <c r="AE186" s="324"/>
      <c r="AF186" s="324"/>
      <c r="AG186" s="324"/>
      <c r="AH186" s="324"/>
      <c r="AI186" s="324"/>
      <c r="AJ186" s="325" t="e">
        <f>AVERAGE(X186:AE186)</f>
        <v>#DIV/0!</v>
      </c>
      <c r="AK186" s="266">
        <f t="shared" si="292"/>
        <v>0</v>
      </c>
      <c r="AL186" s="88"/>
      <c r="AM186" s="267"/>
      <c r="AN186" s="3"/>
      <c r="AO186" s="323"/>
      <c r="AP186" s="324"/>
      <c r="AQ186" s="324"/>
      <c r="AR186" s="324"/>
      <c r="AS186" s="324"/>
      <c r="AT186" s="324"/>
      <c r="AU186" s="324"/>
      <c r="AV186" s="324"/>
      <c r="AW186" s="324"/>
      <c r="AX186" s="324"/>
      <c r="AY186" s="324"/>
      <c r="AZ186" s="324"/>
      <c r="BA186" s="325"/>
      <c r="BB186" s="258"/>
      <c r="BC186" s="38"/>
      <c r="BD186" s="259"/>
      <c r="BF186" s="323">
        <v>97</v>
      </c>
      <c r="BG186" s="324">
        <v>74</v>
      </c>
      <c r="BH186" s="324">
        <v>68</v>
      </c>
      <c r="BI186" s="324">
        <v>70</v>
      </c>
      <c r="BJ186" s="324">
        <v>59</v>
      </c>
      <c r="BK186" s="324">
        <v>48</v>
      </c>
      <c r="BL186" s="324">
        <v>48</v>
      </c>
      <c r="BM186" s="324">
        <v>45.5</v>
      </c>
      <c r="BN186" s="324">
        <v>39.5</v>
      </c>
      <c r="BO186" s="324">
        <v>36.5</v>
      </c>
      <c r="BP186" s="324">
        <v>39</v>
      </c>
      <c r="BQ186" s="324">
        <v>37</v>
      </c>
      <c r="BR186" s="324">
        <v>0</v>
      </c>
      <c r="BS186" s="326">
        <f>AVERAGE(BF186:BG186)</f>
        <v>85.5</v>
      </c>
      <c r="BU186" s="323"/>
      <c r="BV186" s="324"/>
      <c r="BW186" s="324"/>
      <c r="BX186" s="324"/>
      <c r="BY186" s="324"/>
      <c r="BZ186" s="324"/>
      <c r="CA186" s="324"/>
      <c r="CB186" s="324"/>
      <c r="CC186" s="324"/>
      <c r="CD186" s="324"/>
      <c r="CE186" s="324"/>
      <c r="CF186" s="324"/>
      <c r="CG186" s="324"/>
      <c r="CH186" s="327" t="e">
        <v>#DIV/0!</v>
      </c>
      <c r="CJ186" s="323"/>
      <c r="CK186" s="324"/>
      <c r="CL186" s="324"/>
      <c r="CM186" s="324"/>
      <c r="CN186" s="324"/>
      <c r="CO186" s="324"/>
      <c r="CP186" s="324"/>
      <c r="CQ186" s="324"/>
      <c r="CR186" s="324"/>
      <c r="CS186" s="324"/>
      <c r="CT186" s="324"/>
      <c r="CU186" s="324"/>
      <c r="CV186" s="324"/>
      <c r="CW186" s="327"/>
      <c r="CY186" s="323">
        <v>64</v>
      </c>
      <c r="CZ186" s="324">
        <v>54</v>
      </c>
      <c r="DA186" s="324">
        <v>58</v>
      </c>
      <c r="DB186" s="324">
        <v>77</v>
      </c>
      <c r="DC186" s="324">
        <v>84</v>
      </c>
      <c r="DD186" s="324">
        <v>96</v>
      </c>
      <c r="DE186" s="324">
        <v>93</v>
      </c>
      <c r="DF186" s="324">
        <v>88</v>
      </c>
      <c r="DG186" s="324">
        <v>88</v>
      </c>
      <c r="DH186" s="324">
        <v>106</v>
      </c>
      <c r="DI186" s="324">
        <v>97</v>
      </c>
      <c r="DJ186" s="324">
        <v>96</v>
      </c>
      <c r="DK186" s="326">
        <f>AVERAGE(CY186:DJ186)</f>
        <v>83.416666666666671</v>
      </c>
    </row>
    <row r="187" spans="1:115" ht="14.45" hidden="1" customHeight="1">
      <c r="A187" s="12"/>
      <c r="B187" s="311"/>
      <c r="C187" s="311"/>
      <c r="D187" s="323"/>
      <c r="E187" s="104"/>
      <c r="F187" s="14"/>
      <c r="G187" s="14"/>
      <c r="H187" s="14"/>
      <c r="I187" s="261"/>
      <c r="J187" s="14"/>
      <c r="K187" s="14"/>
      <c r="L187" s="14"/>
      <c r="M187" s="14"/>
      <c r="N187" s="14"/>
      <c r="O187" s="14"/>
      <c r="P187" s="14"/>
      <c r="Q187" s="104"/>
      <c r="R187" s="266"/>
      <c r="S187" s="266"/>
      <c r="T187" s="266"/>
      <c r="U187" s="88"/>
      <c r="V187" s="267"/>
      <c r="W187" s="3"/>
      <c r="X187" s="323"/>
      <c r="Y187" s="104"/>
      <c r="Z187" s="14"/>
      <c r="AA187" s="14"/>
      <c r="AB187" s="14"/>
      <c r="AC187" s="261"/>
      <c r="AD187" s="14"/>
      <c r="AE187" s="14"/>
      <c r="AF187" s="14"/>
      <c r="AG187" s="14"/>
      <c r="AH187" s="14"/>
      <c r="AI187" s="14"/>
      <c r="AJ187" s="14"/>
      <c r="AK187" s="14"/>
      <c r="AL187" s="84"/>
      <c r="AM187" s="13"/>
      <c r="AN187" s="3"/>
      <c r="AO187" s="323"/>
      <c r="AP187" s="104"/>
      <c r="AQ187" s="14"/>
      <c r="AR187" s="14"/>
      <c r="AS187" s="14"/>
      <c r="AT187" s="261"/>
      <c r="AU187" s="14"/>
      <c r="AV187" s="14"/>
      <c r="AW187" s="14"/>
      <c r="AX187" s="14"/>
      <c r="AY187" s="14"/>
      <c r="AZ187" s="14"/>
      <c r="BA187" s="14"/>
      <c r="BB187" s="258"/>
      <c r="BC187" s="38"/>
      <c r="BD187" s="259"/>
      <c r="BF187" s="323"/>
      <c r="BG187" s="104"/>
      <c r="BH187" s="14"/>
      <c r="BI187" s="14"/>
      <c r="BJ187" s="14"/>
      <c r="BK187" s="261"/>
      <c r="BL187" s="261"/>
      <c r="BM187" s="261"/>
      <c r="BN187" s="261"/>
      <c r="BO187" s="261"/>
      <c r="BP187" s="261"/>
      <c r="BQ187" s="261"/>
      <c r="BR187" s="261"/>
      <c r="BS187" s="310"/>
      <c r="BU187" s="323"/>
      <c r="BV187" s="104"/>
      <c r="BW187" s="14"/>
      <c r="BX187" s="14"/>
      <c r="BY187" s="14"/>
      <c r="BZ187" s="261"/>
      <c r="CA187" s="14"/>
      <c r="CB187" s="14"/>
      <c r="CC187" s="14"/>
      <c r="CD187" s="14"/>
      <c r="CE187" s="14"/>
      <c r="CF187" s="14"/>
      <c r="CG187" s="14"/>
      <c r="CH187" s="13"/>
      <c r="CJ187" s="323"/>
      <c r="CK187" s="104"/>
      <c r="CL187" s="14"/>
      <c r="CM187" s="14"/>
      <c r="CN187" s="14"/>
      <c r="CO187" s="261"/>
      <c r="CP187" s="14"/>
      <c r="CQ187" s="14"/>
      <c r="CR187" s="14"/>
      <c r="CS187" s="14"/>
      <c r="CT187" s="14"/>
      <c r="CU187" s="14"/>
      <c r="CV187" s="14"/>
      <c r="CW187" s="13"/>
      <c r="CY187" s="323"/>
      <c r="CZ187" s="104"/>
      <c r="DA187" s="14"/>
      <c r="DB187" s="14"/>
      <c r="DC187" s="14"/>
      <c r="DD187" s="261"/>
      <c r="DE187" s="261"/>
      <c r="DF187" s="261"/>
      <c r="DG187" s="261"/>
      <c r="DH187" s="261"/>
      <c r="DI187" s="261"/>
      <c r="DJ187" s="261"/>
      <c r="DK187" s="310"/>
    </row>
    <row r="188" spans="1:115" ht="14.45" hidden="1" customHeight="1">
      <c r="A188" s="12"/>
      <c r="B188" s="311"/>
      <c r="C188" s="311"/>
      <c r="D188" s="328"/>
      <c r="E188" s="329"/>
      <c r="F188" s="14"/>
      <c r="G188" s="14"/>
      <c r="H188" s="14"/>
      <c r="I188" s="261"/>
      <c r="J188" s="14"/>
      <c r="K188" s="14"/>
      <c r="L188" s="14"/>
      <c r="M188" s="14"/>
      <c r="N188" s="14"/>
      <c r="O188" s="14"/>
      <c r="P188" s="14"/>
      <c r="Q188" s="104"/>
      <c r="R188" s="266"/>
      <c r="S188" s="266"/>
      <c r="T188" s="266"/>
      <c r="U188" s="88"/>
      <c r="V188" s="267"/>
      <c r="W188" s="3"/>
      <c r="X188" s="328"/>
      <c r="Y188" s="329"/>
      <c r="Z188" s="14"/>
      <c r="AA188" s="14"/>
      <c r="AB188" s="14"/>
      <c r="AC188" s="261"/>
      <c r="AD188" s="14"/>
      <c r="AE188" s="14"/>
      <c r="AF188" s="14"/>
      <c r="AG188" s="14"/>
      <c r="AH188" s="14"/>
      <c r="AI188" s="14"/>
      <c r="AJ188" s="14"/>
      <c r="AK188" s="14"/>
      <c r="AL188" s="84"/>
      <c r="AM188" s="13"/>
      <c r="AN188" s="3"/>
      <c r="AO188" s="328"/>
      <c r="AP188" s="329"/>
      <c r="AQ188" s="14"/>
      <c r="AR188" s="14"/>
      <c r="AS188" s="14"/>
      <c r="AT188" s="261"/>
      <c r="AU188" s="14"/>
      <c r="AV188" s="14"/>
      <c r="AW188" s="14"/>
      <c r="AX188" s="14"/>
      <c r="AY188" s="14"/>
      <c r="AZ188" s="14"/>
      <c r="BA188" s="14"/>
      <c r="BB188" s="258"/>
      <c r="BC188" s="38"/>
      <c r="BD188" s="259"/>
      <c r="BF188" s="328"/>
      <c r="BG188" s="329"/>
      <c r="BH188" s="14"/>
      <c r="BI188" s="14"/>
      <c r="BJ188" s="14"/>
      <c r="BK188" s="261"/>
      <c r="BL188" s="261"/>
      <c r="BM188" s="261"/>
      <c r="BN188" s="261"/>
      <c r="BO188" s="261"/>
      <c r="BP188" s="261"/>
      <c r="BQ188" s="261"/>
      <c r="BR188" s="261"/>
      <c r="BS188" s="310"/>
      <c r="BU188" s="328"/>
      <c r="BV188" s="329"/>
      <c r="BW188" s="14"/>
      <c r="BX188" s="14"/>
      <c r="BY188" s="14"/>
      <c r="BZ188" s="261"/>
      <c r="CA188" s="14"/>
      <c r="CB188" s="14"/>
      <c r="CC188" s="14"/>
      <c r="CD188" s="14"/>
      <c r="CE188" s="14"/>
      <c r="CF188" s="14"/>
      <c r="CG188" s="14"/>
      <c r="CH188" s="13"/>
      <c r="CJ188" s="328"/>
      <c r="CK188" s="329"/>
      <c r="CL188" s="14"/>
      <c r="CM188" s="14"/>
      <c r="CN188" s="14"/>
      <c r="CO188" s="261"/>
      <c r="CP188" s="14"/>
      <c r="CQ188" s="14"/>
      <c r="CR188" s="14"/>
      <c r="CS188" s="14"/>
      <c r="CT188" s="14"/>
      <c r="CU188" s="14"/>
      <c r="CV188" s="14"/>
      <c r="CW188" s="13"/>
      <c r="CY188" s="328"/>
      <c r="CZ188" s="329"/>
      <c r="DA188" s="14"/>
      <c r="DB188" s="14"/>
      <c r="DC188" s="14"/>
      <c r="DD188" s="261"/>
      <c r="DE188" s="261"/>
      <c r="DF188" s="261"/>
      <c r="DG188" s="261"/>
      <c r="DH188" s="261"/>
      <c r="DI188" s="261"/>
      <c r="DJ188" s="261"/>
      <c r="DK188" s="310"/>
    </row>
    <row r="189" spans="1:115" ht="14.45" hidden="1" customHeight="1">
      <c r="A189" s="12"/>
      <c r="B189" s="330" t="s">
        <v>152</v>
      </c>
      <c r="C189" s="330"/>
      <c r="D189" s="91"/>
      <c r="E189" s="104"/>
      <c r="F189" s="14"/>
      <c r="G189" s="14"/>
      <c r="H189" s="14"/>
      <c r="I189" s="261"/>
      <c r="J189" s="14"/>
      <c r="K189" s="14"/>
      <c r="L189" s="14"/>
      <c r="M189" s="14"/>
      <c r="N189" s="14"/>
      <c r="O189" s="14"/>
      <c r="P189" s="14"/>
      <c r="Q189" s="104"/>
      <c r="R189" s="266"/>
      <c r="S189" s="266"/>
      <c r="T189" s="266"/>
      <c r="U189" s="88"/>
      <c r="V189" s="267"/>
      <c r="W189" s="3"/>
      <c r="X189" s="91"/>
      <c r="Y189" s="104"/>
      <c r="Z189" s="14"/>
      <c r="AA189" s="14"/>
      <c r="AB189" s="14"/>
      <c r="AC189" s="261"/>
      <c r="AD189" s="14"/>
      <c r="AE189" s="14"/>
      <c r="AF189" s="14"/>
      <c r="AG189" s="14"/>
      <c r="AH189" s="14"/>
      <c r="AI189" s="14"/>
      <c r="AJ189" s="14"/>
      <c r="AK189" s="14"/>
      <c r="AL189" s="84"/>
      <c r="AM189" s="13"/>
      <c r="AN189" s="3"/>
      <c r="AO189" s="91"/>
      <c r="AP189" s="104"/>
      <c r="AQ189" s="14"/>
      <c r="AR189" s="14"/>
      <c r="AS189" s="14"/>
      <c r="AT189" s="261"/>
      <c r="AU189" s="14"/>
      <c r="AV189" s="14"/>
      <c r="AW189" s="14"/>
      <c r="AX189" s="14"/>
      <c r="AY189" s="14"/>
      <c r="AZ189" s="14"/>
      <c r="BA189" s="14"/>
      <c r="BB189" s="258"/>
      <c r="BC189" s="38"/>
      <c r="BD189" s="259"/>
      <c r="BF189" s="91"/>
      <c r="BG189" s="104"/>
      <c r="BH189" s="14"/>
      <c r="BI189" s="14"/>
      <c r="BJ189" s="14"/>
      <c r="BK189" s="261"/>
      <c r="BL189" s="261"/>
      <c r="BM189" s="261"/>
      <c r="BN189" s="261"/>
      <c r="BO189" s="261"/>
      <c r="BP189" s="261"/>
      <c r="BQ189" s="261"/>
      <c r="BR189" s="261"/>
      <c r="BS189" s="310"/>
      <c r="BU189" s="91"/>
      <c r="BV189" s="104"/>
      <c r="BW189" s="14"/>
      <c r="BX189" s="14"/>
      <c r="BY189" s="14"/>
      <c r="BZ189" s="261"/>
      <c r="CA189" s="14"/>
      <c r="CB189" s="14"/>
      <c r="CC189" s="14"/>
      <c r="CD189" s="14"/>
      <c r="CE189" s="14"/>
      <c r="CF189" s="14"/>
      <c r="CG189" s="14"/>
      <c r="CH189" s="13"/>
      <c r="CJ189" s="91"/>
      <c r="CK189" s="104"/>
      <c r="CL189" s="14"/>
      <c r="CM189" s="14"/>
      <c r="CN189" s="14"/>
      <c r="CO189" s="261"/>
      <c r="CP189" s="14"/>
      <c r="CQ189" s="14"/>
      <c r="CR189" s="14"/>
      <c r="CS189" s="14"/>
      <c r="CT189" s="14"/>
      <c r="CU189" s="14"/>
      <c r="CV189" s="14"/>
      <c r="CW189" s="13"/>
      <c r="CY189" s="91"/>
      <c r="CZ189" s="104"/>
      <c r="DA189" s="14"/>
      <c r="DB189" s="14"/>
      <c r="DC189" s="14"/>
      <c r="DD189" s="261"/>
      <c r="DE189" s="261"/>
      <c r="DF189" s="261"/>
      <c r="DG189" s="261"/>
      <c r="DH189" s="261"/>
      <c r="DI189" s="261"/>
      <c r="DJ189" s="261"/>
      <c r="DK189" s="310"/>
    </row>
    <row r="190" spans="1:115" ht="14.45" hidden="1" customHeight="1">
      <c r="A190" s="12"/>
      <c r="B190" s="331" t="s">
        <v>153</v>
      </c>
      <c r="C190" s="331"/>
      <c r="D190" s="91">
        <f t="shared" ref="D190:P190" si="293">D17/D184</f>
        <v>132161.23635338346</v>
      </c>
      <c r="E190" s="104">
        <f t="shared" si="293"/>
        <v>173821.82539682538</v>
      </c>
      <c r="F190" s="104" t="e">
        <f t="shared" si="293"/>
        <v>#DIV/0!</v>
      </c>
      <c r="G190" s="104" t="e">
        <f t="shared" si="293"/>
        <v>#DIV/0!</v>
      </c>
      <c r="H190" s="104" t="e">
        <f t="shared" si="293"/>
        <v>#DIV/0!</v>
      </c>
      <c r="I190" s="104" t="e">
        <f t="shared" si="293"/>
        <v>#DIV/0!</v>
      </c>
      <c r="J190" s="104" t="e">
        <f t="shared" si="293"/>
        <v>#DIV/0!</v>
      </c>
      <c r="K190" s="104" t="e">
        <f t="shared" si="293"/>
        <v>#DIV/0!</v>
      </c>
      <c r="L190" s="104" t="e">
        <f t="shared" si="293"/>
        <v>#DIV/0!</v>
      </c>
      <c r="M190" s="104" t="e">
        <f t="shared" si="293"/>
        <v>#DIV/0!</v>
      </c>
      <c r="N190" s="104" t="e">
        <f t="shared" si="293"/>
        <v>#DIV/0!</v>
      </c>
      <c r="O190" s="104" t="e">
        <f t="shared" si="293"/>
        <v>#DIV/0!</v>
      </c>
      <c r="P190" s="104">
        <f t="shared" si="293"/>
        <v>304857.09988416987</v>
      </c>
      <c r="Q190" s="104">
        <f>SUM(BS190)</f>
        <v>378168.11831978319</v>
      </c>
      <c r="R190" s="266">
        <f t="shared" ref="R190:R191" si="294">IF(ISERROR((($E190-$D190)/ABS($D190)+1)*100),0,(($E190-$D190)/ABS($D190)+1)*100)</f>
        <v>131.52254790659376</v>
      </c>
      <c r="S190" s="266">
        <f t="shared" ref="S190:S191" si="295">IF(ISERROR((($E190-$BG190)/ABS($BG190)+1)*100),0,(($E190-$BG190)/ABS($BG190)+1)*100)</f>
        <v>74.536710963307556</v>
      </c>
      <c r="T190" s="266"/>
      <c r="U190" s="88"/>
      <c r="V190" s="267"/>
      <c r="W190" s="3"/>
      <c r="X190" s="91" t="e">
        <f t="shared" ref="X190:AJ190" si="296">X17/X184</f>
        <v>#DIV/0!</v>
      </c>
      <c r="Y190" s="104" t="e">
        <f t="shared" si="296"/>
        <v>#DIV/0!</v>
      </c>
      <c r="Z190" s="104" t="e">
        <f t="shared" si="296"/>
        <v>#DIV/0!</v>
      </c>
      <c r="AA190" s="104" t="e">
        <f t="shared" si="296"/>
        <v>#DIV/0!</v>
      </c>
      <c r="AB190" s="104" t="e">
        <f t="shared" si="296"/>
        <v>#DIV/0!</v>
      </c>
      <c r="AC190" s="104" t="e">
        <f t="shared" si="296"/>
        <v>#DIV/0!</v>
      </c>
      <c r="AD190" s="104" t="e">
        <f t="shared" si="296"/>
        <v>#DIV/0!</v>
      </c>
      <c r="AE190" s="104" t="e">
        <f t="shared" si="296"/>
        <v>#DIV/0!</v>
      </c>
      <c r="AF190" s="104" t="e">
        <f t="shared" si="296"/>
        <v>#DIV/0!</v>
      </c>
      <c r="AG190" s="104" t="e">
        <f t="shared" si="296"/>
        <v>#DIV/0!</v>
      </c>
      <c r="AH190" s="104" t="e">
        <f t="shared" si="296"/>
        <v>#DIV/0!</v>
      </c>
      <c r="AI190" s="104" t="e">
        <f t="shared" si="296"/>
        <v>#DIV/0!</v>
      </c>
      <c r="AJ190" s="104" t="e">
        <f t="shared" si="296"/>
        <v>#DIV/0!</v>
      </c>
      <c r="AK190" s="266">
        <f t="shared" ref="AK190:AK191" si="297">IF(ISERROR((($Y190-$X190)/ABS($X190)+1)*100),0,(($Y190-$X190)/ABS($X190)+1)*100)</f>
        <v>0</v>
      </c>
      <c r="AL190" s="88"/>
      <c r="AM190" s="267"/>
      <c r="AN190" s="3"/>
      <c r="AO190" s="91" t="e">
        <f t="shared" ref="AO190:BA190" si="298">AO17/AO184</f>
        <v>#DIV/0!</v>
      </c>
      <c r="AP190" s="104" t="e">
        <f t="shared" si="298"/>
        <v>#DIV/0!</v>
      </c>
      <c r="AQ190" s="104" t="e">
        <f t="shared" si="298"/>
        <v>#DIV/0!</v>
      </c>
      <c r="AR190" s="104" t="e">
        <f t="shared" si="298"/>
        <v>#DIV/0!</v>
      </c>
      <c r="AS190" s="104" t="e">
        <f t="shared" si="298"/>
        <v>#DIV/0!</v>
      </c>
      <c r="AT190" s="104" t="e">
        <f t="shared" si="298"/>
        <v>#DIV/0!</v>
      </c>
      <c r="AU190" s="104" t="e">
        <f t="shared" si="298"/>
        <v>#DIV/0!</v>
      </c>
      <c r="AV190" s="104" t="e">
        <f t="shared" si="298"/>
        <v>#DIV/0!</v>
      </c>
      <c r="AW190" s="104" t="e">
        <f t="shared" si="298"/>
        <v>#DIV/0!</v>
      </c>
      <c r="AX190" s="104" t="e">
        <f t="shared" si="298"/>
        <v>#DIV/0!</v>
      </c>
      <c r="AY190" s="104" t="e">
        <f t="shared" si="298"/>
        <v>#DIV/0!</v>
      </c>
      <c r="AZ190" s="104" t="e">
        <f t="shared" si="298"/>
        <v>#DIV/0!</v>
      </c>
      <c r="BA190" s="104" t="e">
        <f t="shared" si="298"/>
        <v>#DIV/0!</v>
      </c>
      <c r="BB190" s="258"/>
      <c r="BC190" s="38"/>
      <c r="BD190" s="259"/>
      <c r="BF190" s="91">
        <v>150563.99289340101</v>
      </c>
      <c r="BG190" s="104">
        <v>233202.97226744183</v>
      </c>
      <c r="BH190" s="104">
        <v>188991.62824175827</v>
      </c>
      <c r="BI190" s="104">
        <v>220416.37446808509</v>
      </c>
      <c r="BJ190" s="104">
        <v>145693.77181184667</v>
      </c>
      <c r="BK190" s="104">
        <v>131289.46585365853</v>
      </c>
      <c r="BL190" s="104">
        <v>136744.40334494773</v>
      </c>
      <c r="BM190" s="104">
        <v>123388.31522998295</v>
      </c>
      <c r="BN190" s="104">
        <v>149154.69107205624</v>
      </c>
      <c r="BO190" s="104">
        <v>159778.19294755877</v>
      </c>
      <c r="BP190" s="104">
        <v>122777.4753763441</v>
      </c>
      <c r="BQ190" s="104">
        <v>150150.55909420291</v>
      </c>
      <c r="BR190" s="104">
        <v>41524.343807531382</v>
      </c>
      <c r="BS190" s="262">
        <f>BS17/BS184</f>
        <v>378168.11831978319</v>
      </c>
      <c r="BU190" s="91" t="e">
        <v>#DIV/0!</v>
      </c>
      <c r="BV190" s="104" t="e">
        <v>#DIV/0!</v>
      </c>
      <c r="BW190" s="104" t="e">
        <v>#DIV/0!</v>
      </c>
      <c r="BX190" s="104" t="e">
        <v>#DIV/0!</v>
      </c>
      <c r="BY190" s="104" t="e">
        <v>#DIV/0!</v>
      </c>
      <c r="BZ190" s="104" t="e">
        <v>#DIV/0!</v>
      </c>
      <c r="CA190" s="104" t="e">
        <v>#DIV/0!</v>
      </c>
      <c r="CB190" s="104" t="e">
        <v>#DIV/0!</v>
      </c>
      <c r="CC190" s="104" t="e">
        <v>#DIV/0!</v>
      </c>
      <c r="CD190" s="104" t="e">
        <v>#DIV/0!</v>
      </c>
      <c r="CE190" s="104" t="e">
        <v>#DIV/0!</v>
      </c>
      <c r="CF190" s="104" t="e">
        <v>#DIV/0!</v>
      </c>
      <c r="CG190" s="104" t="e">
        <v>#DIV/0!</v>
      </c>
      <c r="CH190" s="105" t="e">
        <v>#DIV/0!</v>
      </c>
      <c r="CJ190" s="91" t="e">
        <v>#DIV/0!</v>
      </c>
      <c r="CK190" s="104" t="e">
        <v>#DIV/0!</v>
      </c>
      <c r="CL190" s="104" t="e">
        <v>#DIV/0!</v>
      </c>
      <c r="CM190" s="104" t="e">
        <v>#DIV/0!</v>
      </c>
      <c r="CN190" s="104" t="e">
        <v>#DIV/0!</v>
      </c>
      <c r="CO190" s="104" t="e">
        <v>#DIV/0!</v>
      </c>
      <c r="CP190" s="104" t="e">
        <v>#DIV/0!</v>
      </c>
      <c r="CQ190" s="104" t="e">
        <v>#DIV/0!</v>
      </c>
      <c r="CR190" s="104" t="e">
        <v>#DIV/0!</v>
      </c>
      <c r="CS190" s="104" t="e">
        <v>#DIV/0!</v>
      </c>
      <c r="CT190" s="104" t="e">
        <v>#DIV/0!</v>
      </c>
      <c r="CU190" s="104" t="e">
        <v>#DIV/0!</v>
      </c>
      <c r="CV190" s="104" t="e">
        <v>#DIV/0!</v>
      </c>
      <c r="CW190" s="105" t="e">
        <v>#DIV/0!</v>
      </c>
      <c r="CY190" s="91">
        <v>330064.74958904111</v>
      </c>
      <c r="CZ190" s="104">
        <v>446901.99314285716</v>
      </c>
      <c r="DA190" s="104">
        <v>411923.29877551022</v>
      </c>
      <c r="DB190" s="104">
        <v>395805.59494047624</v>
      </c>
      <c r="DC190" s="104">
        <v>311334.62124293781</v>
      </c>
      <c r="DD190" s="104">
        <v>170651.0303030303</v>
      </c>
      <c r="DE190" s="104">
        <v>229209.56316062174</v>
      </c>
      <c r="DF190" s="104">
        <v>199172.03631868132</v>
      </c>
      <c r="DG190" s="104">
        <v>288320.76673684211</v>
      </c>
      <c r="DH190" s="104">
        <v>192231.22870192304</v>
      </c>
      <c r="DI190" s="104">
        <v>112818.3599</v>
      </c>
      <c r="DJ190" s="104">
        <v>139555.05055000001</v>
      </c>
      <c r="DK190" s="262">
        <f>DK17/DK184</f>
        <v>3084739.3705909718</v>
      </c>
    </row>
    <row r="191" spans="1:115" ht="14.25" hidden="1" customHeight="1">
      <c r="A191" s="12"/>
      <c r="B191" s="331" t="s">
        <v>154</v>
      </c>
      <c r="C191" s="331"/>
      <c r="D191" s="91">
        <f t="shared" ref="D191:P191" si="299">D55/D184</f>
        <v>64107.934736842108</v>
      </c>
      <c r="E191" s="104">
        <f t="shared" si="299"/>
        <v>66986.935198412699</v>
      </c>
      <c r="F191" s="104" t="e">
        <f t="shared" si="299"/>
        <v>#DIV/0!</v>
      </c>
      <c r="G191" s="104" t="e">
        <f t="shared" si="299"/>
        <v>#DIV/0!</v>
      </c>
      <c r="H191" s="104" t="e">
        <f t="shared" si="299"/>
        <v>#DIV/0!</v>
      </c>
      <c r="I191" s="104" t="e">
        <f t="shared" si="299"/>
        <v>#DIV/0!</v>
      </c>
      <c r="J191" s="104" t="e">
        <f t="shared" si="299"/>
        <v>#DIV/0!</v>
      </c>
      <c r="K191" s="104" t="e">
        <f t="shared" si="299"/>
        <v>#DIV/0!</v>
      </c>
      <c r="L191" s="104" t="e">
        <f t="shared" si="299"/>
        <v>#DIV/0!</v>
      </c>
      <c r="M191" s="104" t="e">
        <f t="shared" si="299"/>
        <v>#DIV/0!</v>
      </c>
      <c r="N191" s="104" t="e">
        <f t="shared" si="299"/>
        <v>#DIV/0!</v>
      </c>
      <c r="O191" s="104" t="e">
        <f t="shared" si="299"/>
        <v>#DIV/0!</v>
      </c>
      <c r="P191" s="104">
        <f t="shared" si="299"/>
        <v>131017.05911196912</v>
      </c>
      <c r="Q191" s="104">
        <f>SUM(BS191)</f>
        <v>162624.79582655826</v>
      </c>
      <c r="R191" s="266">
        <f t="shared" si="294"/>
        <v>104.49086446691607</v>
      </c>
      <c r="S191" s="266">
        <f t="shared" si="295"/>
        <v>76.922578616838621</v>
      </c>
      <c r="T191" s="266"/>
      <c r="U191" s="88"/>
      <c r="V191" s="267"/>
      <c r="W191" s="3"/>
      <c r="X191" s="91" t="e">
        <f t="shared" ref="X191:AJ191" si="300">X55/X184</f>
        <v>#DIV/0!</v>
      </c>
      <c r="Y191" s="104" t="e">
        <f t="shared" si="300"/>
        <v>#DIV/0!</v>
      </c>
      <c r="Z191" s="104" t="e">
        <f t="shared" si="300"/>
        <v>#DIV/0!</v>
      </c>
      <c r="AA191" s="104" t="e">
        <f t="shared" si="300"/>
        <v>#DIV/0!</v>
      </c>
      <c r="AB191" s="104" t="e">
        <f t="shared" si="300"/>
        <v>#DIV/0!</v>
      </c>
      <c r="AC191" s="104" t="e">
        <f t="shared" si="300"/>
        <v>#DIV/0!</v>
      </c>
      <c r="AD191" s="104" t="e">
        <f t="shared" si="300"/>
        <v>#DIV/0!</v>
      </c>
      <c r="AE191" s="104" t="e">
        <f t="shared" si="300"/>
        <v>#DIV/0!</v>
      </c>
      <c r="AF191" s="104" t="e">
        <f t="shared" si="300"/>
        <v>#DIV/0!</v>
      </c>
      <c r="AG191" s="104" t="e">
        <f t="shared" si="300"/>
        <v>#DIV/0!</v>
      </c>
      <c r="AH191" s="104" t="e">
        <f t="shared" si="300"/>
        <v>#DIV/0!</v>
      </c>
      <c r="AI191" s="104" t="e">
        <f t="shared" si="300"/>
        <v>#DIV/0!</v>
      </c>
      <c r="AJ191" s="104" t="e">
        <f t="shared" si="300"/>
        <v>#DIV/0!</v>
      </c>
      <c r="AK191" s="266">
        <f t="shared" si="297"/>
        <v>0</v>
      </c>
      <c r="AL191" s="88"/>
      <c r="AM191" s="267"/>
      <c r="AN191" s="3"/>
      <c r="AO191" s="91" t="e">
        <f t="shared" ref="AO191:BA191" si="301">AO55/AO184</f>
        <v>#DIV/0!</v>
      </c>
      <c r="AP191" s="104" t="e">
        <f t="shared" si="301"/>
        <v>#DIV/0!</v>
      </c>
      <c r="AQ191" s="104" t="e">
        <f t="shared" si="301"/>
        <v>#DIV/0!</v>
      </c>
      <c r="AR191" s="104" t="e">
        <f t="shared" si="301"/>
        <v>#DIV/0!</v>
      </c>
      <c r="AS191" s="104" t="e">
        <f t="shared" si="301"/>
        <v>#DIV/0!</v>
      </c>
      <c r="AT191" s="104" t="e">
        <f t="shared" si="301"/>
        <v>#DIV/0!</v>
      </c>
      <c r="AU191" s="104" t="e">
        <f t="shared" si="301"/>
        <v>#DIV/0!</v>
      </c>
      <c r="AV191" s="104" t="e">
        <f t="shared" si="301"/>
        <v>#DIV/0!</v>
      </c>
      <c r="AW191" s="104" t="e">
        <f t="shared" si="301"/>
        <v>#DIV/0!</v>
      </c>
      <c r="AX191" s="104" t="e">
        <f t="shared" si="301"/>
        <v>#DIV/0!</v>
      </c>
      <c r="AY191" s="104" t="e">
        <f t="shared" si="301"/>
        <v>#DIV/0!</v>
      </c>
      <c r="AZ191" s="104" t="e">
        <f t="shared" si="301"/>
        <v>#DIV/0!</v>
      </c>
      <c r="BA191" s="104" t="e">
        <f t="shared" si="301"/>
        <v>#DIV/0!</v>
      </c>
      <c r="BB191" s="258"/>
      <c r="BC191" s="38"/>
      <c r="BD191" s="259"/>
      <c r="BF191" s="91">
        <v>76273.599441624363</v>
      </c>
      <c r="BG191" s="104">
        <v>87083.57988372093</v>
      </c>
      <c r="BH191" s="104">
        <v>82701.019340659332</v>
      </c>
      <c r="BI191" s="104">
        <v>79504.885691489369</v>
      </c>
      <c r="BJ191" s="104">
        <v>53883.789790940769</v>
      </c>
      <c r="BK191" s="104">
        <v>50747.988013937291</v>
      </c>
      <c r="BL191" s="104">
        <v>50932.294355400692</v>
      </c>
      <c r="BM191" s="104">
        <v>52644.426269165248</v>
      </c>
      <c r="BN191" s="104">
        <v>50939.267135325135</v>
      </c>
      <c r="BO191" s="104">
        <v>56452.943182640141</v>
      </c>
      <c r="BP191" s="104">
        <v>54542.740752688173</v>
      </c>
      <c r="BQ191" s="104">
        <v>56975.001811594208</v>
      </c>
      <c r="BR191" s="104">
        <v>14365.049958158994</v>
      </c>
      <c r="BS191" s="262">
        <f>BS55/BS184</f>
        <v>162624.79582655826</v>
      </c>
      <c r="BU191" s="91" t="e">
        <v>#DIV/0!</v>
      </c>
      <c r="BV191" s="104" t="e">
        <v>#DIV/0!</v>
      </c>
      <c r="BW191" s="104" t="e">
        <v>#DIV/0!</v>
      </c>
      <c r="BX191" s="104" t="e">
        <v>#DIV/0!</v>
      </c>
      <c r="BY191" s="104" t="e">
        <v>#DIV/0!</v>
      </c>
      <c r="BZ191" s="104" t="e">
        <v>#DIV/0!</v>
      </c>
      <c r="CA191" s="104" t="e">
        <v>#DIV/0!</v>
      </c>
      <c r="CB191" s="104" t="e">
        <v>#DIV/0!</v>
      </c>
      <c r="CC191" s="104" t="e">
        <v>#DIV/0!</v>
      </c>
      <c r="CD191" s="104" t="e">
        <v>#DIV/0!</v>
      </c>
      <c r="CE191" s="104" t="e">
        <v>#DIV/0!</v>
      </c>
      <c r="CF191" s="104" t="e">
        <v>#DIV/0!</v>
      </c>
      <c r="CG191" s="104" t="e">
        <v>#DIV/0!</v>
      </c>
      <c r="CH191" s="105" t="e">
        <v>#DIV/0!</v>
      </c>
      <c r="CJ191" s="91" t="e">
        <v>#DIV/0!</v>
      </c>
      <c r="CK191" s="104" t="e">
        <v>#DIV/0!</v>
      </c>
      <c r="CL191" s="104" t="e">
        <v>#DIV/0!</v>
      </c>
      <c r="CM191" s="104" t="e">
        <v>#DIV/0!</v>
      </c>
      <c r="CN191" s="104" t="e">
        <v>#DIV/0!</v>
      </c>
      <c r="CO191" s="104" t="e">
        <v>#DIV/0!</v>
      </c>
      <c r="CP191" s="104" t="e">
        <v>#DIV/0!</v>
      </c>
      <c r="CQ191" s="104" t="e">
        <v>#DIV/0!</v>
      </c>
      <c r="CR191" s="104" t="e">
        <v>#DIV/0!</v>
      </c>
      <c r="CS191" s="104" t="e">
        <v>#DIV/0!</v>
      </c>
      <c r="CT191" s="104" t="e">
        <v>#DIV/0!</v>
      </c>
      <c r="CU191" s="104" t="e">
        <v>#DIV/0!</v>
      </c>
      <c r="CV191" s="104" t="e">
        <v>#DIV/0!</v>
      </c>
      <c r="CW191" s="105" t="e">
        <v>#DIV/0!</v>
      </c>
      <c r="CY191" s="91">
        <v>77206.275821917821</v>
      </c>
      <c r="CZ191" s="104">
        <v>85160.963999999993</v>
      </c>
      <c r="DA191" s="104">
        <v>88798.920748299322</v>
      </c>
      <c r="DB191" s="104">
        <v>81339.323571428584</v>
      </c>
      <c r="DC191" s="104">
        <v>79155.712429378545</v>
      </c>
      <c r="DD191" s="104">
        <v>70828.189949494947</v>
      </c>
      <c r="DE191" s="104">
        <v>74047.237668393776</v>
      </c>
      <c r="DF191" s="104">
        <v>80510.187032967035</v>
      </c>
      <c r="DG191" s="104">
        <v>77581.861526315799</v>
      </c>
      <c r="DH191" s="104">
        <v>73087.066826923081</v>
      </c>
      <c r="DI191" s="104">
        <v>73104.944799999997</v>
      </c>
      <c r="DJ191" s="104">
        <v>74466.960650000008</v>
      </c>
      <c r="DK191" s="262">
        <f>DK55/DK184</f>
        <v>928889.6635086087</v>
      </c>
    </row>
    <row r="192" spans="1:115" s="296" customFormat="1" ht="12.75" hidden="1" customHeight="1">
      <c r="A192" s="288"/>
      <c r="B192" s="332" t="s">
        <v>155</v>
      </c>
      <c r="C192" s="333"/>
      <c r="D192" s="334">
        <f>D102/D184</f>
        <v>19418.367478897559</v>
      </c>
      <c r="E192" s="335">
        <f>E102/E184</f>
        <v>13787.299635450177</v>
      </c>
      <c r="F192" s="335" t="e">
        <f t="shared" ref="F192:P192" si="302">F102/F184</f>
        <v>#DIV/0!</v>
      </c>
      <c r="G192" s="335" t="e">
        <f t="shared" si="302"/>
        <v>#DIV/0!</v>
      </c>
      <c r="H192" s="335" t="e">
        <f t="shared" si="302"/>
        <v>#DIV/0!</v>
      </c>
      <c r="I192" s="335" t="e">
        <f t="shared" si="302"/>
        <v>#DIV/0!</v>
      </c>
      <c r="J192" s="104" t="e">
        <f t="shared" si="302"/>
        <v>#DIV/0!</v>
      </c>
      <c r="K192" s="104" t="e">
        <f t="shared" si="302"/>
        <v>#DIV/0!</v>
      </c>
      <c r="L192" s="104" t="e">
        <f t="shared" si="302"/>
        <v>#DIV/0!</v>
      </c>
      <c r="M192" s="104" t="e">
        <f t="shared" si="302"/>
        <v>#DIV/0!</v>
      </c>
      <c r="N192" s="104" t="e">
        <f t="shared" si="302"/>
        <v>#DIV/0!</v>
      </c>
      <c r="O192" s="104" t="e">
        <f t="shared" si="302"/>
        <v>#DIV/0!</v>
      </c>
      <c r="P192" s="104">
        <f t="shared" si="302"/>
        <v>33357.858137143608</v>
      </c>
      <c r="Q192" s="104">
        <f>SUM(BS192)</f>
        <v>54129.972613830701</v>
      </c>
      <c r="R192" s="266">
        <f>IF(ISERROR((($J192-$I192)/ABS($I192)+1)*100),0,(($J192-$I192)/ABS($I192)+1)*100)</f>
        <v>0</v>
      </c>
      <c r="S192" s="266">
        <f>IF(ISERROR((($J192-$BL192)/ABS($BL192)+1)*100),0,(($J192-$BL192)/ABS($BL192)+1)*100)</f>
        <v>0</v>
      </c>
      <c r="T192" s="266"/>
      <c r="U192" s="88"/>
      <c r="V192" s="267"/>
      <c r="W192" s="292"/>
      <c r="X192" s="334" t="e">
        <f t="shared" ref="X192:AJ192" si="303">X102/X184</f>
        <v>#DIV/0!</v>
      </c>
      <c r="Y192" s="335" t="e">
        <f t="shared" si="303"/>
        <v>#DIV/0!</v>
      </c>
      <c r="Z192" s="335" t="e">
        <f t="shared" si="303"/>
        <v>#DIV/0!</v>
      </c>
      <c r="AA192" s="335" t="e">
        <f t="shared" si="303"/>
        <v>#DIV/0!</v>
      </c>
      <c r="AB192" s="335" t="e">
        <f t="shared" si="303"/>
        <v>#DIV/0!</v>
      </c>
      <c r="AC192" s="335" t="e">
        <f t="shared" si="303"/>
        <v>#DIV/0!</v>
      </c>
      <c r="AD192" s="104" t="e">
        <f t="shared" si="303"/>
        <v>#DIV/0!</v>
      </c>
      <c r="AE192" s="104" t="e">
        <f t="shared" si="303"/>
        <v>#DIV/0!</v>
      </c>
      <c r="AF192" s="104" t="e">
        <f t="shared" si="303"/>
        <v>#DIV/0!</v>
      </c>
      <c r="AG192" s="104" t="e">
        <f t="shared" si="303"/>
        <v>#DIV/0!</v>
      </c>
      <c r="AH192" s="104" t="e">
        <f t="shared" si="303"/>
        <v>#DIV/0!</v>
      </c>
      <c r="AI192" s="104" t="e">
        <f t="shared" si="303"/>
        <v>#DIV/0!</v>
      </c>
      <c r="AJ192" s="104" t="e">
        <f t="shared" si="303"/>
        <v>#DIV/0!</v>
      </c>
      <c r="AK192" s="104"/>
      <c r="AL192" s="102"/>
      <c r="AM192" s="105"/>
      <c r="AN192" s="292"/>
      <c r="AO192" s="334" t="e">
        <f t="shared" ref="AO192:BA192" si="304">AO102/AO184</f>
        <v>#DIV/0!</v>
      </c>
      <c r="AP192" s="335" t="e">
        <f t="shared" si="304"/>
        <v>#DIV/0!</v>
      </c>
      <c r="AQ192" s="335" t="e">
        <f t="shared" si="304"/>
        <v>#DIV/0!</v>
      </c>
      <c r="AR192" s="335" t="e">
        <f t="shared" si="304"/>
        <v>#DIV/0!</v>
      </c>
      <c r="AS192" s="335" t="e">
        <f t="shared" si="304"/>
        <v>#DIV/0!</v>
      </c>
      <c r="AT192" s="335" t="e">
        <f t="shared" si="304"/>
        <v>#DIV/0!</v>
      </c>
      <c r="AU192" s="104" t="e">
        <f t="shared" si="304"/>
        <v>#DIV/0!</v>
      </c>
      <c r="AV192" s="104" t="e">
        <f t="shared" si="304"/>
        <v>#DIV/0!</v>
      </c>
      <c r="AW192" s="104" t="e">
        <f t="shared" si="304"/>
        <v>#DIV/0!</v>
      </c>
      <c r="AX192" s="104" t="e">
        <f t="shared" si="304"/>
        <v>#DIV/0!</v>
      </c>
      <c r="AY192" s="104" t="e">
        <f t="shared" si="304"/>
        <v>#DIV/0!</v>
      </c>
      <c r="AZ192" s="104" t="e">
        <f t="shared" si="304"/>
        <v>#DIV/0!</v>
      </c>
      <c r="BA192" s="104" t="e">
        <f t="shared" si="304"/>
        <v>#DIV/0!</v>
      </c>
      <c r="BB192" s="293"/>
      <c r="BC192" s="294"/>
      <c r="BD192" s="295"/>
      <c r="BF192" s="334">
        <v>28750.27184642147</v>
      </c>
      <c r="BG192" s="335">
        <v>25134.74647387637</v>
      </c>
      <c r="BH192" s="335">
        <v>31423.091087550609</v>
      </c>
      <c r="BI192" s="335">
        <v>22398.149856109172</v>
      </c>
      <c r="BJ192" s="335">
        <v>21274.570460452389</v>
      </c>
      <c r="BK192" s="335">
        <v>12007.008741069507</v>
      </c>
      <c r="BL192" s="335">
        <v>16638.921243805562</v>
      </c>
      <c r="BM192" s="335">
        <v>19265.374966032665</v>
      </c>
      <c r="BN192" s="335">
        <v>8857.565379801581</v>
      </c>
      <c r="BO192" s="335">
        <v>21147.593713478818</v>
      </c>
      <c r="BP192" s="335">
        <v>19162.86312434341</v>
      </c>
      <c r="BQ192" s="335">
        <v>18392.182724789505</v>
      </c>
      <c r="BR192" s="335">
        <v>10910.197196739808</v>
      </c>
      <c r="BS192" s="336">
        <f>BS102/BS184</f>
        <v>54129.972613830701</v>
      </c>
      <c r="BU192" s="334" t="e">
        <v>#DIV/0!</v>
      </c>
      <c r="BV192" s="335" t="e">
        <v>#DIV/0!</v>
      </c>
      <c r="BW192" s="335" t="e">
        <v>#DIV/0!</v>
      </c>
      <c r="BX192" s="335" t="e">
        <v>#DIV/0!</v>
      </c>
      <c r="BY192" s="335" t="e">
        <v>#DIV/0!</v>
      </c>
      <c r="BZ192" s="335" t="e">
        <v>#DIV/0!</v>
      </c>
      <c r="CA192" s="104" t="e">
        <v>#DIV/0!</v>
      </c>
      <c r="CB192" s="104" t="e">
        <v>#DIV/0!</v>
      </c>
      <c r="CC192" s="104" t="e">
        <v>#DIV/0!</v>
      </c>
      <c r="CD192" s="104" t="e">
        <v>#DIV/0!</v>
      </c>
      <c r="CE192" s="104" t="e">
        <v>#DIV/0!</v>
      </c>
      <c r="CF192" s="104" t="e">
        <v>#DIV/0!</v>
      </c>
      <c r="CG192" s="104" t="e">
        <v>#DIV/0!</v>
      </c>
      <c r="CH192" s="105" t="e">
        <v>#DIV/0!</v>
      </c>
      <c r="CJ192" s="334" t="e">
        <v>#DIV/0!</v>
      </c>
      <c r="CK192" s="335" t="e">
        <v>#DIV/0!</v>
      </c>
      <c r="CL192" s="335" t="e">
        <v>#DIV/0!</v>
      </c>
      <c r="CM192" s="335" t="e">
        <v>#DIV/0!</v>
      </c>
      <c r="CN192" s="335" t="e">
        <v>#DIV/0!</v>
      </c>
      <c r="CO192" s="335" t="e">
        <v>#DIV/0!</v>
      </c>
      <c r="CP192" s="104" t="e">
        <v>#DIV/0!</v>
      </c>
      <c r="CQ192" s="104" t="e">
        <v>#DIV/0!</v>
      </c>
      <c r="CR192" s="104" t="e">
        <v>#DIV/0!</v>
      </c>
      <c r="CS192" s="104" t="e">
        <v>#DIV/0!</v>
      </c>
      <c r="CT192" s="104" t="e">
        <v>#DIV/0!</v>
      </c>
      <c r="CU192" s="104" t="e">
        <v>#DIV/0!</v>
      </c>
      <c r="CV192" s="104" t="e">
        <v>#DIV/0!</v>
      </c>
      <c r="CW192" s="105" t="e">
        <v>#DIV/0!</v>
      </c>
      <c r="CY192" s="334">
        <v>41446.011921327976</v>
      </c>
      <c r="CZ192" s="335">
        <v>43708.37522013548</v>
      </c>
      <c r="DA192" s="335">
        <v>47563.047747874363</v>
      </c>
      <c r="DB192" s="335">
        <v>42081.986712980972</v>
      </c>
      <c r="DC192" s="335">
        <v>40146.877065336637</v>
      </c>
      <c r="DD192" s="335">
        <v>34060.739583474948</v>
      </c>
      <c r="DE192" s="335">
        <v>31743.943662554735</v>
      </c>
      <c r="DF192" s="335">
        <v>33497.320666190819</v>
      </c>
      <c r="DG192" s="335">
        <v>28640.900452695394</v>
      </c>
      <c r="DH192" s="335">
        <f>DH102/DH184</f>
        <v>35078.713458864542</v>
      </c>
      <c r="DI192" s="335">
        <f>DI102/DI184</f>
        <v>26281.224757328509</v>
      </c>
      <c r="DJ192" s="335">
        <f>DJ102/DJ184</f>
        <v>32944.72791159062</v>
      </c>
      <c r="DK192" s="336">
        <f>DK102/DK184</f>
        <v>429343.60117358796</v>
      </c>
    </row>
    <row r="193" spans="1:115" s="296" customFormat="1" ht="14.45" hidden="1" customHeight="1">
      <c r="A193" s="288"/>
      <c r="B193" s="337" t="s">
        <v>156</v>
      </c>
      <c r="C193" s="338"/>
      <c r="D193" s="334"/>
      <c r="E193" s="335"/>
      <c r="F193" s="339"/>
      <c r="G193" s="339"/>
      <c r="H193" s="339"/>
      <c r="I193" s="339"/>
      <c r="J193" s="14"/>
      <c r="K193" s="14"/>
      <c r="L193" s="14"/>
      <c r="M193" s="14"/>
      <c r="N193" s="14"/>
      <c r="O193" s="14"/>
      <c r="P193" s="14"/>
      <c r="Q193" s="104"/>
      <c r="R193" s="339"/>
      <c r="S193" s="339"/>
      <c r="T193" s="339"/>
      <c r="U193" s="340"/>
      <c r="V193" s="341"/>
      <c r="W193" s="292"/>
      <c r="X193" s="334"/>
      <c r="Y193" s="335"/>
      <c r="Z193" s="339"/>
      <c r="AA193" s="339"/>
      <c r="AB193" s="339"/>
      <c r="AC193" s="339"/>
      <c r="AD193" s="14"/>
      <c r="AE193" s="14"/>
      <c r="AF193" s="14"/>
      <c r="AG193" s="14"/>
      <c r="AH193" s="14"/>
      <c r="AI193" s="14"/>
      <c r="AJ193" s="14"/>
      <c r="AK193" s="14"/>
      <c r="AL193" s="84"/>
      <c r="AM193" s="13"/>
      <c r="AN193" s="292"/>
      <c r="AO193" s="334"/>
      <c r="AP193" s="335"/>
      <c r="AQ193" s="339"/>
      <c r="AR193" s="339"/>
      <c r="AS193" s="339"/>
      <c r="AT193" s="339"/>
      <c r="AU193" s="14"/>
      <c r="AV193" s="14"/>
      <c r="AW193" s="14"/>
      <c r="AX193" s="14"/>
      <c r="AY193" s="14"/>
      <c r="AZ193" s="14"/>
      <c r="BA193" s="14"/>
      <c r="BB193" s="293"/>
      <c r="BC193" s="294"/>
      <c r="BD193" s="295"/>
      <c r="BF193" s="334"/>
      <c r="BG193" s="335"/>
      <c r="BH193" s="339"/>
      <c r="BI193" s="339"/>
      <c r="BJ193" s="339"/>
      <c r="BK193" s="339"/>
      <c r="BL193" s="339"/>
      <c r="BM193" s="339"/>
      <c r="BN193" s="339"/>
      <c r="BO193" s="339"/>
      <c r="BP193" s="339"/>
      <c r="BQ193" s="339"/>
      <c r="BR193" s="339"/>
      <c r="BS193" s="342"/>
      <c r="BU193" s="334"/>
      <c r="BV193" s="335"/>
      <c r="BW193" s="339"/>
      <c r="BX193" s="339"/>
      <c r="BY193" s="339"/>
      <c r="BZ193" s="339"/>
      <c r="CA193" s="14"/>
      <c r="CB193" s="14"/>
      <c r="CC193" s="14"/>
      <c r="CD193" s="14"/>
      <c r="CE193" s="14"/>
      <c r="CF193" s="14"/>
      <c r="CG193" s="14"/>
      <c r="CH193" s="13"/>
      <c r="CJ193" s="334"/>
      <c r="CK193" s="335"/>
      <c r="CL193" s="339"/>
      <c r="CM193" s="339"/>
      <c r="CN193" s="339"/>
      <c r="CO193" s="339"/>
      <c r="CP193" s="14"/>
      <c r="CQ193" s="14"/>
      <c r="CR193" s="14"/>
      <c r="CS193" s="14"/>
      <c r="CT193" s="14"/>
      <c r="CU193" s="14"/>
      <c r="CV193" s="14"/>
      <c r="CW193" s="13"/>
      <c r="CY193" s="334"/>
      <c r="CZ193" s="335"/>
      <c r="DA193" s="339"/>
      <c r="DB193" s="339"/>
      <c r="DC193" s="339"/>
      <c r="DD193" s="339"/>
      <c r="DE193" s="339"/>
      <c r="DF193" s="339"/>
      <c r="DG193" s="339"/>
      <c r="DH193" s="339"/>
      <c r="DI193" s="339"/>
      <c r="DJ193" s="339"/>
      <c r="DK193" s="342"/>
    </row>
    <row r="194" spans="1:115" ht="14.45" hidden="1" customHeight="1">
      <c r="A194" s="123"/>
      <c r="B194" s="13"/>
      <c r="C194" s="14"/>
      <c r="D194" s="343">
        <v>31</v>
      </c>
      <c r="E194" s="324">
        <v>30</v>
      </c>
      <c r="F194" s="325">
        <v>30</v>
      </c>
      <c r="G194" s="325">
        <v>31</v>
      </c>
      <c r="H194" s="344">
        <v>30</v>
      </c>
      <c r="I194" s="325">
        <v>31</v>
      </c>
      <c r="J194" s="325">
        <v>31</v>
      </c>
      <c r="K194" s="325">
        <v>30</v>
      </c>
      <c r="L194" s="325">
        <v>31</v>
      </c>
      <c r="M194" s="325">
        <v>30</v>
      </c>
      <c r="N194" s="325">
        <v>31</v>
      </c>
      <c r="O194" s="325">
        <v>31</v>
      </c>
      <c r="P194" s="325">
        <f>SUM(D194:E194)</f>
        <v>61</v>
      </c>
      <c r="Q194" s="14"/>
      <c r="R194" s="14"/>
      <c r="S194" s="14"/>
      <c r="T194" s="14"/>
      <c r="U194" s="84"/>
      <c r="V194" s="13"/>
      <c r="W194" s="3"/>
      <c r="X194" s="343">
        <v>30</v>
      </c>
      <c r="Y194" s="324">
        <v>31</v>
      </c>
      <c r="Z194" s="325">
        <v>30</v>
      </c>
      <c r="AA194" s="325">
        <v>31</v>
      </c>
      <c r="AB194" s="344">
        <v>30</v>
      </c>
      <c r="AC194" s="345">
        <v>31</v>
      </c>
      <c r="AD194" s="325">
        <v>31</v>
      </c>
      <c r="AE194" s="325">
        <v>30</v>
      </c>
      <c r="AF194" s="325">
        <v>30</v>
      </c>
      <c r="AG194" s="325">
        <v>31</v>
      </c>
      <c r="AH194" s="325">
        <v>31</v>
      </c>
      <c r="AI194" s="325">
        <v>31</v>
      </c>
      <c r="AJ194" s="325">
        <f>SUM(X194:Y194)</f>
        <v>61</v>
      </c>
      <c r="AK194" s="325"/>
      <c r="AL194" s="346"/>
      <c r="AM194" s="327"/>
      <c r="AN194" s="3"/>
      <c r="AO194" s="343">
        <v>31</v>
      </c>
      <c r="AP194" s="324">
        <v>31</v>
      </c>
      <c r="AQ194" s="325">
        <v>30</v>
      </c>
      <c r="AR194" s="325">
        <v>31</v>
      </c>
      <c r="AS194" s="344">
        <v>30</v>
      </c>
      <c r="AT194" s="345">
        <v>31</v>
      </c>
      <c r="AU194" s="325">
        <v>31</v>
      </c>
      <c r="AV194" s="325">
        <v>30</v>
      </c>
      <c r="AW194" s="325">
        <v>30</v>
      </c>
      <c r="AX194" s="325">
        <v>31</v>
      </c>
      <c r="AY194" s="325">
        <v>31</v>
      </c>
      <c r="AZ194" s="325">
        <v>31</v>
      </c>
      <c r="BA194" s="325">
        <f>SUM(AO194)</f>
        <v>31</v>
      </c>
      <c r="BB194" s="258"/>
      <c r="BC194" s="38"/>
      <c r="BD194" s="259"/>
      <c r="BF194" s="343">
        <v>28</v>
      </c>
      <c r="BG194" s="324">
        <v>31</v>
      </c>
      <c r="BH194" s="325">
        <v>30</v>
      </c>
      <c r="BI194" s="325">
        <v>31</v>
      </c>
      <c r="BJ194" s="344">
        <v>30</v>
      </c>
      <c r="BK194" s="325">
        <v>31</v>
      </c>
      <c r="BL194" s="325">
        <v>31</v>
      </c>
      <c r="BM194" s="325">
        <v>30</v>
      </c>
      <c r="BN194" s="325">
        <v>31</v>
      </c>
      <c r="BO194" s="325">
        <v>30</v>
      </c>
      <c r="BP194" s="345">
        <v>31</v>
      </c>
      <c r="BQ194" s="345">
        <v>31</v>
      </c>
      <c r="BR194" s="345">
        <v>31</v>
      </c>
      <c r="BS194" s="347">
        <f>SUM(BF194:BG194)</f>
        <v>59</v>
      </c>
      <c r="BU194" s="343">
        <v>28</v>
      </c>
      <c r="BV194" s="324">
        <v>31</v>
      </c>
      <c r="BW194" s="325">
        <v>30</v>
      </c>
      <c r="BX194" s="325">
        <v>31</v>
      </c>
      <c r="BY194" s="344">
        <v>30</v>
      </c>
      <c r="BZ194" s="345">
        <v>31</v>
      </c>
      <c r="CA194" s="325">
        <v>31</v>
      </c>
      <c r="CB194" s="325">
        <v>30</v>
      </c>
      <c r="CC194" s="325">
        <v>30</v>
      </c>
      <c r="CD194" s="325">
        <v>31</v>
      </c>
      <c r="CE194" s="325">
        <v>31</v>
      </c>
      <c r="CF194" s="325">
        <v>31</v>
      </c>
      <c r="CG194" s="325">
        <v>31</v>
      </c>
      <c r="CH194" s="327">
        <v>365</v>
      </c>
      <c r="CJ194" s="343">
        <v>28</v>
      </c>
      <c r="CK194" s="324">
        <v>31</v>
      </c>
      <c r="CL194" s="325">
        <v>30</v>
      </c>
      <c r="CM194" s="325">
        <v>31</v>
      </c>
      <c r="CN194" s="344">
        <v>30</v>
      </c>
      <c r="CO194" s="345">
        <v>31</v>
      </c>
      <c r="CP194" s="325">
        <v>31</v>
      </c>
      <c r="CQ194" s="325">
        <v>30</v>
      </c>
      <c r="CR194" s="325">
        <v>30</v>
      </c>
      <c r="CS194" s="325">
        <v>31</v>
      </c>
      <c r="CT194" s="325">
        <v>31</v>
      </c>
      <c r="CU194" s="325">
        <v>31</v>
      </c>
      <c r="CV194" s="325">
        <v>31</v>
      </c>
      <c r="CW194" s="327">
        <v>365</v>
      </c>
      <c r="CY194" s="343">
        <v>28</v>
      </c>
      <c r="CZ194" s="324">
        <v>31</v>
      </c>
      <c r="DA194" s="325">
        <v>30</v>
      </c>
      <c r="DB194" s="325">
        <v>31</v>
      </c>
      <c r="DC194" s="344">
        <v>30</v>
      </c>
      <c r="DD194" s="325">
        <v>31</v>
      </c>
      <c r="DE194" s="325">
        <v>31</v>
      </c>
      <c r="DF194" s="325">
        <v>30</v>
      </c>
      <c r="DG194" s="325">
        <v>31</v>
      </c>
      <c r="DH194" s="325">
        <v>30</v>
      </c>
      <c r="DI194" s="345">
        <v>31</v>
      </c>
      <c r="DJ194" s="345">
        <v>31</v>
      </c>
      <c r="DK194" s="347">
        <f>SUM(CY194:DJ194)</f>
        <v>365</v>
      </c>
    </row>
    <row r="195" spans="1:115" ht="14.45" hidden="1" customHeight="1">
      <c r="A195" s="123"/>
      <c r="B195" s="13"/>
      <c r="C195" s="14"/>
      <c r="D195" s="323">
        <v>365</v>
      </c>
      <c r="E195" s="324">
        <v>365</v>
      </c>
      <c r="F195" s="325">
        <v>365</v>
      </c>
      <c r="G195" s="325">
        <v>365</v>
      </c>
      <c r="H195" s="325">
        <v>365</v>
      </c>
      <c r="I195" s="325">
        <v>365</v>
      </c>
      <c r="J195" s="325">
        <v>365</v>
      </c>
      <c r="K195" s="325">
        <v>365</v>
      </c>
      <c r="L195" s="325">
        <v>365</v>
      </c>
      <c r="M195" s="325">
        <v>365</v>
      </c>
      <c r="N195" s="325">
        <v>365</v>
      </c>
      <c r="O195" s="325">
        <v>365</v>
      </c>
      <c r="P195" s="325">
        <f>SUM(E195)</f>
        <v>365</v>
      </c>
      <c r="Q195" s="14"/>
      <c r="R195" s="14"/>
      <c r="S195" s="14"/>
      <c r="T195" s="14"/>
      <c r="U195" s="84"/>
      <c r="V195" s="13"/>
      <c r="W195" s="3"/>
      <c r="X195" s="323">
        <v>365</v>
      </c>
      <c r="Y195" s="324">
        <v>365</v>
      </c>
      <c r="Z195" s="325">
        <v>365</v>
      </c>
      <c r="AA195" s="325">
        <v>365</v>
      </c>
      <c r="AB195" s="325">
        <v>365</v>
      </c>
      <c r="AC195" s="345">
        <v>365</v>
      </c>
      <c r="AD195" s="325">
        <v>365</v>
      </c>
      <c r="AE195" s="325">
        <v>365</v>
      </c>
      <c r="AF195" s="325">
        <v>365</v>
      </c>
      <c r="AG195" s="325">
        <v>365</v>
      </c>
      <c r="AH195" s="325">
        <v>365</v>
      </c>
      <c r="AI195" s="325">
        <v>365</v>
      </c>
      <c r="AJ195" s="325">
        <f>SUM(Y195)</f>
        <v>365</v>
      </c>
      <c r="AK195" s="325"/>
      <c r="AL195" s="346"/>
      <c r="AM195" s="327"/>
      <c r="AN195" s="3"/>
      <c r="AO195" s="323">
        <v>365</v>
      </c>
      <c r="AP195" s="324">
        <v>365</v>
      </c>
      <c r="AQ195" s="325">
        <v>365</v>
      </c>
      <c r="AR195" s="325">
        <v>365</v>
      </c>
      <c r="AS195" s="325">
        <v>365</v>
      </c>
      <c r="AT195" s="345">
        <v>365</v>
      </c>
      <c r="AU195" s="325">
        <v>365</v>
      </c>
      <c r="AV195" s="325">
        <v>365</v>
      </c>
      <c r="AW195" s="325">
        <v>365</v>
      </c>
      <c r="AX195" s="325">
        <v>365</v>
      </c>
      <c r="AY195" s="325">
        <v>365</v>
      </c>
      <c r="AZ195" s="325">
        <v>365</v>
      </c>
      <c r="BA195" s="325">
        <f>SUM(AP195)</f>
        <v>365</v>
      </c>
      <c r="BB195" s="258"/>
      <c r="BC195" s="38"/>
      <c r="BD195" s="259"/>
      <c r="BF195" s="323">
        <v>365</v>
      </c>
      <c r="BG195" s="324">
        <v>365</v>
      </c>
      <c r="BH195" s="325">
        <v>365</v>
      </c>
      <c r="BI195" s="325">
        <v>365</v>
      </c>
      <c r="BJ195" s="325">
        <v>365</v>
      </c>
      <c r="BK195" s="345">
        <v>365</v>
      </c>
      <c r="BL195" s="345">
        <v>365</v>
      </c>
      <c r="BM195" s="345">
        <v>365</v>
      </c>
      <c r="BN195" s="345">
        <v>365</v>
      </c>
      <c r="BO195" s="345">
        <v>365</v>
      </c>
      <c r="BP195" s="345">
        <v>365</v>
      </c>
      <c r="BQ195" s="345">
        <v>365</v>
      </c>
      <c r="BR195" s="345">
        <v>365</v>
      </c>
      <c r="BS195" s="347">
        <f>SUM(BF195)</f>
        <v>365</v>
      </c>
      <c r="BU195" s="323">
        <v>365</v>
      </c>
      <c r="BV195" s="324">
        <v>365</v>
      </c>
      <c r="BW195" s="325">
        <v>365</v>
      </c>
      <c r="BX195" s="325">
        <v>365</v>
      </c>
      <c r="BY195" s="325">
        <v>365</v>
      </c>
      <c r="BZ195" s="345">
        <v>365</v>
      </c>
      <c r="CA195" s="325">
        <v>365</v>
      </c>
      <c r="CB195" s="325">
        <v>365</v>
      </c>
      <c r="CC195" s="325">
        <v>365</v>
      </c>
      <c r="CD195" s="325">
        <v>365</v>
      </c>
      <c r="CE195" s="325">
        <v>365</v>
      </c>
      <c r="CF195" s="325">
        <v>365</v>
      </c>
      <c r="CG195" s="325">
        <v>365</v>
      </c>
      <c r="CH195" s="327">
        <v>365</v>
      </c>
      <c r="CJ195" s="323">
        <v>365</v>
      </c>
      <c r="CK195" s="324">
        <v>365</v>
      </c>
      <c r="CL195" s="325">
        <v>365</v>
      </c>
      <c r="CM195" s="325">
        <v>365</v>
      </c>
      <c r="CN195" s="325">
        <v>365</v>
      </c>
      <c r="CO195" s="345">
        <v>365</v>
      </c>
      <c r="CP195" s="325">
        <v>365</v>
      </c>
      <c r="CQ195" s="325">
        <v>365</v>
      </c>
      <c r="CR195" s="325">
        <v>365</v>
      </c>
      <c r="CS195" s="325">
        <v>365</v>
      </c>
      <c r="CT195" s="325">
        <v>365</v>
      </c>
      <c r="CU195" s="325">
        <v>365</v>
      </c>
      <c r="CV195" s="325">
        <v>365</v>
      </c>
      <c r="CW195" s="327">
        <v>365</v>
      </c>
      <c r="CY195" s="323">
        <v>365</v>
      </c>
      <c r="CZ195" s="324">
        <v>365</v>
      </c>
      <c r="DA195" s="325">
        <v>365</v>
      </c>
      <c r="DB195" s="325">
        <v>365</v>
      </c>
      <c r="DC195" s="325">
        <v>365</v>
      </c>
      <c r="DD195" s="345">
        <v>365</v>
      </c>
      <c r="DE195" s="345">
        <v>365</v>
      </c>
      <c r="DF195" s="345">
        <v>365</v>
      </c>
      <c r="DG195" s="345">
        <v>365</v>
      </c>
      <c r="DH195" s="345">
        <v>365</v>
      </c>
      <c r="DI195" s="345">
        <v>365</v>
      </c>
      <c r="DJ195" s="345">
        <v>365</v>
      </c>
      <c r="DK195" s="347">
        <f>SUM(CZ195)</f>
        <v>365</v>
      </c>
    </row>
    <row r="196" spans="1:115" ht="14.45" hidden="1" customHeight="1">
      <c r="A196" s="123"/>
      <c r="B196" s="13"/>
      <c r="C196" s="14"/>
      <c r="D196" s="323"/>
      <c r="E196" s="324"/>
      <c r="F196" s="325"/>
      <c r="G196" s="325"/>
      <c r="H196" s="325"/>
      <c r="I196" s="345"/>
      <c r="J196" s="325"/>
      <c r="K196" s="325"/>
      <c r="L196" s="325"/>
      <c r="M196" s="325"/>
      <c r="N196" s="325"/>
      <c r="O196" s="325"/>
      <c r="P196" s="325"/>
      <c r="Q196" s="345"/>
      <c r="R196" s="14"/>
      <c r="S196" s="14"/>
      <c r="T196" s="14"/>
      <c r="U196" s="84"/>
      <c r="V196" s="13"/>
      <c r="W196" s="3"/>
      <c r="X196" s="323"/>
      <c r="Y196" s="324"/>
      <c r="Z196" s="325"/>
      <c r="AA196" s="325"/>
      <c r="AB196" s="325"/>
      <c r="AC196" s="345"/>
      <c r="AD196" s="325"/>
      <c r="AE196" s="325"/>
      <c r="AF196" s="325"/>
      <c r="AG196" s="325"/>
      <c r="AH196" s="325"/>
      <c r="AI196" s="325"/>
      <c r="AJ196" s="325"/>
      <c r="AK196" s="325"/>
      <c r="AL196" s="346"/>
      <c r="AM196" s="327"/>
      <c r="AN196" s="3"/>
      <c r="AO196" s="323"/>
      <c r="AP196" s="324"/>
      <c r="AQ196" s="325"/>
      <c r="AR196" s="325"/>
      <c r="AS196" s="325"/>
      <c r="AT196" s="345"/>
      <c r="AU196" s="325"/>
      <c r="AV196" s="325"/>
      <c r="AW196" s="325"/>
      <c r="AX196" s="325"/>
      <c r="AY196" s="325"/>
      <c r="AZ196" s="325"/>
      <c r="BA196" s="325"/>
      <c r="BB196" s="258"/>
      <c r="BC196" s="38"/>
      <c r="BD196" s="259"/>
      <c r="BF196" s="323"/>
      <c r="BG196" s="324"/>
      <c r="BH196" s="325"/>
      <c r="BI196" s="325"/>
      <c r="BJ196" s="325"/>
      <c r="BK196" s="345"/>
      <c r="BL196" s="345"/>
      <c r="BM196" s="345"/>
      <c r="BN196" s="345"/>
      <c r="BO196" s="345"/>
      <c r="BP196" s="345"/>
      <c r="BQ196" s="345"/>
      <c r="BR196" s="345"/>
      <c r="BS196" s="347"/>
      <c r="BU196" s="323"/>
      <c r="BV196" s="324"/>
      <c r="BW196" s="325"/>
      <c r="BX196" s="325"/>
      <c r="BY196" s="325"/>
      <c r="BZ196" s="345"/>
      <c r="CA196" s="325"/>
      <c r="CB196" s="325"/>
      <c r="CC196" s="325"/>
      <c r="CD196" s="325"/>
      <c r="CE196" s="325"/>
      <c r="CF196" s="325"/>
      <c r="CG196" s="325"/>
      <c r="CH196" s="327"/>
      <c r="CJ196" s="323"/>
      <c r="CK196" s="324"/>
      <c r="CL196" s="325"/>
      <c r="CM196" s="325"/>
      <c r="CN196" s="325"/>
      <c r="CO196" s="345"/>
      <c r="CP196" s="325"/>
      <c r="CQ196" s="325"/>
      <c r="CR196" s="325"/>
      <c r="CS196" s="325"/>
      <c r="CT196" s="325"/>
      <c r="CU196" s="325"/>
      <c r="CV196" s="325"/>
      <c r="CW196" s="327"/>
      <c r="CY196" s="323"/>
      <c r="CZ196" s="324"/>
      <c r="DA196" s="325"/>
      <c r="DB196" s="325"/>
      <c r="DC196" s="325"/>
      <c r="DD196" s="345"/>
      <c r="DE196" s="345"/>
      <c r="DF196" s="345"/>
      <c r="DG196" s="345"/>
      <c r="DH196" s="345"/>
      <c r="DI196" s="345"/>
      <c r="DJ196" s="345"/>
      <c r="DK196" s="347"/>
    </row>
    <row r="197" spans="1:115" ht="14.45" hidden="1" customHeight="1">
      <c r="A197" s="123"/>
      <c r="B197" s="13"/>
      <c r="C197" s="14"/>
      <c r="D197" s="323"/>
      <c r="E197" s="324"/>
      <c r="F197" s="325"/>
      <c r="G197" s="325"/>
      <c r="H197" s="325"/>
      <c r="I197" s="345"/>
      <c r="J197" s="325"/>
      <c r="K197" s="325"/>
      <c r="L197" s="325"/>
      <c r="M197" s="325"/>
      <c r="N197" s="325"/>
      <c r="O197" s="325"/>
      <c r="P197" s="325"/>
      <c r="Q197" s="345"/>
      <c r="R197" s="14"/>
      <c r="S197" s="14"/>
      <c r="T197" s="14"/>
      <c r="U197" s="84"/>
      <c r="V197" s="13"/>
      <c r="W197" s="3"/>
      <c r="X197" s="323"/>
      <c r="Y197" s="324"/>
      <c r="Z197" s="325"/>
      <c r="AA197" s="325"/>
      <c r="AB197" s="325"/>
      <c r="AC197" s="345"/>
      <c r="AD197" s="325"/>
      <c r="AE197" s="325"/>
      <c r="AF197" s="325"/>
      <c r="AG197" s="325"/>
      <c r="AH197" s="325"/>
      <c r="AI197" s="325"/>
      <c r="AJ197" s="325"/>
      <c r="AK197" s="325"/>
      <c r="AL197" s="346"/>
      <c r="AM197" s="327"/>
      <c r="AN197" s="3"/>
      <c r="AO197" s="323"/>
      <c r="AP197" s="324"/>
      <c r="AQ197" s="325"/>
      <c r="AR197" s="325"/>
      <c r="AS197" s="325"/>
      <c r="AT197" s="345"/>
      <c r="AU197" s="325"/>
      <c r="AV197" s="325"/>
      <c r="AW197" s="325"/>
      <c r="AX197" s="325"/>
      <c r="AY197" s="325"/>
      <c r="AZ197" s="325"/>
      <c r="BA197" s="325"/>
      <c r="BB197" s="258"/>
      <c r="BC197" s="38"/>
      <c r="BD197" s="259"/>
      <c r="BF197" s="323"/>
      <c r="BG197" s="324"/>
      <c r="BH197" s="325"/>
      <c r="BI197" s="325"/>
      <c r="BJ197" s="325"/>
      <c r="BK197" s="345"/>
      <c r="BL197" s="345"/>
      <c r="BM197" s="345"/>
      <c r="BN197" s="345"/>
      <c r="BO197" s="345"/>
      <c r="BP197" s="345"/>
      <c r="BQ197" s="345"/>
      <c r="BR197" s="345"/>
      <c r="BS197" s="347"/>
      <c r="BU197" s="323"/>
      <c r="BV197" s="324"/>
      <c r="BW197" s="325"/>
      <c r="BX197" s="325"/>
      <c r="BY197" s="325"/>
      <c r="BZ197" s="345"/>
      <c r="CA197" s="325"/>
      <c r="CB197" s="325"/>
      <c r="CC197" s="325"/>
      <c r="CD197" s="325"/>
      <c r="CE197" s="325"/>
      <c r="CF197" s="325"/>
      <c r="CG197" s="325"/>
      <c r="CH197" s="327"/>
      <c r="CJ197" s="323"/>
      <c r="CK197" s="324"/>
      <c r="CL197" s="325"/>
      <c r="CM197" s="325"/>
      <c r="CN197" s="325"/>
      <c r="CO197" s="345"/>
      <c r="CP197" s="325"/>
      <c r="CQ197" s="325"/>
      <c r="CR197" s="325"/>
      <c r="CS197" s="325"/>
      <c r="CT197" s="325"/>
      <c r="CU197" s="325"/>
      <c r="CV197" s="325"/>
      <c r="CW197" s="327"/>
      <c r="CY197" s="323"/>
      <c r="CZ197" s="324"/>
      <c r="DA197" s="325"/>
      <c r="DB197" s="325"/>
      <c r="DC197" s="325"/>
      <c r="DD197" s="345"/>
      <c r="DE197" s="345"/>
      <c r="DF197" s="345"/>
      <c r="DG197" s="345"/>
      <c r="DH197" s="345"/>
      <c r="DI197" s="345"/>
      <c r="DJ197" s="345"/>
      <c r="DK197" s="347"/>
    </row>
    <row r="198" spans="1:115" ht="14.45" hidden="1" customHeight="1" thickBot="1">
      <c r="A198" s="348"/>
      <c r="B198" s="349"/>
      <c r="C198" s="60"/>
      <c r="D198" s="350"/>
      <c r="E198" s="351"/>
      <c r="F198" s="60"/>
      <c r="G198" s="60"/>
      <c r="H198" s="60"/>
      <c r="I198" s="352"/>
      <c r="J198" s="60"/>
      <c r="K198" s="60"/>
      <c r="L198" s="60"/>
      <c r="M198" s="60"/>
      <c r="N198" s="60"/>
      <c r="O198" s="60"/>
      <c r="P198" s="60"/>
      <c r="Q198" s="352"/>
      <c r="R198" s="60"/>
      <c r="S198" s="60"/>
      <c r="T198" s="60"/>
      <c r="U198" s="71"/>
      <c r="V198" s="349"/>
      <c r="W198" s="3"/>
      <c r="X198" s="350"/>
      <c r="Y198" s="351"/>
      <c r="Z198" s="60"/>
      <c r="AA198" s="60"/>
      <c r="AB198" s="60"/>
      <c r="AC198" s="352"/>
      <c r="AD198" s="60"/>
      <c r="AE198" s="60"/>
      <c r="AF198" s="60"/>
      <c r="AG198" s="60"/>
      <c r="AH198" s="60"/>
      <c r="AI198" s="60"/>
      <c r="AJ198" s="60"/>
      <c r="AK198" s="60"/>
      <c r="AL198" s="71"/>
      <c r="AM198" s="349"/>
      <c r="AN198" s="3"/>
      <c r="AO198" s="350"/>
      <c r="AP198" s="351"/>
      <c r="AQ198" s="60"/>
      <c r="AR198" s="60"/>
      <c r="AS198" s="60"/>
      <c r="AT198" s="352"/>
      <c r="AU198" s="60"/>
      <c r="AV198" s="60"/>
      <c r="AW198" s="60"/>
      <c r="AX198" s="60"/>
      <c r="AY198" s="60"/>
      <c r="AZ198" s="60"/>
      <c r="BA198" s="60"/>
      <c r="BB198" s="353"/>
      <c r="BC198" s="354"/>
      <c r="BD198" s="355"/>
      <c r="BF198" s="350"/>
      <c r="BG198" s="351"/>
      <c r="BH198" s="60"/>
      <c r="BI198" s="60"/>
      <c r="BJ198" s="60"/>
      <c r="BK198" s="352"/>
      <c r="BL198" s="352"/>
      <c r="BM198" s="352"/>
      <c r="BN198" s="352"/>
      <c r="BO198" s="352"/>
      <c r="BP198" s="352"/>
      <c r="BQ198" s="352"/>
      <c r="BR198" s="352"/>
      <c r="BS198" s="356"/>
      <c r="BU198" s="350"/>
      <c r="BV198" s="351"/>
      <c r="BW198" s="60"/>
      <c r="BX198" s="60"/>
      <c r="BY198" s="60"/>
      <c r="BZ198" s="352"/>
      <c r="CA198" s="60"/>
      <c r="CB198" s="60"/>
      <c r="CC198" s="60"/>
      <c r="CD198" s="60"/>
      <c r="CE198" s="60"/>
      <c r="CF198" s="60"/>
      <c r="CG198" s="60"/>
      <c r="CH198" s="349"/>
      <c r="CJ198" s="350"/>
      <c r="CK198" s="351"/>
      <c r="CL198" s="60"/>
      <c r="CM198" s="60"/>
      <c r="CN198" s="60"/>
      <c r="CO198" s="352"/>
      <c r="CP198" s="60"/>
      <c r="CQ198" s="60"/>
      <c r="CR198" s="60"/>
      <c r="CS198" s="60"/>
      <c r="CT198" s="60"/>
      <c r="CU198" s="60"/>
      <c r="CV198" s="60"/>
      <c r="CW198" s="349"/>
      <c r="CY198" s="350"/>
      <c r="CZ198" s="351"/>
      <c r="DA198" s="60"/>
      <c r="DB198" s="60"/>
      <c r="DC198" s="60"/>
      <c r="DD198" s="352"/>
      <c r="DE198" s="352"/>
      <c r="DF198" s="352"/>
      <c r="DG198" s="352"/>
      <c r="DH198" s="352"/>
      <c r="DI198" s="352"/>
      <c r="DJ198" s="352"/>
      <c r="DK198" s="356"/>
    </row>
    <row r="199" spans="1:115" ht="14.45" hidden="1" customHeight="1">
      <c r="AJ199" s="358"/>
    </row>
    <row r="200" spans="1:115" s="7" customFormat="1" ht="14.45" hidden="1" customHeight="1">
      <c r="B200" s="5" t="s">
        <v>157</v>
      </c>
      <c r="D200" s="359">
        <f t="shared" ref="D200:Q200" si="305">+D62</f>
        <v>6456014.387617222</v>
      </c>
      <c r="E200" s="359">
        <f t="shared" si="305"/>
        <v>8008555.7599999998</v>
      </c>
      <c r="F200" s="359">
        <f t="shared" si="305"/>
        <v>0</v>
      </c>
      <c r="G200" s="359">
        <f t="shared" si="305"/>
        <v>0</v>
      </c>
      <c r="H200" s="359">
        <f t="shared" si="305"/>
        <v>0</v>
      </c>
      <c r="I200" s="359">
        <f t="shared" si="305"/>
        <v>0</v>
      </c>
      <c r="J200" s="359">
        <f t="shared" si="305"/>
        <v>0</v>
      </c>
      <c r="K200" s="359">
        <f t="shared" si="305"/>
        <v>0</v>
      </c>
      <c r="L200" s="359">
        <f t="shared" si="305"/>
        <v>0</v>
      </c>
      <c r="M200" s="359">
        <f t="shared" si="305"/>
        <v>0</v>
      </c>
      <c r="N200" s="359">
        <f t="shared" si="305"/>
        <v>0</v>
      </c>
      <c r="O200" s="359">
        <f t="shared" si="305"/>
        <v>0</v>
      </c>
      <c r="P200" s="359">
        <f t="shared" si="305"/>
        <v>14464570.147617221</v>
      </c>
      <c r="Q200" s="359">
        <f t="shared" si="305"/>
        <v>11644048.0782094</v>
      </c>
      <c r="X200" s="360"/>
      <c r="AC200" s="361"/>
      <c r="AO200" s="360"/>
      <c r="AT200" s="361"/>
      <c r="BF200" s="359">
        <f t="shared" ref="BF200:BS200" si="306">+BF62</f>
        <v>5248857.96</v>
      </c>
      <c r="BG200" s="359">
        <f t="shared" si="306"/>
        <v>6395190.1182094002</v>
      </c>
      <c r="BH200" s="359">
        <f t="shared" si="306"/>
        <v>5121069.7188958004</v>
      </c>
      <c r="BI200" s="359">
        <f t="shared" si="306"/>
        <v>6467652.5199999996</v>
      </c>
      <c r="BJ200" s="359">
        <f t="shared" si="306"/>
        <v>4783859.91</v>
      </c>
      <c r="BK200" s="359">
        <f t="shared" si="306"/>
        <v>6204287.0099999998</v>
      </c>
      <c r="BL200" s="359">
        <f t="shared" si="306"/>
        <v>4877813.6193637177</v>
      </c>
      <c r="BM200" s="359">
        <f t="shared" si="306"/>
        <v>4898606.0078109335</v>
      </c>
      <c r="BN200" s="359">
        <f t="shared" si="306"/>
        <v>6865305.0052212104</v>
      </c>
      <c r="BO200" s="359">
        <f t="shared" si="306"/>
        <v>4854569.59</v>
      </c>
      <c r="BP200" s="359">
        <f t="shared" si="306"/>
        <v>4879773.49</v>
      </c>
      <c r="BQ200" s="359">
        <f t="shared" si="306"/>
        <v>5440056.8600000003</v>
      </c>
      <c r="BR200" s="359"/>
      <c r="BS200" s="359">
        <f t="shared" si="306"/>
        <v>11644048.0782094</v>
      </c>
      <c r="BT200" s="362"/>
      <c r="BU200" s="360"/>
      <c r="BZ200" s="361"/>
      <c r="CI200" s="362"/>
      <c r="CJ200" s="360"/>
      <c r="CO200" s="361"/>
    </row>
    <row r="201" spans="1:115" s="7" customFormat="1" ht="15" hidden="1">
      <c r="B201" s="2" t="s">
        <v>158</v>
      </c>
      <c r="D201" s="7">
        <f t="shared" ref="D201:Q201" si="307">+D43</f>
        <v>1475252.36</v>
      </c>
      <c r="E201" s="7">
        <f t="shared" si="307"/>
        <v>1514716.79</v>
      </c>
      <c r="F201" s="7">
        <f t="shared" si="307"/>
        <v>0</v>
      </c>
      <c r="G201" s="7">
        <f t="shared" si="307"/>
        <v>0</v>
      </c>
      <c r="H201" s="7">
        <f t="shared" si="307"/>
        <v>0</v>
      </c>
      <c r="I201" s="7">
        <f t="shared" si="307"/>
        <v>0</v>
      </c>
      <c r="J201" s="7">
        <f t="shared" si="307"/>
        <v>0</v>
      </c>
      <c r="K201" s="7">
        <f t="shared" si="307"/>
        <v>0</v>
      </c>
      <c r="L201" s="7">
        <f t="shared" si="307"/>
        <v>0</v>
      </c>
      <c r="M201" s="7">
        <f t="shared" si="307"/>
        <v>0</v>
      </c>
      <c r="N201" s="7">
        <f t="shared" si="307"/>
        <v>0</v>
      </c>
      <c r="O201" s="7">
        <f t="shared" si="307"/>
        <v>0</v>
      </c>
      <c r="P201" s="7">
        <f t="shared" si="307"/>
        <v>2989969.1500000004</v>
      </c>
      <c r="Q201" s="7">
        <f t="shared" si="307"/>
        <v>1480725.01</v>
      </c>
      <c r="R201" s="2"/>
      <c r="X201" s="363">
        <f t="shared" ref="X201:AI201" si="308">X158/D158</f>
        <v>0.89297930684901172</v>
      </c>
      <c r="Y201" s="363">
        <f t="shared" si="308"/>
        <v>0.89890504627542855</v>
      </c>
      <c r="Z201" s="363" t="e">
        <f t="shared" si="308"/>
        <v>#DIV/0!</v>
      </c>
      <c r="AA201" s="363" t="e">
        <f t="shared" si="308"/>
        <v>#DIV/0!</v>
      </c>
      <c r="AB201" s="363" t="e">
        <f t="shared" si="308"/>
        <v>#DIV/0!</v>
      </c>
      <c r="AC201" s="363" t="e">
        <f t="shared" si="308"/>
        <v>#DIV/0!</v>
      </c>
      <c r="AD201" s="363" t="e">
        <f t="shared" si="308"/>
        <v>#DIV/0!</v>
      </c>
      <c r="AE201" s="363" t="e">
        <f t="shared" si="308"/>
        <v>#DIV/0!</v>
      </c>
      <c r="AF201" s="363" t="e">
        <f t="shared" si="308"/>
        <v>#DIV/0!</v>
      </c>
      <c r="AG201" s="363" t="e">
        <f t="shared" si="308"/>
        <v>#DIV/0!</v>
      </c>
      <c r="AH201" s="363" t="e">
        <f t="shared" si="308"/>
        <v>#DIV/0!</v>
      </c>
      <c r="AI201" s="363" t="e">
        <f t="shared" si="308"/>
        <v>#DIV/0!</v>
      </c>
      <c r="AJ201" s="2"/>
      <c r="AK201" s="2"/>
      <c r="AL201" s="2"/>
      <c r="AM201" s="2"/>
      <c r="AO201" s="364">
        <f t="shared" ref="AO201:BA201" si="309">AO158/D158</f>
        <v>0.10702069315098828</v>
      </c>
      <c r="AP201" s="364">
        <f t="shared" si="309"/>
        <v>0.10109495372457143</v>
      </c>
      <c r="AQ201" s="364" t="e">
        <f t="shared" si="309"/>
        <v>#DIV/0!</v>
      </c>
      <c r="AR201" s="364" t="e">
        <f t="shared" si="309"/>
        <v>#DIV/0!</v>
      </c>
      <c r="AS201" s="364" t="e">
        <f t="shared" si="309"/>
        <v>#DIV/0!</v>
      </c>
      <c r="AT201" s="364" t="e">
        <f t="shared" si="309"/>
        <v>#DIV/0!</v>
      </c>
      <c r="AU201" s="364" t="e">
        <f t="shared" si="309"/>
        <v>#DIV/0!</v>
      </c>
      <c r="AV201" s="364" t="e">
        <f t="shared" si="309"/>
        <v>#DIV/0!</v>
      </c>
      <c r="AW201" s="364" t="e">
        <f t="shared" si="309"/>
        <v>#DIV/0!</v>
      </c>
      <c r="AX201" s="364" t="e">
        <f t="shared" si="309"/>
        <v>#DIV/0!</v>
      </c>
      <c r="AY201" s="364" t="e">
        <f t="shared" si="309"/>
        <v>#DIV/0!</v>
      </c>
      <c r="AZ201" s="364" t="e">
        <f t="shared" si="309"/>
        <v>#DIV/0!</v>
      </c>
      <c r="BA201" s="364">
        <f t="shared" si="309"/>
        <v>0.10109495372457143</v>
      </c>
      <c r="BF201" s="7">
        <f t="shared" ref="BF201:BS201" si="310">+BF43</f>
        <v>722042.48</v>
      </c>
      <c r="BG201" s="7">
        <f t="shared" si="310"/>
        <v>758682.53</v>
      </c>
      <c r="BH201" s="7">
        <f t="shared" si="310"/>
        <v>756131.69</v>
      </c>
      <c r="BI201" s="7">
        <f t="shared" si="310"/>
        <v>770542.21</v>
      </c>
      <c r="BJ201" s="7">
        <f t="shared" si="310"/>
        <v>721929.28</v>
      </c>
      <c r="BK201" s="7">
        <f t="shared" si="310"/>
        <v>705578.48</v>
      </c>
      <c r="BL201" s="7">
        <f t="shared" si="310"/>
        <v>732417.19</v>
      </c>
      <c r="BM201" s="7">
        <f t="shared" si="310"/>
        <v>815238.04</v>
      </c>
      <c r="BN201" s="7">
        <f t="shared" si="310"/>
        <v>816643.08</v>
      </c>
      <c r="BO201" s="7">
        <f t="shared" si="310"/>
        <v>910294.71</v>
      </c>
      <c r="BP201" s="7">
        <f t="shared" si="310"/>
        <v>1028443.11</v>
      </c>
      <c r="BQ201" s="7">
        <f t="shared" si="310"/>
        <v>1235328.79</v>
      </c>
      <c r="BS201" s="7">
        <f t="shared" si="310"/>
        <v>1480725.01</v>
      </c>
      <c r="BT201" s="362"/>
      <c r="BU201" s="363">
        <f>BU158/AK158</f>
        <v>7241981.1122880271</v>
      </c>
      <c r="BV201" s="363" t="e">
        <f t="shared" ref="BV201:CG201" si="311">BV158/AN158</f>
        <v>#DIV/0!</v>
      </c>
      <c r="BW201" s="363">
        <f t="shared" si="311"/>
        <v>8.1232990810220969</v>
      </c>
      <c r="BX201" s="363">
        <f t="shared" si="311"/>
        <v>8.6214797367752052</v>
      </c>
      <c r="BY201" s="363" t="e">
        <f t="shared" si="311"/>
        <v>#DIV/0!</v>
      </c>
      <c r="BZ201" s="363" t="e">
        <f t="shared" si="311"/>
        <v>#DIV/0!</v>
      </c>
      <c r="CA201" s="363" t="e">
        <f t="shared" si="311"/>
        <v>#DIV/0!</v>
      </c>
      <c r="CB201" s="363" t="e">
        <f t="shared" si="311"/>
        <v>#DIV/0!</v>
      </c>
      <c r="CC201" s="363" t="e">
        <f t="shared" si="311"/>
        <v>#DIV/0!</v>
      </c>
      <c r="CD201" s="363" t="e">
        <f t="shared" si="311"/>
        <v>#DIV/0!</v>
      </c>
      <c r="CE201" s="363" t="e">
        <f t="shared" si="311"/>
        <v>#DIV/0!</v>
      </c>
      <c r="CF201" s="363" t="e">
        <f t="shared" si="311"/>
        <v>#DIV/0!</v>
      </c>
      <c r="CG201" s="363" t="e">
        <f t="shared" si="311"/>
        <v>#DIV/0!</v>
      </c>
      <c r="CH201" s="2"/>
      <c r="CI201" s="362"/>
      <c r="CJ201" s="364">
        <f>CJ158/AJ158</f>
        <v>5.955800831527195E-2</v>
      </c>
      <c r="CK201" s="364">
        <f>CK158/AK158</f>
        <v>451703.8899977706</v>
      </c>
      <c r="CL201" s="364" t="e">
        <f t="shared" ref="CL201:CW201" si="312">CL158/AN158</f>
        <v>#DIV/0!</v>
      </c>
      <c r="CM201" s="364">
        <f t="shared" si="312"/>
        <v>0.51143375312204997</v>
      </c>
      <c r="CN201" s="364">
        <f t="shared" si="312"/>
        <v>0.52541642073090944</v>
      </c>
      <c r="CO201" s="364" t="e">
        <f t="shared" si="312"/>
        <v>#DIV/0!</v>
      </c>
      <c r="CP201" s="364" t="e">
        <f t="shared" si="312"/>
        <v>#DIV/0!</v>
      </c>
      <c r="CQ201" s="364" t="e">
        <f t="shared" si="312"/>
        <v>#DIV/0!</v>
      </c>
      <c r="CR201" s="364" t="e">
        <f t="shared" si="312"/>
        <v>#DIV/0!</v>
      </c>
      <c r="CS201" s="364" t="e">
        <f t="shared" si="312"/>
        <v>#DIV/0!</v>
      </c>
      <c r="CT201" s="364" t="e">
        <f t="shared" si="312"/>
        <v>#DIV/0!</v>
      </c>
      <c r="CU201" s="364" t="e">
        <f t="shared" si="312"/>
        <v>#DIV/0!</v>
      </c>
      <c r="CV201" s="364" t="e">
        <f t="shared" si="312"/>
        <v>#DIV/0!</v>
      </c>
      <c r="CW201" s="364" t="e">
        <f t="shared" si="312"/>
        <v>#DIV/0!</v>
      </c>
    </row>
    <row r="202" spans="1:115" s="7" customFormat="1" ht="14.45" hidden="1" customHeight="1">
      <c r="B202" s="2" t="s">
        <v>159</v>
      </c>
      <c r="D202" s="2">
        <f t="shared" ref="D202:Q202" si="313">+D200-D201</f>
        <v>4980762.0276172217</v>
      </c>
      <c r="E202" s="2">
        <f t="shared" si="313"/>
        <v>6493838.9699999997</v>
      </c>
      <c r="F202" s="2">
        <f t="shared" si="313"/>
        <v>0</v>
      </c>
      <c r="G202" s="2">
        <f t="shared" si="313"/>
        <v>0</v>
      </c>
      <c r="H202" s="2">
        <f t="shared" si="313"/>
        <v>0</v>
      </c>
      <c r="I202" s="2">
        <f t="shared" si="313"/>
        <v>0</v>
      </c>
      <c r="J202" s="2">
        <f t="shared" si="313"/>
        <v>0</v>
      </c>
      <c r="K202" s="2">
        <f t="shared" si="313"/>
        <v>0</v>
      </c>
      <c r="L202" s="2">
        <f t="shared" si="313"/>
        <v>0</v>
      </c>
      <c r="M202" s="2">
        <f t="shared" si="313"/>
        <v>0</v>
      </c>
      <c r="N202" s="2">
        <f t="shared" si="313"/>
        <v>0</v>
      </c>
      <c r="O202" s="2">
        <f t="shared" si="313"/>
        <v>0</v>
      </c>
      <c r="P202" s="2">
        <f t="shared" si="313"/>
        <v>11474600.997617221</v>
      </c>
      <c r="Q202" s="2">
        <f t="shared" si="313"/>
        <v>10163323.0682094</v>
      </c>
      <c r="R202" s="365"/>
      <c r="AC202" s="365"/>
      <c r="AD202" s="365"/>
      <c r="AE202" s="365"/>
      <c r="AF202" s="365"/>
      <c r="AG202" s="365"/>
      <c r="AH202" s="365"/>
      <c r="AI202" s="365"/>
      <c r="AJ202" s="365"/>
      <c r="AK202" s="365"/>
      <c r="AL202" s="365"/>
      <c r="AM202" s="365"/>
      <c r="AT202" s="365"/>
      <c r="AU202" s="365"/>
      <c r="BA202" s="365"/>
      <c r="BF202" s="2">
        <f t="shared" ref="BF202:BS202" si="314">+BF200-BF201</f>
        <v>4526815.4800000004</v>
      </c>
      <c r="BG202" s="2">
        <f t="shared" si="314"/>
        <v>5636507.5882094</v>
      </c>
      <c r="BH202" s="2">
        <f t="shared" si="314"/>
        <v>4364938.0288958009</v>
      </c>
      <c r="BI202" s="2">
        <f t="shared" si="314"/>
        <v>5697110.3099999996</v>
      </c>
      <c r="BJ202" s="2">
        <f t="shared" si="314"/>
        <v>4061930.63</v>
      </c>
      <c r="BK202" s="2">
        <f t="shared" si="314"/>
        <v>5498708.5299999993</v>
      </c>
      <c r="BL202" s="2">
        <f t="shared" si="314"/>
        <v>4145396.4293637178</v>
      </c>
      <c r="BM202" s="2">
        <f t="shared" si="314"/>
        <v>4083367.9678109335</v>
      </c>
      <c r="BN202" s="2">
        <f t="shared" si="314"/>
        <v>6048661.9252212103</v>
      </c>
      <c r="BO202" s="2">
        <f t="shared" si="314"/>
        <v>3944274.88</v>
      </c>
      <c r="BP202" s="2">
        <f t="shared" si="314"/>
        <v>3851330.3800000004</v>
      </c>
      <c r="BQ202" s="2">
        <f t="shared" si="314"/>
        <v>4204728.07</v>
      </c>
      <c r="BR202" s="2"/>
      <c r="BS202" s="2">
        <f t="shared" si="314"/>
        <v>10163323.0682094</v>
      </c>
      <c r="BT202" s="362"/>
      <c r="BZ202" s="365"/>
      <c r="CA202" s="365"/>
      <c r="CB202" s="365"/>
      <c r="CC202" s="365"/>
      <c r="CD202" s="365"/>
      <c r="CE202" s="365"/>
      <c r="CF202" s="365"/>
      <c r="CG202" s="365"/>
      <c r="CH202" s="365"/>
      <c r="CI202" s="362"/>
      <c r="CO202" s="365"/>
      <c r="CP202" s="365"/>
      <c r="CW202" s="365"/>
    </row>
    <row r="203" spans="1:115" s="7" customFormat="1" ht="14.45" customHeight="1">
      <c r="B203" s="2"/>
      <c r="D203" s="360"/>
      <c r="I203" s="365"/>
      <c r="J203" s="365"/>
      <c r="K203" s="365"/>
      <c r="L203" s="365"/>
      <c r="M203" s="365"/>
      <c r="N203" s="365"/>
      <c r="O203" s="365"/>
      <c r="P203" s="365"/>
      <c r="Q203" s="365"/>
      <c r="R203" s="365"/>
      <c r="AC203" s="365"/>
      <c r="AD203" s="365"/>
      <c r="AE203" s="365"/>
      <c r="AF203" s="365"/>
      <c r="AG203" s="365"/>
      <c r="AH203" s="365"/>
      <c r="AI203" s="365"/>
      <c r="AJ203" s="365"/>
      <c r="AK203" s="365"/>
      <c r="AL203" s="365"/>
      <c r="AM203" s="365"/>
      <c r="AT203" s="365"/>
      <c r="AU203" s="365"/>
      <c r="BA203" s="365"/>
      <c r="BF203" s="194"/>
      <c r="BG203" s="366"/>
      <c r="BH203" s="194"/>
      <c r="BI203" s="104"/>
      <c r="BJ203" s="366"/>
      <c r="BK203" s="366"/>
      <c r="BL203" s="104"/>
      <c r="BT203" s="362"/>
      <c r="BZ203" s="365"/>
      <c r="CA203" s="365"/>
      <c r="CB203" s="365"/>
      <c r="CC203" s="365"/>
      <c r="CD203" s="365"/>
      <c r="CE203" s="365"/>
      <c r="CF203" s="365"/>
      <c r="CG203" s="365"/>
      <c r="CH203" s="365"/>
      <c r="CI203" s="362"/>
      <c r="CO203" s="365"/>
      <c r="CP203" s="365"/>
      <c r="CW203" s="365"/>
    </row>
    <row r="204" spans="1:115" ht="14.45" customHeight="1">
      <c r="B204" s="3"/>
      <c r="D204" s="360"/>
      <c r="I204" s="367"/>
      <c r="J204" s="367"/>
      <c r="K204" s="367"/>
      <c r="L204" s="367"/>
      <c r="M204" s="367"/>
      <c r="N204" s="367"/>
      <c r="O204" s="367"/>
      <c r="P204" s="367"/>
      <c r="Q204" s="367"/>
      <c r="R204" s="367"/>
      <c r="AC204" s="367"/>
      <c r="AD204" s="367"/>
      <c r="AE204" s="367"/>
      <c r="AF204" s="367"/>
      <c r="AG204" s="367"/>
      <c r="AH204" s="367"/>
      <c r="AI204" s="367"/>
      <c r="AJ204" s="367"/>
      <c r="AK204" s="367"/>
      <c r="AL204" s="367"/>
      <c r="AM204" s="367"/>
      <c r="AT204" s="367"/>
      <c r="AU204" s="367"/>
      <c r="BA204" s="367"/>
      <c r="BF204" s="331"/>
      <c r="BG204" s="368"/>
      <c r="BH204" s="104"/>
      <c r="BI204" s="266"/>
      <c r="BJ204" s="368"/>
      <c r="BK204" s="104"/>
      <c r="BL204" s="369"/>
      <c r="BP204" s="6">
        <f>SUM(BF202:BP202)</f>
        <v>51859042.14950107</v>
      </c>
      <c r="BZ204" s="367"/>
      <c r="CA204" s="367"/>
      <c r="CB204" s="367"/>
      <c r="CC204" s="367"/>
      <c r="CD204" s="367"/>
      <c r="CE204" s="367"/>
      <c r="CF204" s="367"/>
      <c r="CG204" s="367"/>
      <c r="CH204" s="367"/>
      <c r="CO204" s="367"/>
      <c r="CP204" s="367"/>
      <c r="CW204" s="367"/>
    </row>
    <row r="205" spans="1:115" ht="14.45" customHeight="1">
      <c r="B205" s="3"/>
      <c r="D205" s="360"/>
      <c r="I205" s="367"/>
      <c r="J205" s="367"/>
      <c r="K205" s="367"/>
      <c r="L205" s="367"/>
      <c r="M205" s="367"/>
      <c r="N205" s="367"/>
      <c r="O205" s="367"/>
      <c r="P205" s="367"/>
      <c r="Q205" s="367"/>
      <c r="R205" s="367"/>
      <c r="AC205" s="367"/>
      <c r="AD205" s="367"/>
      <c r="AE205" s="367"/>
      <c r="AF205" s="367"/>
      <c r="AG205" s="367"/>
      <c r="AH205" s="367"/>
      <c r="AI205" s="367"/>
      <c r="AJ205" s="367"/>
      <c r="AK205" s="367"/>
      <c r="AL205" s="367"/>
      <c r="AM205" s="367"/>
      <c r="AT205" s="367"/>
      <c r="AU205" s="367"/>
      <c r="BA205" s="367"/>
      <c r="BF205" s="331"/>
      <c r="BG205" s="368"/>
      <c r="BH205" s="104"/>
      <c r="BI205" s="266"/>
      <c r="BJ205" s="368"/>
      <c r="BK205" s="104"/>
      <c r="BL205" s="369"/>
      <c r="BZ205" s="367"/>
      <c r="CA205" s="367"/>
      <c r="CB205" s="367"/>
      <c r="CC205" s="367"/>
      <c r="CD205" s="367"/>
      <c r="CE205" s="367"/>
      <c r="CF205" s="367"/>
      <c r="CG205" s="367"/>
      <c r="CH205" s="367"/>
      <c r="CO205" s="367"/>
      <c r="CP205" s="367"/>
      <c r="CW205" s="367"/>
    </row>
    <row r="206" spans="1:115" ht="14.45" customHeight="1">
      <c r="B206" s="3"/>
      <c r="D206" s="360"/>
      <c r="I206" s="367"/>
      <c r="J206" s="367"/>
      <c r="K206" s="367"/>
      <c r="L206" s="367"/>
      <c r="M206" s="367"/>
      <c r="N206" s="367"/>
      <c r="O206" s="367"/>
      <c r="P206" s="367"/>
      <c r="Q206" s="367"/>
      <c r="R206" s="367"/>
      <c r="AC206" s="367"/>
      <c r="AD206" s="367"/>
      <c r="AE206" s="367"/>
      <c r="AF206" s="367"/>
      <c r="AG206" s="367"/>
      <c r="AH206" s="367"/>
      <c r="AI206" s="367"/>
      <c r="AJ206" s="367"/>
      <c r="AK206" s="367"/>
      <c r="AL206" s="367"/>
      <c r="AM206" s="367"/>
      <c r="AT206" s="367"/>
      <c r="AU206" s="367"/>
      <c r="BA206" s="367"/>
      <c r="BF206" s="331"/>
      <c r="BG206" s="368"/>
      <c r="BH206" s="104"/>
      <c r="BI206" s="266"/>
      <c r="BJ206" s="368"/>
      <c r="BK206" s="104"/>
      <c r="BL206" s="369"/>
      <c r="BZ206" s="367"/>
      <c r="CA206" s="367"/>
      <c r="CB206" s="367"/>
      <c r="CC206" s="367"/>
      <c r="CD206" s="367"/>
      <c r="CE206" s="367"/>
      <c r="CF206" s="367"/>
      <c r="CG206" s="367"/>
      <c r="CH206" s="367"/>
      <c r="CO206" s="367"/>
      <c r="CP206" s="367"/>
      <c r="CW206" s="367"/>
    </row>
    <row r="207" spans="1:115" ht="14.45" customHeight="1">
      <c r="B207" s="3"/>
      <c r="C207" s="3"/>
      <c r="D207" s="372"/>
      <c r="E207" s="104"/>
      <c r="F207" s="3"/>
      <c r="G207" s="3"/>
      <c r="H207" s="370"/>
      <c r="S207" s="3"/>
      <c r="T207" s="3"/>
      <c r="U207" s="3"/>
      <c r="V207" s="3"/>
      <c r="W207" s="3"/>
      <c r="AN207" s="3"/>
      <c r="BF207" s="3"/>
      <c r="BG207" s="3"/>
      <c r="BH207" s="3"/>
    </row>
    <row r="208" spans="1:115" ht="14.45" customHeight="1">
      <c r="B208" s="3"/>
      <c r="C208" s="3"/>
      <c r="D208" s="372"/>
      <c r="E208" s="104"/>
      <c r="F208" s="3"/>
      <c r="G208" s="3"/>
      <c r="H208" s="370"/>
      <c r="S208" s="3"/>
      <c r="T208" s="3"/>
      <c r="U208" s="3"/>
      <c r="V208" s="3"/>
      <c r="W208" s="3"/>
      <c r="AN208" s="3"/>
      <c r="BF208" s="3"/>
      <c r="BG208" s="3"/>
      <c r="BH208" s="3"/>
    </row>
    <row r="209" spans="2:101" ht="14.45" customHeight="1">
      <c r="B209" s="3"/>
      <c r="C209" s="3"/>
      <c r="D209" s="371"/>
      <c r="E209" s="104"/>
      <c r="F209" s="3"/>
      <c r="G209" s="3"/>
      <c r="H209" s="370"/>
      <c r="I209" s="373"/>
      <c r="J209" s="374"/>
      <c r="K209" s="374"/>
      <c r="L209" s="374"/>
      <c r="M209" s="374"/>
      <c r="N209" s="374"/>
      <c r="O209" s="374"/>
      <c r="P209" s="374"/>
      <c r="Q209" s="373"/>
      <c r="R209" s="374"/>
      <c r="S209" s="3"/>
      <c r="T209" s="3"/>
      <c r="U209" s="3"/>
      <c r="V209" s="3"/>
      <c r="W209" s="3"/>
      <c r="X209" s="375"/>
      <c r="Y209" s="375"/>
      <c r="Z209" s="374"/>
      <c r="AA209" s="374"/>
      <c r="AB209" s="374"/>
      <c r="AC209" s="373"/>
      <c r="AD209" s="374"/>
      <c r="AE209" s="374"/>
      <c r="AF209" s="374"/>
      <c r="AG209" s="374"/>
      <c r="AH209" s="374"/>
      <c r="AI209" s="374"/>
      <c r="AJ209" s="374"/>
      <c r="AK209" s="374"/>
      <c r="AL209" s="374"/>
      <c r="AM209" s="374"/>
      <c r="AN209" s="3"/>
      <c r="AO209" s="375"/>
      <c r="AP209" s="375"/>
      <c r="AQ209" s="374"/>
      <c r="AR209" s="374"/>
      <c r="AS209" s="374"/>
      <c r="AT209" s="373"/>
      <c r="AU209" s="374"/>
      <c r="BA209" s="374"/>
      <c r="BF209" s="3"/>
      <c r="BG209" s="3"/>
      <c r="BH209" s="3"/>
      <c r="BU209" s="375"/>
      <c r="BV209" s="375"/>
      <c r="BW209" s="374"/>
      <c r="BX209" s="374"/>
      <c r="BY209" s="374"/>
      <c r="BZ209" s="373"/>
      <c r="CA209" s="374"/>
      <c r="CB209" s="374"/>
      <c r="CC209" s="374"/>
      <c r="CD209" s="374"/>
      <c r="CE209" s="374"/>
      <c r="CF209" s="374"/>
      <c r="CG209" s="374"/>
      <c r="CH209" s="374"/>
      <c r="CJ209" s="375"/>
      <c r="CK209" s="375"/>
      <c r="CL209" s="374"/>
      <c r="CM209" s="374"/>
      <c r="CN209" s="374"/>
      <c r="CO209" s="373"/>
      <c r="CP209" s="374"/>
      <c r="CW209" s="374"/>
    </row>
    <row r="210" spans="2:101" ht="14.45" customHeight="1">
      <c r="B210" s="3"/>
      <c r="C210" s="3"/>
      <c r="D210" s="372"/>
      <c r="E210" s="104"/>
      <c r="F210" s="3"/>
      <c r="G210" s="3"/>
      <c r="H210" s="370"/>
      <c r="S210" s="3"/>
      <c r="T210" s="3"/>
      <c r="U210" s="3"/>
      <c r="V210" s="3"/>
      <c r="W210" s="3"/>
      <c r="AN210" s="3"/>
      <c r="BF210" s="3"/>
      <c r="BG210" s="3"/>
      <c r="BH210" s="3"/>
    </row>
    <row r="211" spans="2:101" ht="14.45" customHeight="1">
      <c r="B211" s="3"/>
      <c r="C211" s="3"/>
      <c r="D211" s="372"/>
      <c r="E211" s="104"/>
      <c r="F211" s="3"/>
      <c r="G211" s="3"/>
      <c r="H211" s="370"/>
      <c r="I211" s="376"/>
      <c r="J211" s="377"/>
      <c r="K211" s="358"/>
      <c r="L211" s="358"/>
      <c r="M211" s="358"/>
      <c r="N211" s="358"/>
      <c r="O211" s="358"/>
      <c r="P211" s="358"/>
      <c r="Q211" s="378"/>
      <c r="R211" s="377"/>
      <c r="S211" s="3"/>
      <c r="T211" s="3"/>
      <c r="U211" s="3"/>
      <c r="V211" s="3"/>
      <c r="W211" s="3"/>
      <c r="X211" s="379"/>
      <c r="Y211" s="379"/>
      <c r="Z211" s="379"/>
      <c r="AA211" s="379"/>
      <c r="AB211" s="377"/>
      <c r="AC211" s="376"/>
      <c r="AD211" s="377"/>
      <c r="AE211" s="358"/>
      <c r="AF211" s="358"/>
      <c r="AG211" s="358"/>
      <c r="AH211" s="358"/>
      <c r="AI211" s="358"/>
      <c r="AJ211" s="358"/>
      <c r="AK211" s="358"/>
      <c r="AL211" s="358"/>
      <c r="AM211" s="358"/>
      <c r="AN211" s="3"/>
      <c r="AO211" s="379"/>
      <c r="AP211" s="379"/>
      <c r="AQ211" s="379"/>
      <c r="AR211" s="379"/>
      <c r="AS211" s="377"/>
      <c r="AT211" s="376"/>
      <c r="AU211" s="377"/>
      <c r="BA211" s="358"/>
      <c r="BF211" s="3"/>
      <c r="BG211" s="3"/>
      <c r="BH211" s="3"/>
      <c r="BU211" s="379"/>
      <c r="BV211" s="379"/>
      <c r="BW211" s="379"/>
      <c r="BX211" s="379"/>
      <c r="BY211" s="377"/>
      <c r="BZ211" s="376"/>
      <c r="CA211" s="377"/>
      <c r="CB211" s="358"/>
      <c r="CC211" s="358"/>
      <c r="CD211" s="358"/>
      <c r="CE211" s="358"/>
      <c r="CF211" s="358"/>
      <c r="CG211" s="358"/>
      <c r="CH211" s="358"/>
      <c r="CJ211" s="379"/>
      <c r="CK211" s="379"/>
      <c r="CL211" s="379"/>
      <c r="CM211" s="379"/>
      <c r="CN211" s="377"/>
      <c r="CO211" s="376"/>
      <c r="CP211" s="377"/>
      <c r="CW211" s="358"/>
    </row>
    <row r="212" spans="2:101" ht="14.45" customHeight="1">
      <c r="B212" s="3"/>
      <c r="C212" s="3"/>
      <c r="D212" s="371"/>
      <c r="E212" s="104"/>
      <c r="F212" s="3"/>
      <c r="G212" s="3"/>
      <c r="H212" s="370"/>
      <c r="I212" s="380"/>
      <c r="J212" s="381"/>
      <c r="K212" s="358"/>
      <c r="L212" s="358"/>
      <c r="M212" s="358"/>
      <c r="N212" s="358"/>
      <c r="O212" s="358"/>
      <c r="P212" s="358"/>
      <c r="Q212" s="378"/>
      <c r="R212" s="381"/>
      <c r="S212" s="3"/>
      <c r="T212" s="3"/>
      <c r="U212" s="3"/>
      <c r="V212" s="3"/>
      <c r="W212" s="3"/>
      <c r="X212" s="382"/>
      <c r="Y212" s="383"/>
      <c r="Z212" s="382"/>
      <c r="AA212" s="382"/>
      <c r="AB212" s="381"/>
      <c r="AC212" s="380"/>
      <c r="AD212" s="381"/>
      <c r="AE212" s="358"/>
      <c r="AF212" s="358"/>
      <c r="AG212" s="358"/>
      <c r="AH212" s="358"/>
      <c r="AI212" s="358"/>
      <c r="AJ212" s="358"/>
      <c r="AK212" s="358"/>
      <c r="AL212" s="358"/>
      <c r="AM212" s="358"/>
      <c r="AN212" s="3"/>
      <c r="AO212" s="382"/>
      <c r="AP212" s="383"/>
      <c r="AQ212" s="382"/>
      <c r="AR212" s="382"/>
      <c r="AS212" s="381"/>
      <c r="AT212" s="380"/>
      <c r="AU212" s="381"/>
      <c r="BA212" s="358"/>
      <c r="BF212" s="3"/>
      <c r="BG212" s="3"/>
      <c r="BH212" s="3"/>
      <c r="BU212" s="382"/>
      <c r="BV212" s="383"/>
      <c r="BW212" s="382"/>
      <c r="BX212" s="382"/>
      <c r="BY212" s="381"/>
      <c r="BZ212" s="380"/>
      <c r="CA212" s="381"/>
      <c r="CB212" s="358"/>
      <c r="CC212" s="358"/>
      <c r="CD212" s="358"/>
      <c r="CE212" s="358"/>
      <c r="CF212" s="358"/>
      <c r="CG212" s="358"/>
      <c r="CH212" s="358"/>
      <c r="CJ212" s="382"/>
      <c r="CK212" s="383"/>
      <c r="CL212" s="382"/>
      <c r="CM212" s="382"/>
      <c r="CN212" s="381"/>
      <c r="CO212" s="380"/>
      <c r="CP212" s="381"/>
      <c r="CW212" s="358"/>
    </row>
    <row r="213" spans="2:101" ht="14.45" customHeight="1">
      <c r="B213" s="3"/>
      <c r="C213" s="3"/>
      <c r="I213" s="384"/>
      <c r="J213" s="381"/>
      <c r="K213" s="358"/>
      <c r="L213" s="358"/>
      <c r="M213" s="358"/>
      <c r="N213" s="358"/>
      <c r="O213" s="358"/>
      <c r="P213" s="358"/>
      <c r="Q213" s="378"/>
      <c r="R213" s="381"/>
      <c r="S213" s="3"/>
      <c r="T213" s="3"/>
      <c r="U213" s="3"/>
      <c r="V213" s="3"/>
      <c r="W213" s="3"/>
      <c r="X213" s="382"/>
      <c r="Y213" s="383"/>
      <c r="Z213" s="382"/>
      <c r="AA213" s="382"/>
      <c r="AB213" s="381"/>
      <c r="AC213" s="384"/>
      <c r="AD213" s="381"/>
      <c r="AE213" s="358"/>
      <c r="AF213" s="358"/>
      <c r="AG213" s="358"/>
      <c r="AH213" s="358"/>
      <c r="AI213" s="358"/>
      <c r="AJ213" s="358"/>
      <c r="AK213" s="358"/>
      <c r="AL213" s="358"/>
      <c r="AM213" s="358"/>
      <c r="AN213" s="3"/>
      <c r="AO213" s="382"/>
      <c r="AP213" s="383"/>
      <c r="AQ213" s="382"/>
      <c r="AR213" s="382"/>
      <c r="AS213" s="381"/>
      <c r="AT213" s="384"/>
      <c r="AU213" s="381"/>
      <c r="BA213" s="358"/>
      <c r="BF213" s="3"/>
      <c r="BG213" s="3"/>
      <c r="BH213" s="3"/>
      <c r="BU213" s="382"/>
      <c r="BV213" s="383"/>
      <c r="BW213" s="382"/>
      <c r="BX213" s="382"/>
      <c r="BY213" s="381"/>
      <c r="BZ213" s="384"/>
      <c r="CA213" s="381"/>
      <c r="CB213" s="358"/>
      <c r="CC213" s="358"/>
      <c r="CD213" s="358"/>
      <c r="CE213" s="358"/>
      <c r="CF213" s="358"/>
      <c r="CG213" s="358"/>
      <c r="CH213" s="358"/>
      <c r="CJ213" s="382"/>
      <c r="CK213" s="383"/>
      <c r="CL213" s="382"/>
      <c r="CM213" s="382"/>
      <c r="CN213" s="381"/>
      <c r="CO213" s="384"/>
      <c r="CP213" s="381"/>
      <c r="CW213" s="358"/>
    </row>
    <row r="214" spans="2:101" ht="14.45" customHeight="1">
      <c r="B214" s="3"/>
      <c r="C214" s="3"/>
      <c r="I214" s="384"/>
      <c r="J214" s="381"/>
      <c r="K214" s="358"/>
      <c r="L214" s="358"/>
      <c r="M214" s="358"/>
      <c r="N214" s="358"/>
      <c r="O214" s="358"/>
      <c r="P214" s="358"/>
      <c r="Q214" s="378"/>
      <c r="R214" s="381"/>
      <c r="S214" s="3"/>
      <c r="T214" s="3"/>
      <c r="U214" s="3"/>
      <c r="V214" s="3"/>
      <c r="W214" s="3"/>
      <c r="X214" s="382"/>
      <c r="Y214" s="383"/>
      <c r="Z214" s="382"/>
      <c r="AA214" s="382"/>
      <c r="AB214" s="381"/>
      <c r="AC214" s="384"/>
      <c r="AD214" s="381"/>
      <c r="AE214" s="358"/>
      <c r="AF214" s="358"/>
      <c r="AG214" s="358"/>
      <c r="AH214" s="358"/>
      <c r="AI214" s="358"/>
      <c r="AJ214" s="358"/>
      <c r="AK214" s="358"/>
      <c r="AL214" s="358"/>
      <c r="AM214" s="358"/>
      <c r="AN214" s="3"/>
      <c r="AO214" s="382"/>
      <c r="AP214" s="383"/>
      <c r="AQ214" s="382"/>
      <c r="AR214" s="382"/>
      <c r="AS214" s="381"/>
      <c r="AT214" s="384"/>
      <c r="AU214" s="381"/>
      <c r="BA214" s="358"/>
      <c r="BF214" s="3"/>
      <c r="BG214" s="3"/>
      <c r="BH214" s="3"/>
      <c r="BU214" s="382"/>
      <c r="BV214" s="383"/>
      <c r="BW214" s="382"/>
      <c r="BX214" s="382"/>
      <c r="BY214" s="381"/>
      <c r="BZ214" s="384"/>
      <c r="CA214" s="381"/>
      <c r="CB214" s="358"/>
      <c r="CC214" s="358"/>
      <c r="CD214" s="358"/>
      <c r="CE214" s="358"/>
      <c r="CF214" s="358"/>
      <c r="CG214" s="358"/>
      <c r="CH214" s="358"/>
      <c r="CJ214" s="382"/>
      <c r="CK214" s="383"/>
      <c r="CL214" s="382"/>
      <c r="CM214" s="382"/>
      <c r="CN214" s="381"/>
      <c r="CO214" s="384"/>
      <c r="CP214" s="381"/>
      <c r="CW214" s="358"/>
    </row>
    <row r="215" spans="2:101" ht="14.45" customHeight="1">
      <c r="B215" s="385"/>
      <c r="C215" s="385"/>
      <c r="D215" s="375"/>
      <c r="E215" s="375"/>
      <c r="F215" s="374"/>
      <c r="G215" s="374"/>
      <c r="H215" s="374"/>
      <c r="I215" s="378"/>
      <c r="J215" s="358"/>
      <c r="K215" s="358"/>
      <c r="L215" s="358"/>
      <c r="M215" s="358"/>
      <c r="N215" s="358"/>
      <c r="O215" s="358"/>
      <c r="P215" s="358"/>
      <c r="Q215" s="378"/>
      <c r="R215" s="358"/>
      <c r="S215" s="3"/>
      <c r="T215" s="3"/>
      <c r="U215" s="3"/>
      <c r="V215" s="3"/>
      <c r="W215" s="3"/>
      <c r="X215" s="38"/>
      <c r="Y215" s="38"/>
      <c r="Z215" s="358"/>
      <c r="AA215" s="358"/>
      <c r="AB215" s="358"/>
      <c r="AC215" s="378"/>
      <c r="AD215" s="358"/>
      <c r="AE215" s="358"/>
      <c r="AF215" s="358"/>
      <c r="AG215" s="358"/>
      <c r="AH215" s="358"/>
      <c r="AI215" s="358"/>
      <c r="AJ215" s="358"/>
      <c r="AK215" s="358"/>
      <c r="AL215" s="358"/>
      <c r="AM215" s="358"/>
      <c r="AN215" s="3"/>
      <c r="AO215" s="38"/>
      <c r="AP215" s="38"/>
      <c r="AQ215" s="358"/>
      <c r="AR215" s="358"/>
      <c r="AS215" s="358"/>
      <c r="AT215" s="378"/>
      <c r="AU215" s="358"/>
      <c r="BA215" s="358"/>
      <c r="BF215" s="3"/>
      <c r="BG215" s="3"/>
      <c r="BH215" s="3"/>
      <c r="BU215" s="38"/>
      <c r="BV215" s="38"/>
      <c r="BW215" s="358"/>
      <c r="BX215" s="358"/>
      <c r="BY215" s="358"/>
      <c r="BZ215" s="378"/>
      <c r="CA215" s="358"/>
      <c r="CB215" s="358"/>
      <c r="CC215" s="358"/>
      <c r="CD215" s="358"/>
      <c r="CE215" s="358"/>
      <c r="CF215" s="358"/>
      <c r="CG215" s="358"/>
      <c r="CH215" s="358"/>
      <c r="CJ215" s="38"/>
      <c r="CK215" s="38"/>
      <c r="CL215" s="358"/>
      <c r="CM215" s="358"/>
      <c r="CN215" s="358"/>
      <c r="CO215" s="378"/>
      <c r="CP215" s="358"/>
      <c r="CW215" s="358"/>
    </row>
    <row r="216" spans="2:101" ht="14.45" customHeight="1">
      <c r="B216" s="3"/>
      <c r="C216" s="3"/>
    </row>
    <row r="217" spans="2:101" ht="14.45" customHeight="1" thickBot="1">
      <c r="B217" s="386"/>
      <c r="C217" s="386"/>
      <c r="D217" s="379"/>
      <c r="E217" s="379"/>
      <c r="F217" s="379"/>
      <c r="G217" s="379"/>
      <c r="H217" s="377"/>
    </row>
    <row r="218" spans="2:101" s="374" customFormat="1" ht="20.25" customHeight="1" thickBot="1">
      <c r="B218" s="386"/>
      <c r="C218" s="386"/>
      <c r="D218" s="382"/>
      <c r="E218" s="383"/>
      <c r="F218" s="382"/>
      <c r="G218" s="382"/>
      <c r="H218" s="381"/>
      <c r="I218" s="357"/>
      <c r="J218" s="6"/>
      <c r="K218" s="6"/>
      <c r="L218" s="6"/>
      <c r="M218" s="6"/>
      <c r="N218" s="6"/>
      <c r="O218" s="6"/>
      <c r="P218" s="6"/>
      <c r="Q218" s="357"/>
      <c r="R218" s="6"/>
      <c r="X218" s="6"/>
      <c r="Y218" s="6"/>
      <c r="Z218" s="6"/>
      <c r="AA218" s="6"/>
      <c r="AB218" s="6"/>
      <c r="AC218" s="6"/>
      <c r="AD218" s="6"/>
      <c r="AE218" s="387"/>
      <c r="AF218" s="7"/>
      <c r="AG218" s="7"/>
      <c r="AH218" s="7"/>
      <c r="AI218" s="38"/>
      <c r="AJ218" s="6"/>
      <c r="AK218" s="6"/>
      <c r="AL218" s="6"/>
      <c r="AM218" s="6"/>
      <c r="AO218" s="6"/>
      <c r="AT218" s="6"/>
      <c r="AU218" s="375"/>
      <c r="BE218" s="388"/>
      <c r="BI218" s="389" t="s">
        <v>162</v>
      </c>
      <c r="BJ218" s="390" t="s">
        <v>163</v>
      </c>
      <c r="BK218" s="390" t="s">
        <v>164</v>
      </c>
      <c r="BL218" s="391" t="s">
        <v>165</v>
      </c>
      <c r="BM218" s="391" t="s">
        <v>166</v>
      </c>
      <c r="BN218" s="391" t="s">
        <v>167</v>
      </c>
      <c r="BO218" s="391" t="s">
        <v>168</v>
      </c>
      <c r="BP218" s="391" t="s">
        <v>169</v>
      </c>
      <c r="BQ218" s="391" t="s">
        <v>160</v>
      </c>
      <c r="BR218" s="391" t="s">
        <v>161</v>
      </c>
      <c r="BS218" s="391" t="s">
        <v>170</v>
      </c>
      <c r="BT218" s="391" t="s">
        <v>171</v>
      </c>
      <c r="BU218" s="392" t="s">
        <v>172</v>
      </c>
      <c r="BV218" s="6"/>
      <c r="BW218" s="6"/>
      <c r="BX218" s="6"/>
      <c r="BY218" s="6"/>
      <c r="BZ218" s="6"/>
      <c r="CA218" s="387"/>
      <c r="CB218" s="7"/>
      <c r="CC218" s="7"/>
      <c r="CD218" s="7"/>
      <c r="CE218" s="38"/>
      <c r="CF218" s="38"/>
      <c r="CG218" s="6"/>
      <c r="CI218" s="6"/>
      <c r="CN218" s="6"/>
      <c r="CO218" s="375"/>
    </row>
    <row r="219" spans="2:101" ht="17.45" customHeight="1">
      <c r="B219" s="386"/>
      <c r="C219" s="386"/>
      <c r="D219" s="382"/>
      <c r="E219" s="383"/>
      <c r="F219" s="382"/>
      <c r="G219" s="382"/>
      <c r="H219" s="381"/>
      <c r="I219" s="6"/>
      <c r="Q219" s="6"/>
      <c r="AC219" s="6"/>
      <c r="AE219" s="387"/>
      <c r="AI219" s="358"/>
      <c r="AO219" s="6"/>
      <c r="AP219" s="6"/>
      <c r="AT219" s="6"/>
      <c r="AU219" s="7"/>
      <c r="BB219" s="6"/>
      <c r="BC219" s="6"/>
      <c r="BD219" s="6"/>
      <c r="BE219" s="393"/>
      <c r="BI219" s="394" t="s">
        <v>173</v>
      </c>
      <c r="BJ219" s="395">
        <f>SUM(BG17)</f>
        <v>40110911.229999997</v>
      </c>
      <c r="BK219" s="395">
        <f t="shared" ref="BK219:BT219" si="315">SUM(BH17)</f>
        <v>34396476.340000004</v>
      </c>
      <c r="BL219" s="395">
        <f t="shared" si="315"/>
        <v>41438278.399999999</v>
      </c>
      <c r="BM219" s="395">
        <f t="shared" si="315"/>
        <v>41814112.509999998</v>
      </c>
      <c r="BN219" s="395">
        <f t="shared" si="315"/>
        <v>37680076.700000003</v>
      </c>
      <c r="BO219" s="395">
        <f t="shared" si="315"/>
        <v>39245643.759999998</v>
      </c>
      <c r="BP219" s="395">
        <f t="shared" si="315"/>
        <v>36214470.519999996</v>
      </c>
      <c r="BQ219" s="395">
        <f t="shared" si="315"/>
        <v>42434509.609999999</v>
      </c>
      <c r="BR219" s="395">
        <f t="shared" si="315"/>
        <v>44178670.350000001</v>
      </c>
      <c r="BS219" s="395">
        <f t="shared" si="315"/>
        <v>34254915.630000003</v>
      </c>
      <c r="BT219" s="395">
        <f t="shared" si="315"/>
        <v>41441554.310000002</v>
      </c>
      <c r="BU219" s="396">
        <f>SUM(D17)</f>
        <v>35154888.869999997</v>
      </c>
      <c r="BV219" s="6"/>
      <c r="BZ219" s="6"/>
      <c r="CA219" s="387"/>
      <c r="CE219" s="358"/>
      <c r="CF219" s="358"/>
      <c r="CH219"/>
      <c r="CI219" s="6"/>
      <c r="CJ219" s="6"/>
      <c r="CK219" s="6"/>
      <c r="CO219" s="7"/>
    </row>
    <row r="220" spans="2:101" ht="17.45" customHeight="1">
      <c r="B220" s="386"/>
      <c r="C220" s="386"/>
      <c r="D220" s="382"/>
      <c r="E220" s="383"/>
      <c r="F220" s="382"/>
      <c r="G220" s="382"/>
      <c r="H220" s="381"/>
      <c r="I220" s="6"/>
      <c r="Q220" s="6"/>
      <c r="S220" s="377"/>
      <c r="T220" s="377"/>
      <c r="U220" s="377"/>
      <c r="V220" s="377"/>
      <c r="AC220" s="6"/>
      <c r="AE220" s="387"/>
      <c r="AI220" s="358"/>
      <c r="AO220" s="6"/>
      <c r="AP220" s="6"/>
      <c r="AT220" s="6"/>
      <c r="AU220" s="7"/>
      <c r="BB220" s="6"/>
      <c r="BC220" s="6"/>
      <c r="BD220" s="6"/>
      <c r="BE220" s="393"/>
      <c r="BI220" s="397" t="s">
        <v>174</v>
      </c>
      <c r="BJ220" s="398">
        <f>SUM(BG55)</f>
        <v>14978375.74</v>
      </c>
      <c r="BK220" s="398">
        <f t="shared" ref="BK220:BT220" si="316">SUM(BH55)</f>
        <v>15051585.519999998</v>
      </c>
      <c r="BL220" s="398">
        <f t="shared" si="316"/>
        <v>14946918.510000002</v>
      </c>
      <c r="BM220" s="398">
        <f t="shared" si="316"/>
        <v>15464647.67</v>
      </c>
      <c r="BN220" s="398">
        <f t="shared" si="316"/>
        <v>14564672.560000002</v>
      </c>
      <c r="BO220" s="398">
        <f t="shared" si="316"/>
        <v>14617568.479999999</v>
      </c>
      <c r="BP220" s="398">
        <f t="shared" si="316"/>
        <v>15451139.109999999</v>
      </c>
      <c r="BQ220" s="398">
        <f t="shared" si="316"/>
        <v>14492221.5</v>
      </c>
      <c r="BR220" s="398">
        <f t="shared" si="316"/>
        <v>15609238.789999999</v>
      </c>
      <c r="BS220" s="398">
        <f t="shared" si="316"/>
        <v>15217424.67</v>
      </c>
      <c r="BT220" s="398">
        <f t="shared" si="316"/>
        <v>15725100.500000002</v>
      </c>
      <c r="BU220" s="399">
        <f>SUM(D55)</f>
        <v>17052710.640000001</v>
      </c>
      <c r="BV220" s="6"/>
      <c r="BZ220" s="6"/>
      <c r="CA220" s="387"/>
      <c r="CE220" s="358"/>
      <c r="CF220" s="358"/>
      <c r="CH220"/>
      <c r="CI220" s="6"/>
      <c r="CJ220" s="6"/>
      <c r="CK220" s="6"/>
      <c r="CO220" s="7"/>
    </row>
    <row r="221" spans="2:101" ht="17.45" customHeight="1" thickBot="1">
      <c r="B221" s="386"/>
      <c r="C221" s="386"/>
      <c r="D221" s="38"/>
      <c r="E221" s="38"/>
      <c r="F221" s="358"/>
      <c r="G221" s="358"/>
      <c r="H221" s="358"/>
      <c r="I221" s="6"/>
      <c r="Q221" s="6"/>
      <c r="S221" s="381"/>
      <c r="T221" s="381"/>
      <c r="U221" s="381"/>
      <c r="V221" s="381"/>
      <c r="AC221" s="6"/>
      <c r="AE221" s="387"/>
      <c r="AI221" s="358"/>
      <c r="AO221" s="6"/>
      <c r="AP221" s="6"/>
      <c r="AT221" s="6"/>
      <c r="AU221" s="7"/>
      <c r="BB221" s="6"/>
      <c r="BC221" s="6"/>
      <c r="BD221" s="6"/>
      <c r="BE221" s="393"/>
      <c r="BI221" s="400" t="s">
        <v>175</v>
      </c>
      <c r="BJ221" s="401">
        <f>SUM(BG102)</f>
        <v>4323176.3935067356</v>
      </c>
      <c r="BK221" s="401">
        <f t="shared" ref="BK221:BT221" si="317">SUM(BH102)</f>
        <v>5719002.5779342111</v>
      </c>
      <c r="BL221" s="401">
        <f t="shared" si="317"/>
        <v>4210852.1729485244</v>
      </c>
      <c r="BM221" s="401">
        <f t="shared" si="317"/>
        <v>6105801.7221498359</v>
      </c>
      <c r="BN221" s="401">
        <f t="shared" si="317"/>
        <v>3446011.5086869486</v>
      </c>
      <c r="BO221" s="401">
        <f t="shared" si="317"/>
        <v>4775370.3969721962</v>
      </c>
      <c r="BP221" s="401">
        <f t="shared" si="317"/>
        <v>5654387.5525305867</v>
      </c>
      <c r="BQ221" s="401">
        <f t="shared" si="317"/>
        <v>2519977.3505535498</v>
      </c>
      <c r="BR221" s="401">
        <f t="shared" si="317"/>
        <v>5847309.6617768928</v>
      </c>
      <c r="BS221" s="401">
        <f t="shared" si="317"/>
        <v>5346438.8116918113</v>
      </c>
      <c r="BT221" s="401">
        <f t="shared" si="317"/>
        <v>5076242.432041904</v>
      </c>
      <c r="BU221" s="402">
        <f>SUM(D102)</f>
        <v>5165285.7493867502</v>
      </c>
      <c r="BV221" s="6"/>
      <c r="BZ221" s="6"/>
      <c r="CA221" s="387"/>
      <c r="CE221" s="358"/>
      <c r="CF221" s="358"/>
      <c r="CH221"/>
      <c r="CI221" s="6"/>
      <c r="CJ221" s="6"/>
      <c r="CK221" s="6"/>
      <c r="CO221" s="7"/>
    </row>
    <row r="222" spans="2:101" ht="14.45" customHeight="1">
      <c r="S222" s="381"/>
      <c r="T222" s="381"/>
      <c r="U222" s="381"/>
      <c r="V222" s="381"/>
    </row>
    <row r="223" spans="2:101" ht="14.45" customHeight="1">
      <c r="I223" s="6"/>
      <c r="Q223" s="6"/>
      <c r="S223" s="381"/>
      <c r="T223" s="381"/>
      <c r="U223" s="381"/>
      <c r="V223" s="381"/>
      <c r="AC223" s="6"/>
      <c r="AO223" s="6"/>
      <c r="AP223" s="6"/>
      <c r="AT223" s="6"/>
      <c r="BU223" s="6"/>
      <c r="BV223" s="6"/>
      <c r="BZ223" s="6"/>
      <c r="CJ223" s="6"/>
      <c r="CK223" s="6"/>
      <c r="CO223" s="6"/>
    </row>
    <row r="224" spans="2:101" ht="14.45" customHeight="1">
      <c r="S224" s="358"/>
      <c r="T224" s="358"/>
      <c r="U224" s="358"/>
      <c r="V224" s="358"/>
    </row>
    <row r="225" spans="2:5" ht="14.45" customHeight="1">
      <c r="B225" s="403"/>
      <c r="C225" s="403"/>
      <c r="D225" s="6"/>
      <c r="E225" s="6"/>
    </row>
    <row r="226" spans="2:5" ht="14.45" customHeight="1">
      <c r="D226" s="6"/>
      <c r="E226" s="6"/>
    </row>
    <row r="227" spans="2:5" ht="14.45" customHeight="1">
      <c r="B227" s="403"/>
      <c r="C227" s="403"/>
      <c r="D227" s="6"/>
      <c r="E227" s="6"/>
    </row>
    <row r="228" spans="2:5" ht="45.75" customHeight="1"/>
    <row r="229" spans="2:5" ht="14.45" customHeight="1">
      <c r="B229" s="403"/>
      <c r="C229" s="403"/>
      <c r="D229" s="6"/>
      <c r="E229" s="6"/>
    </row>
    <row r="230" spans="2:5" ht="44.25" customHeight="1"/>
  </sheetData>
  <mergeCells count="14">
    <mergeCell ref="CJ3:CW3"/>
    <mergeCell ref="CY3:DK3"/>
    <mergeCell ref="A145:B146"/>
    <mergeCell ref="B170:B171"/>
    <mergeCell ref="D2:BD2"/>
    <mergeCell ref="BF2:BS2"/>
    <mergeCell ref="BU2:CH2"/>
    <mergeCell ref="CJ2:CW2"/>
    <mergeCell ref="CY2:DK2"/>
    <mergeCell ref="D3:V3"/>
    <mergeCell ref="X3:AM3"/>
    <mergeCell ref="AO3:BD3"/>
    <mergeCell ref="BF3:BS3"/>
    <mergeCell ref="BU3:CH3"/>
  </mergeCells>
  <pageMargins left="0.3" right="0.21" top="0.1" bottom="13015052.41" header="0.14000000000000001" footer="0.25"/>
  <pageSetup paperSize="9" scale="52" fitToWidth="0" fitToHeight="0" orientation="portrait" r:id="rId1"/>
  <rowBreaks count="1" manualBreakCount="1">
    <brk id="198" max="7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AEON-iCash Campaign 1730 (2</vt:lpstr>
      <vt:lpstr>AEON-iCash Campaign 1000 gifts</vt:lpstr>
      <vt:lpstr>PF PL</vt:lpstr>
      <vt:lpstr>'PF PL'!Print_Area</vt:lpstr>
      <vt:lpstr>'PF PL'!Print_Titles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A13212</dc:creator>
  <cp:lastModifiedBy>Sarvindran Nair A/L Krishnan Kutty (HQ-CCG-MPD)</cp:lastModifiedBy>
  <dcterms:created xsi:type="dcterms:W3CDTF">2015-05-20T07:17:35Z</dcterms:created>
  <dcterms:modified xsi:type="dcterms:W3CDTF">2015-06-30T05:16:15Z</dcterms:modified>
</cp:coreProperties>
</file>