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<sst xmlns="http://schemas.openxmlformats.org/spreadsheetml/2006/main" count="6642" uniqueCount="4358">
  <si>
    <t>E. I. N.</t>
  </si>
  <si>
    <t>Name</t>
  </si>
  <si>
    <t>Address</t>
  </si>
  <si>
    <t>City</t>
  </si>
  <si>
    <t>State</t>
  </si>
  <si>
    <t>Zip Code</t>
  </si>
  <si>
    <t>Income Amount</t>
  </si>
  <si>
    <t>Website</t>
  </si>
  <si>
    <t>Donation Button</t>
  </si>
  <si>
    <t>Title</t>
  </si>
  <si>
    <t>First Name</t>
  </si>
  <si>
    <t>Last Name</t>
  </si>
  <si>
    <t>Email</t>
  </si>
  <si>
    <t>Phone</t>
  </si>
  <si>
    <t>530196605</t>
  </si>
  <si>
    <t>AMERICAN NATIONAL RED CROSS</t>
  </si>
  <si>
    <t>2025 E ST NW</t>
  </si>
  <si>
    <t>WASHINGTON</t>
  </si>
  <si>
    <t>DC</t>
  </si>
  <si>
    <t>20006-5009</t>
  </si>
  <si>
    <t>Yes</t>
  </si>
  <si>
    <t>Chief Development Officer</t>
  </si>
  <si>
    <t>Neal</t>
  </si>
  <si>
    <t>Litvack</t>
  </si>
  <si>
    <t>202-303-4498</t>
  </si>
  <si>
    <t>could not find email</t>
  </si>
  <si>
    <t>131624241</t>
  </si>
  <si>
    <t>UNITED NEGRO COLLEGE FUND</t>
  </si>
  <si>
    <t>1805 7TH ST NW</t>
  </si>
  <si>
    <t>20001-0000</t>
  </si>
  <si>
    <t>Vice President, Development</t>
  </si>
  <si>
    <t>Therese</t>
  </si>
  <si>
    <t>Badon</t>
  </si>
  <si>
    <t>therese.badon@uncf.org</t>
  </si>
  <si>
    <t>(800) 331-2244</t>
  </si>
  <si>
    <t>530206027</t>
  </si>
  <si>
    <t>SMITHSONIAN INSTITUTION OFFICE OF THE COMPTROLLER</t>
  </si>
  <si>
    <t>1000 JEFFERSON DR SW</t>
  </si>
  <si>
    <t>20560-0008</t>
  </si>
  <si>
    <t>Director, Advancement and Philanthropic Giving</t>
  </si>
  <si>
    <t>Virginia</t>
  </si>
  <si>
    <t>Clark</t>
  </si>
  <si>
    <t>ClarkV@si.edu</t>
  </si>
  <si>
    <t>(202) 633-1000</t>
  </si>
  <si>
    <t>530196932</t>
  </si>
  <si>
    <t>NATIONAL ACADEMY OF SCIENCES</t>
  </si>
  <si>
    <t>2101 CONSTITUTION AVE NW</t>
  </si>
  <si>
    <t>20418-0007</t>
  </si>
  <si>
    <t>530193519</t>
  </si>
  <si>
    <t>NATIONAL GEOGRAPHIC SOCIETY</t>
  </si>
  <si>
    <t>1145 17TH ST NW</t>
  </si>
  <si>
    <t>20036-4707</t>
  </si>
  <si>
    <t>Foundation Relations</t>
  </si>
  <si>
    <t>Bill</t>
  </si>
  <si>
    <t>Warren</t>
  </si>
  <si>
    <t>bwarren@ngs.org</t>
  </si>
  <si>
    <t>202 862 8653</t>
  </si>
  <si>
    <t>250965219</t>
  </si>
  <si>
    <t>AMERICAN INSTITUTES FOR RESEARCH IN THE BEHAVIORAL SCIENCES</t>
  </si>
  <si>
    <t>1000 THOMAS JEFFERSON ST NW</t>
  </si>
  <si>
    <t>20007-3835</t>
  </si>
  <si>
    <t>520907625</t>
  </si>
  <si>
    <t>NATIONAL PUBLIC RADIO</t>
  </si>
  <si>
    <t>635 MASS AVE NW</t>
  </si>
  <si>
    <t>20001-3740</t>
  </si>
  <si>
    <t>Acting VP, DEVELOPMENT</t>
  </si>
  <si>
    <t>JAMIE</t>
  </si>
  <si>
    <t>PORTER</t>
  </si>
  <si>
    <t>jporter@npr.org</t>
  </si>
  <si>
    <t>(202) 513-2000</t>
  </si>
  <si>
    <t>530245017</t>
  </si>
  <si>
    <t>JOHN F KENNEDY CENTER FOR THE PERFORMING ARTS</t>
  </si>
  <si>
    <t>2700 F ST NW</t>
  </si>
  <si>
    <t>20566-0002</t>
  </si>
  <si>
    <t>Development Manager</t>
  </si>
  <si>
    <t>Patrick</t>
  </si>
  <si>
    <t>Davey</t>
  </si>
  <si>
    <t>pjdavey@kennedy-center.org</t>
  </si>
  <si>
    <t>(202) 416-8078</t>
  </si>
  <si>
    <t>530225390</t>
  </si>
  <si>
    <t>HUMANE SOCIETY OF THE UNITED STATES</t>
  </si>
  <si>
    <t>2100 L STREET NW</t>
  </si>
  <si>
    <t>20037-1525</t>
  </si>
  <si>
    <t>Senior Director, Emerging Major Gifts, Stewardship and Foundations</t>
  </si>
  <si>
    <t>Drew</t>
  </si>
  <si>
    <t>Wynn</t>
  </si>
  <si>
    <t>dwynn@humanesociety.org</t>
  </si>
  <si>
    <t>301-258-1402</t>
  </si>
  <si>
    <t>582368165</t>
  </si>
  <si>
    <t>UNITED NATIONS FOUNDATION</t>
  </si>
  <si>
    <t>1800 MASSACHUSETT AVE NW 4 FLR</t>
  </si>
  <si>
    <t>20036-1806</t>
  </si>
  <si>
    <t>Senior Director, Strategic Partnerships</t>
  </si>
  <si>
    <t>Leslie</t>
  </si>
  <si>
    <t>Cordes</t>
  </si>
  <si>
    <t>LCordes@unfoundation.org</t>
  </si>
  <si>
    <t>202.887.9040</t>
  </si>
  <si>
    <t>521693387</t>
  </si>
  <si>
    <t>WORLD WILDLIFE FUND</t>
  </si>
  <si>
    <t>1250 24TH ST NW</t>
  </si>
  <si>
    <t>20037-1124</t>
  </si>
  <si>
    <t>Senior Vice President, Development</t>
  </si>
  <si>
    <t>Julie</t>
  </si>
  <si>
    <t>Miller</t>
  </si>
  <si>
    <t>communications@wwfus.org</t>
  </si>
  <si>
    <t>(202) 293-4800</t>
  </si>
  <si>
    <t>521384139</t>
  </si>
  <si>
    <t>NATIONAL FISH AND WILDLIFE FOUNDATION</t>
  </si>
  <si>
    <t>1133 15TH STREET NW 1100</t>
  </si>
  <si>
    <t>20005-2710</t>
  </si>
  <si>
    <t>Executive Vice President, External Affairs</t>
  </si>
  <si>
    <t>Lila</t>
  </si>
  <si>
    <t>Helms</t>
  </si>
  <si>
    <t>info@nfwf.org</t>
  </si>
  <si>
    <t>202-857-0166</t>
  </si>
  <si>
    <t>520954751</t>
  </si>
  <si>
    <t>GERMAN MARSHALL FUND OF THE US</t>
  </si>
  <si>
    <t>1744 R ST NW</t>
  </si>
  <si>
    <t>20009-2410</t>
  </si>
  <si>
    <t>Vice President Development and Partnerships</t>
  </si>
  <si>
    <t>David</t>
  </si>
  <si>
    <t>Romley</t>
  </si>
  <si>
    <t>dromley@gmfus.org</t>
  </si>
  <si>
    <t>202-683-2650</t>
  </si>
  <si>
    <t>132702768</t>
  </si>
  <si>
    <t>PACT</t>
  </si>
  <si>
    <t>1828 L ST NW STE 300</t>
  </si>
  <si>
    <t>20036-5104</t>
  </si>
  <si>
    <t>VP -PROGRAM ADVANCEMENT</t>
  </si>
  <si>
    <t>GRAHAM</t>
  </si>
  <si>
    <t>WOOD</t>
  </si>
  <si>
    <t>gwood@pactworld.org</t>
  </si>
  <si>
    <t>202-466-5666</t>
  </si>
  <si>
    <t>237343119</t>
  </si>
  <si>
    <t>THE COMMUNITY FOUNDATION FOR THE NATIONAL CAPITAL REGION</t>
  </si>
  <si>
    <t>1201 15TH STREET NW SUITE 420</t>
  </si>
  <si>
    <t>20005-2842</t>
  </si>
  <si>
    <t>Vice President, Philanthropic Services</t>
  </si>
  <si>
    <t>Angela</t>
  </si>
  <si>
    <t>Jones Hackley</t>
  </si>
  <si>
    <t>ajoneshackley@cfncr.org</t>
  </si>
  <si>
    <t>(202) 955-5890</t>
  </si>
  <si>
    <t>521892964</t>
  </si>
  <si>
    <t>CONSORTIUM FOR OCEAN LEADERSHIP</t>
  </si>
  <si>
    <t>1201 NEW YORK AVE NW STE 420</t>
  </si>
  <si>
    <t>20005-6108</t>
  </si>
  <si>
    <t>520811461</t>
  </si>
  <si>
    <t>ACDI VOCA</t>
  </si>
  <si>
    <t>50 F ST NW STE 1075</t>
  </si>
  <si>
    <t>20001-1532</t>
  </si>
  <si>
    <t>President and CEO</t>
  </si>
  <si>
    <t>Polidoro</t>
  </si>
  <si>
    <t>BPolidoro@acdivoca.org</t>
  </si>
  <si>
    <t>202 469 6000</t>
  </si>
  <si>
    <t>530196577</t>
  </si>
  <si>
    <t>BROOKINGS INSTITUTION</t>
  </si>
  <si>
    <t>1775 MASS AVE NW</t>
  </si>
  <si>
    <t>20036-2103</t>
  </si>
  <si>
    <t>Vice President for Institutional Advancement and External Relations</t>
  </si>
  <si>
    <t>Kimberly</t>
  </si>
  <si>
    <t>Churches</t>
  </si>
  <si>
    <t>KChurches@brookings.edu</t>
  </si>
  <si>
    <t>202.797.6220</t>
  </si>
  <si>
    <t>954191698</t>
  </si>
  <si>
    <t>ELIZABETH GLASER PEDIATRIC AIDS FOUNDATION</t>
  </si>
  <si>
    <t>1140 CONNECTICUT AVE NW STE 2000</t>
  </si>
  <si>
    <t>20036-4001</t>
  </si>
  <si>
    <t>Executive Vice President, External Affairs and Business Development</t>
  </si>
  <si>
    <t>TRISH</t>
  </si>
  <si>
    <t>KARLIN</t>
  </si>
  <si>
    <t>Trish@pedaids.org</t>
  </si>
  <si>
    <t>202.296.9165</t>
  </si>
  <si>
    <t>520794300</t>
  </si>
  <si>
    <t>AARP FOUNDATION</t>
  </si>
  <si>
    <t>601 E ST NW RM A8-230</t>
  </si>
  <si>
    <t>20049-0001</t>
  </si>
  <si>
    <t>President- Foundation</t>
  </si>
  <si>
    <t>Lisa</t>
  </si>
  <si>
    <t>Ryerson</t>
  </si>
  <si>
    <t>lryerson@aarp.org</t>
  </si>
  <si>
    <t>888-687-2277</t>
  </si>
  <si>
    <t>521943638</t>
  </si>
  <si>
    <t>CONSORTIUM FOR ELECTIONS AND POLITICAL PROCESS STRENGTHENING</t>
  </si>
  <si>
    <t>1225 EYE STEET NW NO 700</t>
  </si>
  <si>
    <t>20005-5962</t>
  </si>
  <si>
    <t>520880375</t>
  </si>
  <si>
    <t>URBAN INSTITUTE</t>
  </si>
  <si>
    <t>2100 M STREET NW</t>
  </si>
  <si>
    <t>20037-1207</t>
  </si>
  <si>
    <t>237327730</t>
  </si>
  <si>
    <t>HERITAGE FOUNDATION</t>
  </si>
  <si>
    <t>214 MASSACHUSETTS AVE NE</t>
  </si>
  <si>
    <t>20002-4958</t>
  </si>
  <si>
    <t>Director, Major Gift Planning</t>
  </si>
  <si>
    <t>Michael</t>
  </si>
  <si>
    <t>Barvick</t>
  </si>
  <si>
    <t>michael.barvick@heritage.org</t>
  </si>
  <si>
    <t>800.546.2843</t>
  </si>
  <si>
    <t>521338892</t>
  </si>
  <si>
    <t>NATIONAL DEMOCRATIC INSTITUTE FOR INTERNATIONAL AFFAIRS</t>
  </si>
  <si>
    <t>455 MASSACHUSETTS AVE NW 8TH F</t>
  </si>
  <si>
    <t>Director of Philanthropy</t>
  </si>
  <si>
    <t>James</t>
  </si>
  <si>
    <t>van der Klok</t>
  </si>
  <si>
    <t>JvanderKlok@ndi.org</t>
  </si>
  <si>
    <t>202.728.5500</t>
  </si>
  <si>
    <t>522289435</t>
  </si>
  <si>
    <t>NUCLEAR THREAT INITIATIVE</t>
  </si>
  <si>
    <t>1747 PENN AVE NW STE 7</t>
  </si>
  <si>
    <t>20006-4604</t>
  </si>
  <si>
    <t>Grants Manager</t>
  </si>
  <si>
    <t>Amy</t>
  </si>
  <si>
    <t>Cole</t>
  </si>
  <si>
    <t>contact@nti.org</t>
  </si>
  <si>
    <t>202-296-4810</t>
  </si>
  <si>
    <t>111630900</t>
  </si>
  <si>
    <t>ASSOCIATED UNIVERSITIES</t>
  </si>
  <si>
    <t>1400 16TH ST NORTH WEST STE 730</t>
  </si>
  <si>
    <t>20036-0000</t>
  </si>
  <si>
    <t>521344831</t>
  </si>
  <si>
    <t>NATIONAL ENDOWMENT FOR DEMOCRACY</t>
  </si>
  <si>
    <t>1025 F STREET NW 8TH FLOOR</t>
  </si>
  <si>
    <t>20004-1412</t>
  </si>
  <si>
    <t>Vice President Programs －Planning, Grants Management, Compliance, and Evaluation</t>
  </si>
  <si>
    <t>Georges</t>
  </si>
  <si>
    <t>Fauriol</t>
  </si>
  <si>
    <t>info@ned.org</t>
  </si>
  <si>
    <t>(202) 378-9700</t>
  </si>
  <si>
    <t>521539258</t>
  </si>
  <si>
    <t>NATIONAL CENTER ON EDUCATION &amp; THE ECONOMY</t>
  </si>
  <si>
    <t>2000 PENN AVE NW STE 5300</t>
  </si>
  <si>
    <t>20006-1834</t>
  </si>
  <si>
    <t>131946868</t>
  </si>
  <si>
    <t>PARALYZED VETERANS OF AMERICA</t>
  </si>
  <si>
    <t>801 EIGHTEENTH ST NW</t>
  </si>
  <si>
    <t>20006-3517</t>
  </si>
  <si>
    <t>Senior Development Officer and Managing Director of Planned Giving</t>
  </si>
  <si>
    <t>Dave</t>
  </si>
  <si>
    <t>Fanning</t>
  </si>
  <si>
    <t>DavidF@pva.org</t>
  </si>
  <si>
    <t>800-424-8200</t>
  </si>
  <si>
    <t>520889518</t>
  </si>
  <si>
    <t>SPECIAL OLYMPICS</t>
  </si>
  <si>
    <t>1133 19TH STRETT NW</t>
  </si>
  <si>
    <t>Kelli</t>
  </si>
  <si>
    <t>Seely</t>
  </si>
  <si>
    <t>info@specialolympics.org</t>
  </si>
  <si>
    <t>(202) 628-3630</t>
  </si>
  <si>
    <t>521779606</t>
  </si>
  <si>
    <t>FIRST BOOK</t>
  </si>
  <si>
    <t>1319 F STREET NW</t>
  </si>
  <si>
    <t>20004-1106</t>
  </si>
  <si>
    <t>Development Contact</t>
  </si>
  <si>
    <t>Caroline</t>
  </si>
  <si>
    <t>Dixon</t>
  </si>
  <si>
    <t>cdixon@firstbook.org</t>
  </si>
  <si>
    <t>(866) 732-3669</t>
  </si>
  <si>
    <t>521068522</t>
  </si>
  <si>
    <t>RFE-RL</t>
  </si>
  <si>
    <t>1201 CONNECTICUT AVENUE NW NO 4TH</t>
  </si>
  <si>
    <t>Deputy Director of Communications</t>
  </si>
  <si>
    <t>Martins</t>
  </si>
  <si>
    <t>Zvaners</t>
  </si>
  <si>
    <t>zvanersm@rferl.org</t>
  </si>
  <si>
    <t>202.457.6948</t>
  </si>
  <si>
    <t>521501082</t>
  </si>
  <si>
    <t>CENTER FOR STRATEGIC AND INTERNATIONAL STUDIES</t>
  </si>
  <si>
    <t>1800 K ST NW STE 400</t>
  </si>
  <si>
    <t>20006-2230</t>
  </si>
  <si>
    <t>Director of Grants Management, Strategic Planning and Development</t>
  </si>
  <si>
    <t>Sarah</t>
  </si>
  <si>
    <t>Park</t>
  </si>
  <si>
    <t>SPark@csis.org</t>
  </si>
  <si>
    <t>202-887-0200</t>
  </si>
  <si>
    <t>522080072</t>
  </si>
  <si>
    <t>CONFERENCE OF STATE BANK SUPERVISORS</t>
  </si>
  <si>
    <t>1129 20TH STREET NW 9TH FLOOR</t>
  </si>
  <si>
    <t>20036-3403</t>
  </si>
  <si>
    <t>840399006</t>
  </si>
  <si>
    <t>THE ASPEN INSTITUTE</t>
  </si>
  <si>
    <t>1 DUPONT CIR NW STE 700</t>
  </si>
  <si>
    <t>20036-1133</t>
  </si>
  <si>
    <t>Director of Development Operations</t>
  </si>
  <si>
    <t>Loraine</t>
  </si>
  <si>
    <t>Przybylski</t>
  </si>
  <si>
    <t>loraine.przybylski@aspeninstitute.org</t>
  </si>
  <si>
    <t>202.736.5800</t>
  </si>
  <si>
    <t>237116952</t>
  </si>
  <si>
    <t>AFRICARE</t>
  </si>
  <si>
    <t>440 R ST NW</t>
  </si>
  <si>
    <t>20001-1961</t>
  </si>
  <si>
    <t>Chief of Staff and Chief Development &amp; Communications Officer</t>
  </si>
  <si>
    <t>Kendra</t>
  </si>
  <si>
    <t>Davenport</t>
  </si>
  <si>
    <t>KDavenport@africare.org</t>
  </si>
  <si>
    <t>202-462-3614</t>
  </si>
  <si>
    <t>135641985</t>
  </si>
  <si>
    <t>AMERICAN COLLEGE OF CARDIOLOGY FOUNDATION</t>
  </si>
  <si>
    <t>2400 N STREET NW</t>
  </si>
  <si>
    <t>20037-1153</t>
  </si>
  <si>
    <t>521681401</t>
  </si>
  <si>
    <t>COMMUNITY PARTNERSHIP FOR THE PREVENTION OF HOMELESSNESS</t>
  </si>
  <si>
    <t>801 PENN AVE SE STE 360</t>
  </si>
  <si>
    <t>20003-2158</t>
  </si>
  <si>
    <t>521340267</t>
  </si>
  <si>
    <t>INTERNATIONAL REPUBLICAN INSTITUTE</t>
  </si>
  <si>
    <t>1225 EYE ST NW STE 700</t>
  </si>
  <si>
    <t>COUNSEL AND VICE PRESIDENT FOR STRATEGIC INITIATIVES</t>
  </si>
  <si>
    <t>Kimber</t>
  </si>
  <si>
    <t>Shearer</t>
  </si>
  <si>
    <t>kshearer@iri.org</t>
  </si>
  <si>
    <t>202-408-9450</t>
  </si>
  <si>
    <t>223087809</t>
  </si>
  <si>
    <t>INTERNATIONAL RESEARCH AND EXCHANGES BOARD</t>
  </si>
  <si>
    <t>2121 K ST NW STE 700</t>
  </si>
  <si>
    <t>20037-1800</t>
  </si>
  <si>
    <t>Senior Development Officer</t>
  </si>
  <si>
    <t>Kirstin</t>
  </si>
  <si>
    <t>Boehm</t>
  </si>
  <si>
    <t>kboehm@irex.org</t>
  </si>
  <si>
    <t>202 628 8188</t>
  </si>
  <si>
    <t>133240109</t>
  </si>
  <si>
    <t>FINCA INTERNATIONAL</t>
  </si>
  <si>
    <t>1101 14TH ST NW FL 11</t>
  </si>
  <si>
    <t>20005-5637</t>
  </si>
  <si>
    <t>VICE PRESIDENT AND CHIEF FINANCIAL OFFICER</t>
  </si>
  <si>
    <t>Dane</t>
  </si>
  <si>
    <t>McGuire</t>
  </si>
  <si>
    <t>info@FINCA.org</t>
  </si>
  <si>
    <t>202-682-1510</t>
  </si>
  <si>
    <t>521167581</t>
  </si>
  <si>
    <t>CAPITAL AREA FOOD BANK</t>
  </si>
  <si>
    <t>645 TAYLOR ST NE</t>
  </si>
  <si>
    <t>20017-2063</t>
  </si>
  <si>
    <t>Senior Director of Strategic Partnerships &amp; Community Engagement</t>
  </si>
  <si>
    <t>Christel</t>
  </si>
  <si>
    <t>Hair</t>
  </si>
  <si>
    <t>chair@capitalareafoodbank.org</t>
  </si>
  <si>
    <t>(202) 644-9838</t>
  </si>
  <si>
    <t>362217981</t>
  </si>
  <si>
    <t>AMERICAN COLLEGE OF OBSTETRICIANS AND GYNECOLOGISTS</t>
  </si>
  <si>
    <t>409 12TH STREET SW</t>
  </si>
  <si>
    <t>20024-2188</t>
  </si>
  <si>
    <t>Senior Director, Development</t>
  </si>
  <si>
    <t>Katie</t>
  </si>
  <si>
    <t>O'Connell</t>
  </si>
  <si>
    <t>koconnell@acog.org</t>
  </si>
  <si>
    <t>(202) 638-5577</t>
  </si>
  <si>
    <t>530159845</t>
  </si>
  <si>
    <t>URBAN LAND INSTITUTE</t>
  </si>
  <si>
    <t>1025 THOMAS JEFFERSON ST NW</t>
  </si>
  <si>
    <t>20007-5201</t>
  </si>
  <si>
    <t>Executive Vice President, Development &amp; Foundation</t>
  </si>
  <si>
    <t>Howard</t>
  </si>
  <si>
    <t>DHoward@uli.org</t>
  </si>
  <si>
    <t>202-624-7055</t>
  </si>
  <si>
    <t>520781390</t>
  </si>
  <si>
    <t>AFRICAN WILDLIFE FOUNDATION</t>
  </si>
  <si>
    <t>1400 16TH ST NW STE 120</t>
  </si>
  <si>
    <t>20036-2249</t>
  </si>
  <si>
    <t>Vice President for Philanthropy and Marketing</t>
  </si>
  <si>
    <t>Craig</t>
  </si>
  <si>
    <t>Sholley</t>
  </si>
  <si>
    <t>csholley@awf.org</t>
  </si>
  <si>
    <t>202 939 3333</t>
  </si>
  <si>
    <t>521152273</t>
  </si>
  <si>
    <t>ELLINGTON FUND</t>
  </si>
  <si>
    <t>3500 R STREET NW STE 100</t>
  </si>
  <si>
    <t>20007-2326</t>
  </si>
  <si>
    <t>Grace</t>
  </si>
  <si>
    <t>Hong</t>
  </si>
  <si>
    <t>ghong@ellingtonarts.org</t>
  </si>
  <si>
    <t>(202) 282-0123</t>
  </si>
  <si>
    <t>521257057</t>
  </si>
  <si>
    <t>WORLD RESOURCES INSTITUTE</t>
  </si>
  <si>
    <t>10 G STREET NE 8TH FL</t>
  </si>
  <si>
    <t>20002-4213</t>
  </si>
  <si>
    <t>Vice President For Institutional Strategy And Development And Acting Director, Business Center</t>
  </si>
  <si>
    <t>Liz</t>
  </si>
  <si>
    <t>Cook</t>
  </si>
  <si>
    <t>lizc@wri.org</t>
  </si>
  <si>
    <t>(202) 729-7743</t>
  </si>
  <si>
    <t>520976257</t>
  </si>
  <si>
    <t>READING IS FUNDAMENTAL</t>
  </si>
  <si>
    <t>1730 RHODE ISLAND 11TH FLOOR</t>
  </si>
  <si>
    <t>20036-3101</t>
  </si>
  <si>
    <t>Vice President, Programs</t>
  </si>
  <si>
    <t>Cheryl</t>
  </si>
  <si>
    <t>cclark@rif.org</t>
  </si>
  <si>
    <t>202-536-3400</t>
  </si>
  <si>
    <t>010593565</t>
  </si>
  <si>
    <t>THE ONE CAMPAIGN</t>
  </si>
  <si>
    <t>1400 EYE STREET NW</t>
  </si>
  <si>
    <t>20005-2208</t>
  </si>
  <si>
    <t>237133957</t>
  </si>
  <si>
    <t>ULI FOUNDATION</t>
  </si>
  <si>
    <t>1025 THOMAS JEFFERSON STREET NW NO</t>
  </si>
  <si>
    <t>20007-0000</t>
  </si>
  <si>
    <t>Senior Vice President for Foundation Relations</t>
  </si>
  <si>
    <t>Corinne</t>
  </si>
  <si>
    <t>Abbott</t>
  </si>
  <si>
    <t>Corinne.Abbott@uli.org</t>
  </si>
  <si>
    <t>202-714-2582</t>
  </si>
  <si>
    <t>525170039</t>
  </si>
  <si>
    <t>INTERNATIONAL CRISIS GROUP</t>
  </si>
  <si>
    <t>1629 K ST NW STE 450</t>
  </si>
  <si>
    <t>20006-1677</t>
  </si>
  <si>
    <t>Melissa </t>
  </si>
  <si>
    <t>Haw</t>
  </si>
  <si>
    <t>MHaw@crisisgroup.org</t>
  </si>
  <si>
    <t>202 785 1601</t>
  </si>
  <si>
    <t>130552040</t>
  </si>
  <si>
    <t>CARNEGIE ENDOWMENT FOR INTERNATIONAL PEACE</t>
  </si>
  <si>
    <t>1779 MASSACHUSETTS AVE NW</t>
  </si>
  <si>
    <t>20036-2109</t>
  </si>
  <si>
    <t>521654453</t>
  </si>
  <si>
    <t>CHILDRENS RESEARCH INSTITUTE</t>
  </si>
  <si>
    <t>111 MICHIGAN AVE NW</t>
  </si>
  <si>
    <t>20010-2916</t>
  </si>
  <si>
    <t>Senior Associate Director of Development</t>
  </si>
  <si>
    <t>Vera</t>
  </si>
  <si>
    <t>Luxner</t>
  </si>
  <si>
    <t>VLuxner@childrensnational.org</t>
  </si>
  <si>
    <t>301-565-4259</t>
  </si>
  <si>
    <t>530207403</t>
  </si>
  <si>
    <t>YOUNG MENS CHRISTIAN ASSOCIATION OF METROPOLITAN WASHINGTON</t>
  </si>
  <si>
    <t>1112 16TH ST NW STE 720</t>
  </si>
  <si>
    <t>20036-4824</t>
  </si>
  <si>
    <t>Director of Mission Advancement</t>
  </si>
  <si>
    <t>Donielle</t>
  </si>
  <si>
    <t>Griffin</t>
  </si>
  <si>
    <t>Donielle.Griffin@ymcadc.org</t>
  </si>
  <si>
    <t>(703) 525-3219</t>
  </si>
  <si>
    <t>521623781</t>
  </si>
  <si>
    <t>AMERICAN ISRAEL EDUCATION FOUNDATION</t>
  </si>
  <si>
    <t>251 H ST NW</t>
  </si>
  <si>
    <t>20001-2604</t>
  </si>
  <si>
    <t>352186484</t>
  </si>
  <si>
    <t>HILLEL THE FOUNDATION FOR JEWISH CAMPUS LIFE GROUP</t>
  </si>
  <si>
    <t>800 8TH ST NW</t>
  </si>
  <si>
    <t>20001-3724</t>
  </si>
  <si>
    <t>Richard</t>
  </si>
  <si>
    <t>Bennett</t>
  </si>
  <si>
    <t>rbennett@hillel.org</t>
  </si>
  <si>
    <t>202-449-6552</t>
  </si>
  <si>
    <t>521067541</t>
  </si>
  <si>
    <t>WOODROW WILSON INTERNATIONAL CENTER FOR SCHOLARS</t>
  </si>
  <si>
    <t>1300 PENNSYLVANIA AVENUE NW</t>
  </si>
  <si>
    <t>20004-3002</t>
  </si>
  <si>
    <t>Vice President, Global Engagement and Chief Development Officer</t>
  </si>
  <si>
    <t>Gary</t>
  </si>
  <si>
    <t>Officer</t>
  </si>
  <si>
    <t>gary.officer@wilsoncenter.org</t>
  </si>
  <si>
    <t>202-691-4000</t>
  </si>
  <si>
    <t>521640402</t>
  </si>
  <si>
    <t>CHILDRENS HOSPITAL FOUNDATION</t>
  </si>
  <si>
    <t>Director of Development</t>
  </si>
  <si>
    <t>Butler</t>
  </si>
  <si>
    <t>jbutler@childrensnational.org</t>
  </si>
  <si>
    <t>(301) 565-8508</t>
  </si>
  <si>
    <t>042730934</t>
  </si>
  <si>
    <t>FAMILIES U S A FOUNDATION</t>
  </si>
  <si>
    <t>1201 NEW YORK AVE NW STE 1100</t>
  </si>
  <si>
    <t>20005-6100</t>
  </si>
  <si>
    <t>Senior Director of Development and Strategic Partnerships</t>
  </si>
  <si>
    <t>Matthew</t>
  </si>
  <si>
    <t>Farrey</t>
  </si>
  <si>
    <t>mfarrey@familiesusa.org</t>
  </si>
  <si>
    <t>202-628-3030</t>
  </si>
  <si>
    <t>521349382</t>
  </si>
  <si>
    <t>COMMUNITY CONNECTIONS</t>
  </si>
  <si>
    <t>650 PENN AVE SE STE 440</t>
  </si>
  <si>
    <t>20003-4424</t>
  </si>
  <si>
    <t>Director of Special Programs, Grants and Training</t>
  </si>
  <si>
    <t>Rebecca</t>
  </si>
  <si>
    <t>Berley</t>
  </si>
  <si>
    <t>rwolfson@ccdc1.org</t>
  </si>
  <si>
    <t>(202) 608-4735</t>
  </si>
  <si>
    <t>521235124</t>
  </si>
  <si>
    <t>AMERICAN FOREST FOUNDATION</t>
  </si>
  <si>
    <t>1111 19TH STREET NW</t>
  </si>
  <si>
    <t>20036-3603</t>
  </si>
  <si>
    <t>Vice President of Development</t>
  </si>
  <si>
    <t>Nathan</t>
  </si>
  <si>
    <t>Truitt</t>
  </si>
  <si>
    <t>ntruitt@forestfoundation.org</t>
  </si>
  <si>
    <t>202-765-3660</t>
  </si>
  <si>
    <t>911956621</t>
  </si>
  <si>
    <t>AMERICAN LEGACY FOUNDATION</t>
  </si>
  <si>
    <t>1724 MASS AVE NW</t>
  </si>
  <si>
    <t>20036-1903</t>
  </si>
  <si>
    <t>521191985</t>
  </si>
  <si>
    <t>NATIONAL COMMITTEE FOR QUALITY ASSURANCE</t>
  </si>
  <si>
    <t>1100 13TH ST NW STE 1000</t>
  </si>
  <si>
    <t>20005-4285</t>
  </si>
  <si>
    <t>131656647</t>
  </si>
  <si>
    <t>FREEDOM HOUSE</t>
  </si>
  <si>
    <t>1301 CONNECTICUT AVE NW FLOOR</t>
  </si>
  <si>
    <t>20036-1815</t>
  </si>
  <si>
    <t>Nina</t>
  </si>
  <si>
    <t>Patel</t>
  </si>
  <si>
    <t>patel@freedomhouse.org</t>
  </si>
  <si>
    <t>202-296-5101</t>
  </si>
  <si>
    <t>262681792</t>
  </si>
  <si>
    <t>INTERNATIONAL INITIATIVE FOR IMPACT EVALUATION</t>
  </si>
  <si>
    <t>1625 MASSACHUSETTS AVE</t>
  </si>
  <si>
    <t>20036-2212</t>
  </si>
  <si>
    <t>133843435</t>
  </si>
  <si>
    <t>FRIENDS OF THE WORLD FOOD PROGRAM</t>
  </si>
  <si>
    <t>1725 EYE SRTEET NW SUITE 510</t>
  </si>
  <si>
    <t>20006-0000</t>
  </si>
  <si>
    <t>VICE PRESIDENT FOR DEVELOPMENT</t>
  </si>
  <si>
    <t>Marianne</t>
  </si>
  <si>
    <t>Berner</t>
  </si>
  <si>
    <t>mberner@wfpusa.org</t>
  </si>
  <si>
    <t>202.627.3737</t>
  </si>
  <si>
    <t>520882226</t>
  </si>
  <si>
    <t>AMERICAN NEAR EAST REFUGEE AID</t>
  </si>
  <si>
    <t>1111 14TH ST NW STE 400</t>
  </si>
  <si>
    <t>20005-5604</t>
  </si>
  <si>
    <t>Director of Donor Development</t>
  </si>
  <si>
    <t>Hani</t>
  </si>
  <si>
    <t>Almadhoun</t>
  </si>
  <si>
    <t>halmadhoun@anera.org</t>
  </si>
  <si>
    <t>(202) 266-9711</t>
  </si>
  <si>
    <t>520788987</t>
  </si>
  <si>
    <t>UNITED PLANNING ORGANIZATION</t>
  </si>
  <si>
    <t>301 RI AVE NW</t>
  </si>
  <si>
    <t>20001-1826</t>
  </si>
  <si>
    <t>Vice President of Finance and Chief Financial Officer</t>
  </si>
  <si>
    <t>Meseret</t>
  </si>
  <si>
    <t>Degefu</t>
  </si>
  <si>
    <t>mdegefu@upo.org</t>
  </si>
  <si>
    <t>(202) 238-4609</t>
  </si>
  <si>
    <t>521367538</t>
  </si>
  <si>
    <t>SHARE OUR STRENGTH</t>
  </si>
  <si>
    <t>1730 M ST NW STE 700</t>
  </si>
  <si>
    <t>20036-4553</t>
  </si>
  <si>
    <t>Chuck</t>
  </si>
  <si>
    <t>Scofield</t>
  </si>
  <si>
    <t>cscofield@strength.org</t>
  </si>
  <si>
    <t>(800) 969-4767</t>
  </si>
  <si>
    <t>521105189</t>
  </si>
  <si>
    <t>ZERO TO THREE - NATIONAL CENTER FOR INFANTS TODDLERS AND FAMILIES</t>
  </si>
  <si>
    <t>1255 23RD STREET NW SUITE 350</t>
  </si>
  <si>
    <t>20037-1125</t>
  </si>
  <si>
    <t>Kathleen</t>
  </si>
  <si>
    <t>McEnerny</t>
  </si>
  <si>
    <t>ehsnrcinfo@zerotothree.org</t>
  </si>
  <si>
    <t>(202) 638-1144</t>
  </si>
  <si>
    <t>521968145</t>
  </si>
  <si>
    <t>RADIO FREE ASIA</t>
  </si>
  <si>
    <t>2025 M ST NW STE 300</t>
  </si>
  <si>
    <t>20036-3376</t>
  </si>
  <si>
    <t>530196588</t>
  </si>
  <si>
    <t>DAVIS MEMORIAL GOODWILL INDUSTRIES</t>
  </si>
  <si>
    <t>2200 SOUTH DAKOTA AVE NE</t>
  </si>
  <si>
    <t>20018-1622</t>
  </si>
  <si>
    <t>Janece</t>
  </si>
  <si>
    <t>Kleban</t>
  </si>
  <si>
    <t>janece.kleban@dcgoodwill.org</t>
  </si>
  <si>
    <t>(202) 719-1226</t>
  </si>
  <si>
    <t>205806345</t>
  </si>
  <si>
    <t>NEW VENTURE FUND</t>
  </si>
  <si>
    <t>734 15TH ST NW STE 600</t>
  </si>
  <si>
    <t>20005-1029</t>
  </si>
  <si>
    <t>237432162</t>
  </si>
  <si>
    <t>CATO INSTITUTE</t>
  </si>
  <si>
    <t>1000 MASS AVE NW</t>
  </si>
  <si>
    <t>20001-5401</t>
  </si>
  <si>
    <t>Development Director</t>
  </si>
  <si>
    <t>Sallie</t>
  </si>
  <si>
    <t>sjames@cato.org</t>
  </si>
  <si>
    <t>(202) 842-0200</t>
  </si>
  <si>
    <t>521594116</t>
  </si>
  <si>
    <t>MARYS CENTER FOR MATERNAL AND CHILD CARE</t>
  </si>
  <si>
    <t>2333 ONTARIO RD NW</t>
  </si>
  <si>
    <t>20009-2627</t>
  </si>
  <si>
    <t>Director of Advocacy and Communications</t>
  </si>
  <si>
    <t>Lyda</t>
  </si>
  <si>
    <t>Vanegas</t>
  </si>
  <si>
    <t>lvanegas@maryscenter.org</t>
  </si>
  <si>
    <t>202-420-7051</t>
  </si>
  <si>
    <t>521844823</t>
  </si>
  <si>
    <t>HILLEL THE FOUNDATION FOR JEWISH CAMPUS LIFE</t>
  </si>
  <si>
    <t>300126510</t>
  </si>
  <si>
    <t>CENTER FOR AMERICAN PROGRESS</t>
  </si>
  <si>
    <t>1333 H ST NW FL 10</t>
  </si>
  <si>
    <t>20005-4746</t>
  </si>
  <si>
    <t>Brian</t>
  </si>
  <si>
    <t>DeMarco</t>
  </si>
  <si>
    <t>donate@americanprogress.org</t>
  </si>
  <si>
    <t>202.682.1611</t>
  </si>
  <si>
    <t>530259663</t>
  </si>
  <si>
    <t>MERIDIAN INTERNATIONAL CENTER</t>
  </si>
  <si>
    <t>1630 CRESCENT PL NW</t>
  </si>
  <si>
    <t>20009-4004</t>
  </si>
  <si>
    <t>Development &amp; Grants Associate</t>
  </si>
  <si>
    <t>Abdul</t>
  </si>
  <si>
    <t>Kanu</t>
  </si>
  <si>
    <t>AKanu@meridian.org</t>
  </si>
  <si>
    <t>(202) 939-2280</t>
  </si>
  <si>
    <t>521974611</t>
  </si>
  <si>
    <t>THE NATIONAL CAMPAIGN TO PREVENT TEEN AND UNPLANNED PREGNANCY</t>
  </si>
  <si>
    <t>1776 MASS AVE NW STE 200</t>
  </si>
  <si>
    <t>20036-1916</t>
  </si>
  <si>
    <t>Chief Program Officer and Campaign Spokesman</t>
  </si>
  <si>
    <t>Albert</t>
  </si>
  <si>
    <t>balbert@thenc.org</t>
  </si>
  <si>
    <t>202-478-8510</t>
  </si>
  <si>
    <t>541722887</t>
  </si>
  <si>
    <t>INTERNATIONAL JUSTICE MISSION</t>
  </si>
  <si>
    <t>PO BOX 58147</t>
  </si>
  <si>
    <t>20037-8147</t>
  </si>
  <si>
    <t>Vice President of Strategic Partnerships</t>
  </si>
  <si>
    <t>MELISSA</t>
  </si>
  <si>
    <t>RUSSELL</t>
  </si>
  <si>
    <t>mrussell@ijm.org</t>
  </si>
  <si>
    <t>703.465.5495</t>
  </si>
  <si>
    <t>521231983</t>
  </si>
  <si>
    <t>AGA KHAN FOUNDATION USA</t>
  </si>
  <si>
    <t>SUITE 901</t>
  </si>
  <si>
    <t>530246894</t>
  </si>
  <si>
    <t>WASHINGTON DRAMA SOCIETY</t>
  </si>
  <si>
    <t>1101 6TH ST SW</t>
  </si>
  <si>
    <t>20024-2605</t>
  </si>
  <si>
    <t>CHIEF DEVELOPMENT OFFICER</t>
  </si>
  <si>
    <t>Holly</t>
  </si>
  <si>
    <t>Oliver</t>
  </si>
  <si>
    <t>holiver@arenastage.org</t>
  </si>
  <si>
    <t>202-600-4029</t>
  </si>
  <si>
    <t>530183181</t>
  </si>
  <si>
    <t>DEFENDERS OF WILDLIFE</t>
  </si>
  <si>
    <t>1130 17TH ST NW</t>
  </si>
  <si>
    <t>20036-4604</t>
  </si>
  <si>
    <t>Jamie</t>
  </si>
  <si>
    <t>jclark@defenders.org</t>
  </si>
  <si>
    <t>202-772-0225</t>
  </si>
  <si>
    <t>942607722</t>
  </si>
  <si>
    <t>NEW ISRAEL FUND</t>
  </si>
  <si>
    <t>2100 M ST NW STE 619</t>
  </si>
  <si>
    <t>20037-1269</t>
  </si>
  <si>
    <t>Director Foundation Relations</t>
  </si>
  <si>
    <t>Ruti</t>
  </si>
  <si>
    <t>Kadish</t>
  </si>
  <si>
    <t>ruti@nif.org</t>
  </si>
  <si>
    <t>212-613-4400</t>
  </si>
  <si>
    <t>521382926</t>
  </si>
  <si>
    <t>NATIONAL LAW ENFORCEMENT OFFICERS MEMORIAL FUND</t>
  </si>
  <si>
    <t>901 E ST NW STE 100</t>
  </si>
  <si>
    <t>20004-2025</t>
  </si>
  <si>
    <t>Ray</t>
  </si>
  <si>
    <t>Hord</t>
  </si>
  <si>
    <t>info@nleomf.org</t>
  </si>
  <si>
    <t>202-737-8533</t>
  </si>
  <si>
    <t>742385850</t>
  </si>
  <si>
    <t>CERTIFIED FINANCIAL PLANNER BOARD OF STANDARDS</t>
  </si>
  <si>
    <t>1425 K ST NW STE 500</t>
  </si>
  <si>
    <t>20005-3686</t>
  </si>
  <si>
    <t>530167933</t>
  </si>
  <si>
    <t>WILDERNESS SOCIETY</t>
  </si>
  <si>
    <t>1615 M ST NW LBBY 2</t>
  </si>
  <si>
    <t>20036-3258</t>
  </si>
  <si>
    <t>Senior Director, Legacy Giving</t>
  </si>
  <si>
    <t>Kristie</t>
  </si>
  <si>
    <t>Malley</t>
  </si>
  <si>
    <t>kristie_mailey@tws.org</t>
  </si>
  <si>
    <t>888-736-4897</t>
  </si>
  <si>
    <t>363976313</t>
  </si>
  <si>
    <t>UNITED STATES SOCCER FEDERATION FOUNDATION</t>
  </si>
  <si>
    <t>1211 CONNECTICUT AVE NW SUITE</t>
  </si>
  <si>
    <t>20036-2701</t>
  </si>
  <si>
    <t>Director of Programs &amp; Grants</t>
  </si>
  <si>
    <t>Wylie</t>
  </si>
  <si>
    <t>Chen</t>
  </si>
  <si>
    <t>wchen@ussoccerfoundation.org</t>
  </si>
  <si>
    <t>(202) 872-9277</t>
  </si>
  <si>
    <t>521838756</t>
  </si>
  <si>
    <t>WOMEN FOR WOMEN INTERNATIONAL</t>
  </si>
  <si>
    <t>4455 CONNECTICUT AVE NW</t>
  </si>
  <si>
    <t>20008-2324</t>
  </si>
  <si>
    <t>Vice President of Marketing, Development and Communications</t>
  </si>
  <si>
    <t>Colleen</t>
  </si>
  <si>
    <t>Zakrewsky</t>
  </si>
  <si>
    <t>czakrewsky@womenforwomen.org</t>
  </si>
  <si>
    <t>202 737 7705</t>
  </si>
  <si>
    <t>912004617</t>
  </si>
  <si>
    <t>THE GAVI CAMPAIGN</t>
  </si>
  <si>
    <t>1776 EYE ST NW STE 600</t>
  </si>
  <si>
    <t>20006-3765</t>
  </si>
  <si>
    <t>Chair and President</t>
  </si>
  <si>
    <t>Paul</t>
  </si>
  <si>
    <t>O’Connell</t>
  </si>
  <si>
    <t>giving@gavialliance.org</t>
  </si>
  <si>
    <t>(202) 478-7743</t>
  </si>
  <si>
    <t>530246852</t>
  </si>
  <si>
    <t>ARMY DISTAFF FOUNDATION</t>
  </si>
  <si>
    <t>6200 OREGON AVE NW</t>
  </si>
  <si>
    <t>20015-1543</t>
  </si>
  <si>
    <t>Chief Philanthropy Officer</t>
  </si>
  <si>
    <t>Thomas</t>
  </si>
  <si>
    <t>Hamer</t>
  </si>
  <si>
    <t>thamer@armydistaff.org</t>
  </si>
  <si>
    <t>(202) 541-0492</t>
  </si>
  <si>
    <t>520822077</t>
  </si>
  <si>
    <t>WASHINGTON INTERNATIONAL SCHOOL</t>
  </si>
  <si>
    <t>3100 MACOMB ST NW</t>
  </si>
  <si>
    <t>20008-3324</t>
  </si>
  <si>
    <t>Director of Advancement</t>
  </si>
  <si>
    <t>PASCALE</t>
  </si>
  <si>
    <t>PRITSIOS</t>
  </si>
  <si>
    <t>pritsios@wis.edu</t>
  </si>
  <si>
    <t>(202) 243-1856</t>
  </si>
  <si>
    <t>237455377</t>
  </si>
  <si>
    <t>NATIONAL CAUCUS AND CENTER ON BLACK AGED</t>
  </si>
  <si>
    <t>1220 L ST NW STE 800</t>
  </si>
  <si>
    <t>20005-4023</t>
  </si>
  <si>
    <t>Director</t>
  </si>
  <si>
    <t>Debra</t>
  </si>
  <si>
    <t>Carter</t>
  </si>
  <si>
    <t>dcarter@ncba-aged.org</t>
  </si>
  <si>
    <t>202-637-8400</t>
  </si>
  <si>
    <t>520749685</t>
  </si>
  <si>
    <t>WHITE HOUSE HISTORICAL ASSOCIATION</t>
  </si>
  <si>
    <t>740 JACKSON PLACE NW</t>
  </si>
  <si>
    <t>Manager, Development, Marketing, and Communications</t>
  </si>
  <si>
    <t>Christina</t>
  </si>
  <si>
    <t>Elliott</t>
  </si>
  <si>
    <t>CElliott@whha.org</t>
  </si>
  <si>
    <t>202.737.8292</t>
  </si>
  <si>
    <t>136213525</t>
  </si>
  <si>
    <t>LEADINGAGE</t>
  </si>
  <si>
    <t>2519 CONN AVE NW</t>
  </si>
  <si>
    <t>20008-1520</t>
  </si>
  <si>
    <t>530260523</t>
  </si>
  <si>
    <t>NATIONAL CHILDRENS CENTER</t>
  </si>
  <si>
    <t>6200 2ND ST NW</t>
  </si>
  <si>
    <t>20011-1426</t>
  </si>
  <si>
    <t>Director of Development and Communications</t>
  </si>
  <si>
    <t>Robert “Skip”</t>
  </si>
  <si>
    <t>Hansen</t>
  </si>
  <si>
    <t>202.722.2300</t>
  </si>
  <si>
    <t>521885088</t>
  </si>
  <si>
    <t>JUDICIAL WATCH</t>
  </si>
  <si>
    <t>425 3RD ST SW STE 800</t>
  </si>
  <si>
    <t>20024-3232</t>
  </si>
  <si>
    <t>Steve</t>
  </si>
  <si>
    <t>Andersen</t>
  </si>
  <si>
    <t>SAndersen@judicialwatch.org</t>
  </si>
  <si>
    <t>202-646-5172</t>
  </si>
  <si>
    <t>522175544</t>
  </si>
  <si>
    <t>NATIONAL QUALITY FORUM</t>
  </si>
  <si>
    <t>1030 15TH STREET NW SUITE 800</t>
  </si>
  <si>
    <t>20005-1503</t>
  </si>
  <si>
    <t>521238026</t>
  </si>
  <si>
    <t>AMERICAN INSTITUTE FOR CANCER RESEARCH</t>
  </si>
  <si>
    <t>1759 R ST NW</t>
  </si>
  <si>
    <t>20009-2570</t>
  </si>
  <si>
    <t>Heather</t>
  </si>
  <si>
    <t>Morgan</t>
  </si>
  <si>
    <t>HMorgan@aicr.org</t>
  </si>
  <si>
    <t>202-328-7744</t>
  </si>
  <si>
    <t>522145683</t>
  </si>
  <si>
    <t>WASHINGTON D C MARTIN LUTHER KING JR NATL MEM PROJECT FOUNDATION</t>
  </si>
  <si>
    <t>401 F STREET NW</t>
  </si>
  <si>
    <t>20001-2637</t>
  </si>
  <si>
    <t>Chief Financial Officer and Operational Support and Planning</t>
  </si>
  <si>
    <t>Marshall</t>
  </si>
  <si>
    <t>RMarshall@thememorialfoundation.org</t>
  </si>
  <si>
    <t>(202) 737-5420</t>
  </si>
  <si>
    <t>275273239</t>
  </si>
  <si>
    <t>US FUND FOR THE GLOBAL FUND TO FIGHT AIDS TUBERCULOSIS AND MALARI</t>
  </si>
  <si>
    <t>PO BOX 21237</t>
  </si>
  <si>
    <t>20009-0737</t>
  </si>
  <si>
    <t>520895622</t>
  </si>
  <si>
    <t>CHILDRENS DEFENSE FUND</t>
  </si>
  <si>
    <t>25 E ST NW</t>
  </si>
  <si>
    <t>20001-1522</t>
  </si>
  <si>
    <t>Senior Philanthropy Officer</t>
  </si>
  <si>
    <t>Brent</t>
  </si>
  <si>
    <t>Swinton</t>
  </si>
  <si>
    <t>bswinton@childrensdefense.org</t>
  </si>
  <si>
    <t>(202) 662-3541</t>
  </si>
  <si>
    <t>521394893</t>
  </si>
  <si>
    <t>PHYSICIANS COMMITTEE FOR RESPONSIBLE MEDICINE</t>
  </si>
  <si>
    <t>5100 WISC AVE NW STE 400</t>
  </si>
  <si>
    <t>20016-4131</t>
  </si>
  <si>
    <t>Betsy</t>
  </si>
  <si>
    <t>Wason</t>
  </si>
  <si>
    <t>bwason@pcrm.org</t>
  </si>
  <si>
    <t>202-686-2210, ext. 366</t>
  </si>
  <si>
    <t>521226967</t>
  </si>
  <si>
    <t>INSTITUTE FOR INTERNATIONAL ECONOMICS</t>
  </si>
  <si>
    <t>1750 MASS AVE NW</t>
  </si>
  <si>
    <t>371161423</t>
  </si>
  <si>
    <t>LEARNING POINT ASSOCIATES</t>
  </si>
  <si>
    <t>1000 THOMAS JEFFERSON STREET NW</t>
  </si>
  <si>
    <t>521257425</t>
  </si>
  <si>
    <t>SEARCH FOR COMMON GROUND</t>
  </si>
  <si>
    <t>1601 CONN AVE NW STE 200</t>
  </si>
  <si>
    <t>20009-1077</t>
  </si>
  <si>
    <t>Vice President of Strategic Initiatives</t>
  </si>
  <si>
    <t>Fahad</t>
  </si>
  <si>
    <t>Ahmad</t>
  </si>
  <si>
    <t>FAhmad@sfcg.org</t>
  </si>
  <si>
    <t>202 265 4300</t>
  </si>
  <si>
    <t>237098123</t>
  </si>
  <si>
    <t>SOME</t>
  </si>
  <si>
    <t>60 O ST NW</t>
  </si>
  <si>
    <t>20001-1259</t>
  </si>
  <si>
    <t>Linda</t>
  </si>
  <si>
    <t>Parisi</t>
  </si>
  <si>
    <t>lparisi@some.org</t>
  </si>
  <si>
    <t>202.797.8806, ext. 1013</t>
  </si>
  <si>
    <t>521706646</t>
  </si>
  <si>
    <t>AIDS UNITED</t>
  </si>
  <si>
    <t>1424 K ST NW STE 200</t>
  </si>
  <si>
    <t>20005-2411</t>
  </si>
  <si>
    <t>Communications Coordinator</t>
  </si>
  <si>
    <t>Cody</t>
  </si>
  <si>
    <t>Barnett</t>
  </si>
  <si>
    <t>CBarnett@aidsunited.org</t>
  </si>
  <si>
    <t>(202) 408-4848</t>
  </si>
  <si>
    <t>200881724</t>
  </si>
  <si>
    <t>PEW RESEARCH CENTER</t>
  </si>
  <si>
    <t>1615 L ST NW STE 700</t>
  </si>
  <si>
    <t>20036-5621</t>
  </si>
  <si>
    <t>300108263</t>
  </si>
  <si>
    <t>GLOBALGIVING FOUNDATION</t>
  </si>
  <si>
    <t>1023 15TH ST NW # 12</t>
  </si>
  <si>
    <t>20005-2602</t>
  </si>
  <si>
    <t>Senior Development Manager</t>
  </si>
  <si>
    <t>Courtney</t>
  </si>
  <si>
    <t>Kelly</t>
  </si>
  <si>
    <t>ckelly@globalgiving.org</t>
  </si>
  <si>
    <t>202-232-5784</t>
  </si>
  <si>
    <t>530184647</t>
  </si>
  <si>
    <t>AMERICANS UNITED FOR SEPARATION OF CHURCH AND STATE</t>
  </si>
  <si>
    <t>1301 K STREET NW STE 850 EAST</t>
  </si>
  <si>
    <t>20005-3330</t>
  </si>
  <si>
    <t>Pursell</t>
  </si>
  <si>
    <t>pursell@au.org</t>
  </si>
  <si>
    <t>(202) 466-3234</t>
  </si>
  <si>
    <t>530207036</t>
  </si>
  <si>
    <t>METHODIST HOME OF THE DISTRICT OF COLUMBIA</t>
  </si>
  <si>
    <t>4901 CONN AVE NW</t>
  </si>
  <si>
    <t>20008-2022</t>
  </si>
  <si>
    <t>Chief Financial Officer</t>
  </si>
  <si>
    <t>Diana</t>
  </si>
  <si>
    <t>Lowe</t>
  </si>
  <si>
    <t>dlowe@foresthillsdc.org</t>
  </si>
  <si>
    <t>(202) 966-7623 extension 3414</t>
  </si>
  <si>
    <t>311794932</t>
  </si>
  <si>
    <t>BNAI BRITH YOUTH ORGANIZATION</t>
  </si>
  <si>
    <t>2020 K ST NW 7400</t>
  </si>
  <si>
    <t>20006-1806</t>
  </si>
  <si>
    <t>Chief External Affairs Officer</t>
  </si>
  <si>
    <t>Daniel</t>
  </si>
  <si>
    <t>Rotman</t>
  </si>
  <si>
    <t>drotman@bbyo.org</t>
  </si>
  <si>
    <t>202.857.6652</t>
  </si>
  <si>
    <t>530128590</t>
  </si>
  <si>
    <t>INGLESIDE AT ROCK CREEK</t>
  </si>
  <si>
    <t>3050 MILITARY RD NW</t>
  </si>
  <si>
    <t>20015-1344</t>
  </si>
  <si>
    <t>061389829</t>
  </si>
  <si>
    <t>THE ALBERT B SABIN VACCINE INSTITUTE</t>
  </si>
  <si>
    <t>2000 PENN AVE NW STE 7100</t>
  </si>
  <si>
    <t>20006-1894</t>
  </si>
  <si>
    <t>Director, Resource Development</t>
  </si>
  <si>
    <t>Tara</t>
  </si>
  <si>
    <t>Hayward</t>
  </si>
  <si>
    <t>tara.hayward@sabin.org</t>
  </si>
  <si>
    <t>202-683-1881</t>
  </si>
  <si>
    <t>840432950</t>
  </si>
  <si>
    <t>AMERICAN HUMANE ASSOCIATION</t>
  </si>
  <si>
    <t>1400 16TH ST NW STE 360</t>
  </si>
  <si>
    <t>20036-2215</t>
  </si>
  <si>
    <t>Clifford</t>
  </si>
  <si>
    <t>Rose</t>
  </si>
  <si>
    <t>info@americanhumane.org</t>
  </si>
  <si>
    <t>(800) 227-4645</t>
  </si>
  <si>
    <t>133271855</t>
  </si>
  <si>
    <t>AMYOTROPHIC LATERAL SCLEROSIS ASSN</t>
  </si>
  <si>
    <t>1275 K ST NW STE 1050</t>
  </si>
  <si>
    <t>20005-6822</t>
  </si>
  <si>
    <t>Chief Chapter Relations and Development Officer</t>
  </si>
  <si>
    <t>Lance</t>
  </si>
  <si>
    <t>Slaughter</t>
  </si>
  <si>
    <t>lslaughter@alsa-national.org</t>
  </si>
  <si>
    <t>202-407-8589</t>
  </si>
  <si>
    <t>521970904</t>
  </si>
  <si>
    <t>KABOOM</t>
  </si>
  <si>
    <t>4301 CONNECTICUT AVE NW</t>
  </si>
  <si>
    <t>20008-2304</t>
  </si>
  <si>
    <t>founder and CEO</t>
  </si>
  <si>
    <t>Darell</t>
  </si>
  <si>
    <t>Hammond</t>
  </si>
  <si>
    <t>DHammond@kaboom.org</t>
  </si>
  <si>
    <t>202.659.0215</t>
  </si>
  <si>
    <t>520853312</t>
  </si>
  <si>
    <t>FRIENDS OF THE NATIONAL ZOO</t>
  </si>
  <si>
    <t>PO BOX 37102 MRC 5504</t>
  </si>
  <si>
    <t>20013-0000</t>
  </si>
  <si>
    <t>ASSOCIATE DIRECTOR, PLANNING AND STRATEGIC INITIATIVES</t>
  </si>
  <si>
    <t>CHUCK</t>
  </si>
  <si>
    <t>FILLAH</t>
  </si>
  <si>
    <t>FillahC@si.edu</t>
  </si>
  <si>
    <t>202.633.3144</t>
  </si>
  <si>
    <t>530204620</t>
  </si>
  <si>
    <t>PHILLIPS COLLECTION</t>
  </si>
  <si>
    <t>1600 21ST ST NW</t>
  </si>
  <si>
    <t>20009-1003</t>
  </si>
  <si>
    <t>Dale</t>
  </si>
  <si>
    <t>Mott</t>
  </si>
  <si>
    <t>dmott@phillipscollection.org</t>
  </si>
  <si>
    <t>202-387-2151 x265</t>
  </si>
  <si>
    <t>530220900</t>
  </si>
  <si>
    <t>RESOURCES FOR THE FUTURE</t>
  </si>
  <si>
    <t>1616 P STREET NW</t>
  </si>
  <si>
    <t>20036-1434</t>
  </si>
  <si>
    <t>Senior Director of Development</t>
  </si>
  <si>
    <t>Key</t>
  </si>
  <si>
    <t>Hill</t>
  </si>
  <si>
    <t>hill@rff.org</t>
  </si>
  <si>
    <t>202-328-5042</t>
  </si>
  <si>
    <t>521740069</t>
  </si>
  <si>
    <t>URAC</t>
  </si>
  <si>
    <t>1220 L STREET NW</t>
  </si>
  <si>
    <t>20005-4018</t>
  </si>
  <si>
    <t>133535334</t>
  </si>
  <si>
    <t>SMALL ENTERPRISE ASSISTANCE FUNDS</t>
  </si>
  <si>
    <t>1500 K ST NW STE 375</t>
  </si>
  <si>
    <t>20005-1209</t>
  </si>
  <si>
    <t>582366765</t>
  </si>
  <si>
    <t>BETTER WORLD FUND</t>
  </si>
  <si>
    <t>1800 MASSACHUSETTS AVE NW</t>
  </si>
  <si>
    <t>510401308</t>
  </si>
  <si>
    <t>OCEANA</t>
  </si>
  <si>
    <t>1350 CONN AVE NW FL 5</t>
  </si>
  <si>
    <t>20036-1759</t>
  </si>
  <si>
    <t>SENIOR DIRECTOR, INSTITUTIONAL GIVING</t>
  </si>
  <si>
    <t>Lane</t>
  </si>
  <si>
    <t>HLane@oceana.org</t>
  </si>
  <si>
    <t>202 833-3900</t>
  </si>
  <si>
    <t>521792608</t>
  </si>
  <si>
    <t>FOUNDATION FOR THE NATIONAL ARCHIVES</t>
  </si>
  <si>
    <t>700 PENNSYLVANIA AVE NW G-12</t>
  </si>
  <si>
    <t>20408-0001</t>
  </si>
  <si>
    <t>Manager of Institutional Giving</t>
  </si>
  <si>
    <t>Jordan</t>
  </si>
  <si>
    <t>Zappala</t>
  </si>
  <si>
    <t>jordan.zappala@archivesfoundation.org</t>
  </si>
  <si>
    <t>202-357-5946</t>
  </si>
  <si>
    <t>530204634</t>
  </si>
  <si>
    <t>STODDARD BAPTIST HOME</t>
  </si>
  <si>
    <t>1818 NEWTON ST NW</t>
  </si>
  <si>
    <t>20010-1017</t>
  </si>
  <si>
    <t>Contact</t>
  </si>
  <si>
    <t>Carrie</t>
  </si>
  <si>
    <t>Owens</t>
  </si>
  <si>
    <t>cowens@sbhfdc.org</t>
  </si>
  <si>
    <t>(202) 328-7400 x1316</t>
  </si>
  <si>
    <t>371472882</t>
  </si>
  <si>
    <t>ISRAEL PROJECT</t>
  </si>
  <si>
    <t>2020 K ST NW STE 7600</t>
  </si>
  <si>
    <t>20006-1832</t>
  </si>
  <si>
    <t>Senior Advisor, External Affairs</t>
  </si>
  <si>
    <t>Ian</t>
  </si>
  <si>
    <t>Sugar</t>
  </si>
  <si>
    <t>IanS@TheIsraelProject.Org</t>
  </si>
  <si>
    <t>(202) 350-3111</t>
  </si>
  <si>
    <t>530204690</t>
  </si>
  <si>
    <t>PREVENTION OF BLINDNESS SOCIETY OF METROPOLITAN WASHINGTON</t>
  </si>
  <si>
    <t>1775 CHURCH ST NW</t>
  </si>
  <si>
    <t>20036-1301</t>
  </si>
  <si>
    <t>Public Relations &amp; Fundraising Manager</t>
  </si>
  <si>
    <t>Tina</t>
  </si>
  <si>
    <t>Robinette</t>
  </si>
  <si>
    <t>trobinette@youreyes.org</t>
  </si>
  <si>
    <t>(202) 234-1010</t>
  </si>
  <si>
    <t>870745629</t>
  </si>
  <si>
    <t>THE ALLIANCE FOR CLIMATE PROTECTION</t>
  </si>
  <si>
    <t>901 E STREET NW</t>
  </si>
  <si>
    <t>20004-2037</t>
  </si>
  <si>
    <t>Vanessa</t>
  </si>
  <si>
    <t>Lavallee</t>
  </si>
  <si>
    <t>Vanessa.LaVallee@climatereality.com</t>
  </si>
  <si>
    <t>(202) 567-6837</t>
  </si>
  <si>
    <t>521398742</t>
  </si>
  <si>
    <t>CENTER FOR INTERNATIONAL PRIVATE ENTERPRISE</t>
  </si>
  <si>
    <t>1155 15TH ST NW STE 700</t>
  </si>
  <si>
    <t>20005-2737</t>
  </si>
  <si>
    <t>Deputy Director for Strategic Planning and Programs</t>
  </si>
  <si>
    <t>Andrew</t>
  </si>
  <si>
    <t>Wilson</t>
  </si>
  <si>
    <t>awilson@cipe.org</t>
  </si>
  <si>
    <t>202-721-9200</t>
  </si>
  <si>
    <t>521447902</t>
  </si>
  <si>
    <t>CNFA</t>
  </si>
  <si>
    <t>1828 L ST NW STE 710</t>
  </si>
  <si>
    <t>521969967</t>
  </si>
  <si>
    <t>CAMPAIGN FOR TOBACCO-FREE KIDS</t>
  </si>
  <si>
    <t>1400 I ST NW STE 1200</t>
  </si>
  <si>
    <t>20005-6531</t>
  </si>
  <si>
    <t>Director, Development</t>
  </si>
  <si>
    <t>Gabriel</t>
  </si>
  <si>
    <t>Pinski</t>
  </si>
  <si>
    <t>gpinski@catholiccharitiesusa.org</t>
  </si>
  <si>
    <t>202-296-5469</t>
  </si>
  <si>
    <t>526065505</t>
  </si>
  <si>
    <t>LANDSCAPE ARCHITECTURE FOUNDATION</t>
  </si>
  <si>
    <t>818 18TH ST NW STE 810</t>
  </si>
  <si>
    <t>20006-3520</t>
  </si>
  <si>
    <t>Alcide</t>
  </si>
  <si>
    <t>malcide@lafoundation.org</t>
  </si>
  <si>
    <t>202-331-7070 x13</t>
  </si>
  <si>
    <t>521405988</t>
  </si>
  <si>
    <t>SHAKESPEARE THEATRE</t>
  </si>
  <si>
    <t>516 8TH ST SE</t>
  </si>
  <si>
    <t>20003-2834</t>
  </si>
  <si>
    <t>Ed</t>
  </si>
  <si>
    <t>Zakreski</t>
  </si>
  <si>
    <t>ezakreski@shakespearetheatre.org</t>
  </si>
  <si>
    <t>202.547.1122</t>
  </si>
  <si>
    <t>042694458</t>
  </si>
  <si>
    <t>HEART RHYTHM SOCIETY</t>
  </si>
  <si>
    <t>1400 K ST NW STE 500</t>
  </si>
  <si>
    <t>20005-2422</t>
  </si>
  <si>
    <t>Kathy</t>
  </si>
  <si>
    <t>Wiedemer</t>
  </si>
  <si>
    <t>kwiedemer@hrsonline.org</t>
  </si>
  <si>
    <t>202-464-3400</t>
  </si>
  <si>
    <t>521107937</t>
  </si>
  <si>
    <t>NATIONAL INSTITUTE OF BUILDING SCIENCES</t>
  </si>
  <si>
    <t>1090 VERMONT AVE NW STE 700</t>
  </si>
  <si>
    <t>20005-4950</t>
  </si>
  <si>
    <t>521019820</t>
  </si>
  <si>
    <t>THE WASHINGTON CENTER FOR INTERNSHIPS AND ACADEMIC SEMINARS</t>
  </si>
  <si>
    <t>1333 16TH ST NW</t>
  </si>
  <si>
    <t>20036-2205</t>
  </si>
  <si>
    <t>President</t>
  </si>
  <si>
    <t>Smith</t>
  </si>
  <si>
    <t>info@twc.edu</t>
  </si>
  <si>
    <t>(202) 238-7965</t>
  </si>
  <si>
    <t>522096845</t>
  </si>
  <si>
    <t>NEW AMERICA FOUNDATION</t>
  </si>
  <si>
    <t>1899 L ST NW STE 400</t>
  </si>
  <si>
    <t>20036-3868</t>
  </si>
  <si>
    <t>520807619</t>
  </si>
  <si>
    <t>CENTER FOR APPLIED LINGUISTICS</t>
  </si>
  <si>
    <t>4646 40TH ST NW</t>
  </si>
  <si>
    <t>20016-1867</t>
  </si>
  <si>
    <t>237245152</t>
  </si>
  <si>
    <t>OCEAN CONSERVANCY</t>
  </si>
  <si>
    <t>1300 19TH ST NW STE 800</t>
  </si>
  <si>
    <t>20036-1653</t>
  </si>
  <si>
    <t>Managing Director, Resource Development</t>
  </si>
  <si>
    <t>DeAndra</t>
  </si>
  <si>
    <t>Hicks</t>
  </si>
  <si>
    <t>dhicks@oceanconservancy.org</t>
  </si>
  <si>
    <t>800-519-1541</t>
  </si>
  <si>
    <t>521780162</t>
  </si>
  <si>
    <t>EURASIA FOUNDATION</t>
  </si>
  <si>
    <t>1350 CONN AVE NW STE 1000</t>
  </si>
  <si>
    <t>20036-1730</t>
  </si>
  <si>
    <t>Communications Officer</t>
  </si>
  <si>
    <t>Joshua</t>
  </si>
  <si>
    <t>Foust</t>
  </si>
  <si>
    <t>jfoust@eurasia.org</t>
  </si>
  <si>
    <t>202-234-7370 x159</t>
  </si>
  <si>
    <t>731502797</t>
  </si>
  <si>
    <t>GRAMEEN FOUNDATION USA</t>
  </si>
  <si>
    <t>1101 15TH ST NW 3RD FL</t>
  </si>
  <si>
    <t>20005-5002</t>
  </si>
  <si>
    <t>Vice President, External Affairs</t>
  </si>
  <si>
    <t>Sandra</t>
  </si>
  <si>
    <t>Winters</t>
  </si>
  <si>
    <t>swinters@grameenfoundation.org</t>
  </si>
  <si>
    <t>202-628-3560</t>
  </si>
  <si>
    <t>521149668</t>
  </si>
  <si>
    <t>VIETNAM VETERANS MEMORIAL FUND</t>
  </si>
  <si>
    <t>2600 VIRGINIA AVE NW</t>
  </si>
  <si>
    <t>20037-1905</t>
  </si>
  <si>
    <t>Viktor</t>
  </si>
  <si>
    <t>Zikas</t>
  </si>
  <si>
    <t>vzikas@vvmf.org</t>
  </si>
  <si>
    <t>202.393.0090</t>
  </si>
  <si>
    <t>237122879</t>
  </si>
  <si>
    <t>CENTER FOR SCIENCE IN THE PUBLIC INTEREST</t>
  </si>
  <si>
    <t>1220 L ST NW STE 300</t>
  </si>
  <si>
    <t>20005-4053</t>
  </si>
  <si>
    <t>Deputy Development Director</t>
  </si>
  <si>
    <t>Knox</t>
  </si>
  <si>
    <t>kknox@cspinet.org</t>
  </si>
  <si>
    <t>(202) 332-9110</t>
  </si>
  <si>
    <t>411750692</t>
  </si>
  <si>
    <t>THURGOOD MARSHALL COLLEGE FUND</t>
  </si>
  <si>
    <t>901 F ST NW STE 300</t>
  </si>
  <si>
    <t>20004-1481</t>
  </si>
  <si>
    <t>Eberly</t>
  </si>
  <si>
    <t>julie.eberly@tmcfund.org</t>
  </si>
  <si>
    <t>202-888-0047</t>
  </si>
  <si>
    <t>526062439</t>
  </si>
  <si>
    <t>WASHINGTON PERFORMING ARTS SOCIETY</t>
  </si>
  <si>
    <t>2000 L ST NW STE 510</t>
  </si>
  <si>
    <t>20036-4918</t>
  </si>
  <si>
    <t>Mitchell</t>
  </si>
  <si>
    <t>Bassion</t>
  </si>
  <si>
    <t>mbassion@washingtonperformingarts.org</t>
  </si>
  <si>
    <t>(202) 533-1882</t>
  </si>
  <si>
    <t>521766126</t>
  </si>
  <si>
    <t>NATIONAL COMMUNITY REINVESTMENT COALITION</t>
  </si>
  <si>
    <t>757 15TH ST NW STE</t>
  </si>
  <si>
    <t>20005-0000</t>
  </si>
  <si>
    <t>John</t>
  </si>
  <si>
    <t>Lazar</t>
  </si>
  <si>
    <t>jlazar@ncrc.org</t>
  </si>
  <si>
    <t>202 628-8866</t>
  </si>
  <si>
    <t>522387329</t>
  </si>
  <si>
    <t>ST COLETTA SPECIAL EDUCATION CHARTER SCHOOL</t>
  </si>
  <si>
    <t>1901 INDPDNC AVE SE</t>
  </si>
  <si>
    <t>20003-1733</t>
  </si>
  <si>
    <t>rhill@stcoletta.org</t>
  </si>
  <si>
    <t>(202) 350-8680 ext. 1001</t>
  </si>
  <si>
    <t>522007028</t>
  </si>
  <si>
    <t>COLLEGE SUMMIT</t>
  </si>
  <si>
    <t>1763 COLUMBIA RD NW STE 2</t>
  </si>
  <si>
    <t>20009-2834</t>
  </si>
  <si>
    <t>Caite</t>
  </si>
  <si>
    <t>Gilmore</t>
  </si>
  <si>
    <t>CGilmore@collegesummit.org</t>
  </si>
  <si>
    <t>(202) 319-1763</t>
  </si>
  <si>
    <t>522132835</t>
  </si>
  <si>
    <t>DISTRICT OF COLUMBIA COLLEGE ACCESS PROGRAM</t>
  </si>
  <si>
    <t>1400 L ST NW STE 400</t>
  </si>
  <si>
    <t>20005-3592</t>
  </si>
  <si>
    <t>kimberly.lane@dccap.org</t>
  </si>
  <si>
    <t>(202) 503-2661</t>
  </si>
  <si>
    <t>521996156</t>
  </si>
  <si>
    <t>INTERMEDIA SURVEY INSTITUTE</t>
  </si>
  <si>
    <t>1401 NEW YORK AVE NW 10TH FL</t>
  </si>
  <si>
    <t>20005-2102</t>
  </si>
  <si>
    <t>521469738</t>
  </si>
  <si>
    <t>EQUAL JUSTICE WORKS</t>
  </si>
  <si>
    <t>1730 M ST NW STE 1010</t>
  </si>
  <si>
    <t>20036-4511</t>
  </si>
  <si>
    <t>Associate Director of Fellowships &amp; Advancement</t>
  </si>
  <si>
    <t>Patricia</t>
  </si>
  <si>
    <t>Reilly</t>
  </si>
  <si>
    <t>preilly@equaljusticeworks.org</t>
  </si>
  <si>
    <t>(202) 466-3686</t>
  </si>
  <si>
    <t>631044781</t>
  </si>
  <si>
    <t>NATIONAL CHILDRENS ALLIANCE</t>
  </si>
  <si>
    <t>516 C STREET NE</t>
  </si>
  <si>
    <t>20002-5807</t>
  </si>
  <si>
    <t>Bryan</t>
  </si>
  <si>
    <t>Boeskin</t>
  </si>
  <si>
    <t>bboeskin@nca-online.org</t>
  </si>
  <si>
    <t>202-548-0090</t>
  </si>
  <si>
    <t>208837141</t>
  </si>
  <si>
    <t>AMERICAN CLEAN SKIES FOUNDATION</t>
  </si>
  <si>
    <t>750 1ST ST NE STE 1100</t>
  </si>
  <si>
    <t>20002-8013</t>
  </si>
  <si>
    <t>136223604</t>
  </si>
  <si>
    <t>THE FUND FOR AMERICAN STUDIES</t>
  </si>
  <si>
    <t>1706 NH AVE NW</t>
  </si>
  <si>
    <t>20009-2502</t>
  </si>
  <si>
    <t>530208258</t>
  </si>
  <si>
    <t>FAMILY MATTERS OF GREATER WASHINGTON</t>
  </si>
  <si>
    <t>1509 16TH ST NW</t>
  </si>
  <si>
    <t>20036-1461</t>
  </si>
  <si>
    <t>Cynthia</t>
  </si>
  <si>
    <t>Davis</t>
  </si>
  <si>
    <t>cdavis@familymattersdc.org</t>
  </si>
  <si>
    <t>(202) 289-1510</t>
  </si>
  <si>
    <t>510552070</t>
  </si>
  <si>
    <t>FUTUREGEN INDUSTRIAL ALLIANCE</t>
  </si>
  <si>
    <t>1101 PENN AVE NW STE 600</t>
  </si>
  <si>
    <t>20004-2544</t>
  </si>
  <si>
    <t>530214030</t>
  </si>
  <si>
    <t>POPULATION REFERENCE BUREAU</t>
  </si>
  <si>
    <t>1875 CONN AVE NW STE 520</t>
  </si>
  <si>
    <t>20009-5738</t>
  </si>
  <si>
    <t>Chief Financial and Operating Officer</t>
  </si>
  <si>
    <t>Scott</t>
  </si>
  <si>
    <t>jscott@prb.org</t>
  </si>
  <si>
    <t>202-939-5425</t>
  </si>
  <si>
    <t>571192973</t>
  </si>
  <si>
    <t>ASIAN AND PACIFIC ISLANDER AMERICAN SCHOLARSHIP FUND</t>
  </si>
  <si>
    <t>2025 M STREET NW SUITE 610</t>
  </si>
  <si>
    <t>20036-3309</t>
  </si>
  <si>
    <t>Vice President Development &amp; External Relations</t>
  </si>
  <si>
    <t>Gayle</t>
  </si>
  <si>
    <t>Yamada</t>
  </si>
  <si>
    <t>gyamada@apiasf.org</t>
  </si>
  <si>
    <t>(202) 986-6892</t>
  </si>
  <si>
    <t>521213010</t>
  </si>
  <si>
    <t>NATIONAL WOMENS LAW CENTER</t>
  </si>
  <si>
    <t>11 DUPONT CIR NW STE 800</t>
  </si>
  <si>
    <t>20036-1209</t>
  </si>
  <si>
    <t>Vice President for Development and Strategy</t>
  </si>
  <si>
    <t>Nancy</t>
  </si>
  <si>
    <t>Withbroe</t>
  </si>
  <si>
    <t>NWithbroe@nwlc.org</t>
  </si>
  <si>
    <t>(202) 588-5180</t>
  </si>
  <si>
    <t>521326357</t>
  </si>
  <si>
    <t>PROGRESSIVE LIFE CENTER</t>
  </si>
  <si>
    <t>1704 17TH ST NE</t>
  </si>
  <si>
    <t>20002-1810</t>
  </si>
  <si>
    <t>521023074</t>
  </si>
  <si>
    <t>LATIN AMERICAN YOUTH CENTER</t>
  </si>
  <si>
    <t>1419 COLUMBIA RD NW</t>
  </si>
  <si>
    <t>20009-4705</t>
  </si>
  <si>
    <t>Barbara</t>
  </si>
  <si>
    <t>Myers</t>
  </si>
  <si>
    <t>barbara@layc-dc.org</t>
  </si>
  <si>
    <t>202.319.2225</t>
  </si>
  <si>
    <t>237305963</t>
  </si>
  <si>
    <t>AMERICAN RIVERS</t>
  </si>
  <si>
    <t>1101 14TH ST NW STE 1400</t>
  </si>
  <si>
    <t>Senior Director Of Development, Foundations &amp; Corporations Resource Development</t>
  </si>
  <si>
    <t>Cathy</t>
  </si>
  <si>
    <t>Yi</t>
  </si>
  <si>
    <t>CYi@americanrivers.org</t>
  </si>
  <si>
    <t>202-347-7550</t>
  </si>
  <si>
    <t>521081455</t>
  </si>
  <si>
    <t>INTERNATIONAL CENTER FOR RESEARCH ON WOMEN</t>
  </si>
  <si>
    <t>1120 20TH ST NW STE 500 # N</t>
  </si>
  <si>
    <t>20036-3491</t>
  </si>
  <si>
    <t>Fundraising/Development Manager</t>
  </si>
  <si>
    <t>Kasey</t>
  </si>
  <si>
    <t>LaFlam</t>
  </si>
  <si>
    <t>info@icrw.org</t>
  </si>
  <si>
    <t>202.797.0007</t>
  </si>
  <si>
    <t>530132493</t>
  </si>
  <si>
    <t>NATIONAL FOUNDATION FOR CREDIT COUNSELING</t>
  </si>
  <si>
    <t>2000 M STREET NO 505</t>
  </si>
  <si>
    <t>20036-3307</t>
  </si>
  <si>
    <t>521585880</t>
  </si>
  <si>
    <t>REBUILDING TOGETHER</t>
  </si>
  <si>
    <t>1899 L ST NW STE 1000</t>
  </si>
  <si>
    <t>20036-3810</t>
  </si>
  <si>
    <t>Interim Vice President, Development</t>
  </si>
  <si>
    <t>Shana</t>
  </si>
  <si>
    <t>Fajardo</t>
  </si>
  <si>
    <t>SFajardo@rebuildingtogether.org</t>
  </si>
  <si>
    <t>800-473-4229</t>
  </si>
  <si>
    <t>800326026</t>
  </si>
  <si>
    <t>VOLUNTEERS FOR ECONOMIC GROWTH ALLIANCE</t>
  </si>
  <si>
    <t>1900 L ST NW STE 405</t>
  </si>
  <si>
    <t>20036-5026</t>
  </si>
  <si>
    <t>Director of Programs</t>
  </si>
  <si>
    <t>Peter</t>
  </si>
  <si>
    <t>Saling</t>
  </si>
  <si>
    <t>psaling@vegaalliance.org</t>
  </si>
  <si>
    <t>202.367.9997</t>
  </si>
  <si>
    <t>210735173</t>
  </si>
  <si>
    <t>AMERICAN ASTRONOMICAL SOCIETY</t>
  </si>
  <si>
    <t>2000 FLORIDA AVE NW</t>
  </si>
  <si>
    <t>20009-1231</t>
  </si>
  <si>
    <t>Director of Membership Services</t>
  </si>
  <si>
    <t>Diane</t>
  </si>
  <si>
    <t>Frendak</t>
  </si>
  <si>
    <t>diane.frendak@aas.org</t>
  </si>
  <si>
    <t>(202) 328-2010</t>
  </si>
  <si>
    <t>521082991</t>
  </si>
  <si>
    <t>ALLIANCE TO SAVE ENERGY</t>
  </si>
  <si>
    <t>1850 M ST NW STE 600</t>
  </si>
  <si>
    <t>20036-5817</t>
  </si>
  <si>
    <t>Director, Development &amp; Operations</t>
  </si>
  <si>
    <t>Erin</t>
  </si>
  <si>
    <t>Harper</t>
  </si>
  <si>
    <t>eharper@ase.org</t>
  </si>
  <si>
    <t>202.857.0666</t>
  </si>
  <si>
    <t>521081024</t>
  </si>
  <si>
    <t>INDEPENDENT SECTOR</t>
  </si>
  <si>
    <t>1602 L ST NW STE 900</t>
  </si>
  <si>
    <t>20036-5682</t>
  </si>
  <si>
    <t>Senior Vice President and Chief Development Officer</t>
  </si>
  <si>
    <t>Goff</t>
  </si>
  <si>
    <t>michaelg@independentsector.org</t>
  </si>
  <si>
    <t>202-467-6100</t>
  </si>
  <si>
    <t>521840230</t>
  </si>
  <si>
    <t>DIABETES RESEARCH AND WELLNESS FOUNDATION</t>
  </si>
  <si>
    <t>5151 WISC AVE NW STE 400</t>
  </si>
  <si>
    <t>20016-4124</t>
  </si>
  <si>
    <t>Executive Director</t>
  </si>
  <si>
    <t>Andrea</t>
  </si>
  <si>
    <t>Stancik</t>
  </si>
  <si>
    <t>astancik@diabeteswellness.net</t>
  </si>
  <si>
    <t>202-298-9211</t>
  </si>
  <si>
    <t>521238810</t>
  </si>
  <si>
    <t>NATIONAL MUSEUM OF WOMEN IN THE ARTS</t>
  </si>
  <si>
    <t>1250 NEW YORK AVE NW</t>
  </si>
  <si>
    <t>20005-3970</t>
  </si>
  <si>
    <t>Donation Contact</t>
  </si>
  <si>
    <t>Pam</t>
  </si>
  <si>
    <t>Ayres</t>
  </si>
  <si>
    <t>payres@nmwa.org</t>
  </si>
  <si>
    <t>202-783-7990</t>
  </si>
  <si>
    <t>953313195</t>
  </si>
  <si>
    <t>GREENPEACE FUND</t>
  </si>
  <si>
    <t>702 H ST NW STE 300</t>
  </si>
  <si>
    <t>20001-3876</t>
  </si>
  <si>
    <t>Annie</t>
  </si>
  <si>
    <t>Leonard</t>
  </si>
  <si>
    <t>800-722-6995</t>
  </si>
  <si>
    <t>133065716</t>
  </si>
  <si>
    <t>PEOPLE FOR THE AMERICAN WAY FOUNDATION</t>
  </si>
  <si>
    <t>1101 15TH ST NW STE 600</t>
  </si>
  <si>
    <t>20005-5023</t>
  </si>
  <si>
    <t>Yanish</t>
  </si>
  <si>
    <t>SYanish@pfaw.org</t>
  </si>
  <si>
    <t>202-467-4999</t>
  </si>
  <si>
    <t>131958990</t>
  </si>
  <si>
    <t>AMERICAN ACADEMY OF CHILD &amp; ADOLES</t>
  </si>
  <si>
    <t>3615 WISCONSIN AVENUE NW</t>
  </si>
  <si>
    <t>20016-3007</t>
  </si>
  <si>
    <t>Deputy Director of Development</t>
  </si>
  <si>
    <t>Alan</t>
  </si>
  <si>
    <t>Ezagui</t>
  </si>
  <si>
    <t>aezagui@aacap.org</t>
  </si>
  <si>
    <t>202.966.7300 ext. 130</t>
  </si>
  <si>
    <t>526073157</t>
  </si>
  <si>
    <t>FORD S THEATRE SOCIETY</t>
  </si>
  <si>
    <t>514 10TH STREET NW</t>
  </si>
  <si>
    <t>20004-1407</t>
  </si>
  <si>
    <t>Anderson</t>
  </si>
  <si>
    <t>banderson@fords.org</t>
  </si>
  <si>
    <t>(202) 347-4833</t>
  </si>
  <si>
    <t>320160439</t>
  </si>
  <si>
    <t>FOOD &amp; WATER WATCH</t>
  </si>
  <si>
    <t>1616 P ST NW STE 300</t>
  </si>
  <si>
    <t>20036-1408</t>
  </si>
  <si>
    <t>Doug</t>
  </si>
  <si>
    <t>Lakey</t>
  </si>
  <si>
    <t>dlakey@fwwatch.org</t>
  </si>
  <si>
    <t>(202) 683-2500</t>
  </si>
  <si>
    <t>521071723</t>
  </si>
  <si>
    <t>NATIONAL ITALIAN AMERICAN FOUNDATION</t>
  </si>
  <si>
    <t>1860 19TH ST NW</t>
  </si>
  <si>
    <t>20009-5501</t>
  </si>
  <si>
    <t>Director of Fund Development</t>
  </si>
  <si>
    <t>Di Menna</t>
  </si>
  <si>
    <t>mdimenna@niaf.org</t>
  </si>
  <si>
    <t>202-939-3122</t>
  </si>
  <si>
    <t>521584936</t>
  </si>
  <si>
    <t>DC CENTRAL KITCHEN</t>
  </si>
  <si>
    <t>425 2ND ST NW</t>
  </si>
  <si>
    <t>20001-2003</t>
  </si>
  <si>
    <t>Alexander</t>
  </si>
  <si>
    <t>Moore</t>
  </si>
  <si>
    <t>amoore@dccentralkitchen.org</t>
  </si>
  <si>
    <t>202-847-0220</t>
  </si>
  <si>
    <t>530205889</t>
  </si>
  <si>
    <t>AMERICAN ASSOCIATION OF MUSEUMS</t>
  </si>
  <si>
    <t>1575 I ST NW STE 400</t>
  </si>
  <si>
    <t>20005-1113</t>
  </si>
  <si>
    <t>Mundt</t>
  </si>
  <si>
    <t>bmundt@aam-us.org</t>
  </si>
  <si>
    <t>202-289-9101</t>
  </si>
  <si>
    <t>520888113</t>
  </si>
  <si>
    <t>CENTER FOR COMMUNITY CHANGE</t>
  </si>
  <si>
    <t>1536 U ST NW</t>
  </si>
  <si>
    <t>20009-3912</t>
  </si>
  <si>
    <t>Institutional Advancement Coordinator</t>
  </si>
  <si>
    <t>Roger</t>
  </si>
  <si>
    <t>Berry</t>
  </si>
  <si>
    <t>rberry@communitychange.org</t>
  </si>
  <si>
    <t>202.339.9300</t>
  </si>
  <si>
    <t>980143306</t>
  </si>
  <si>
    <t>THE UNITED STATES-MEXICO FOUNDATION</t>
  </si>
  <si>
    <t>500 5TH ST NW STE 565</t>
  </si>
  <si>
    <t>20001-2736</t>
  </si>
  <si>
    <t>Development Officer</t>
  </si>
  <si>
    <t>Sylvain</t>
  </si>
  <si>
    <t>asylvain@usmexicofound.org</t>
  </si>
  <si>
    <t>202-506-1438</t>
  </si>
  <si>
    <t>520848769</t>
  </si>
  <si>
    <t>PARTNERS OF THE AMERICAS</t>
  </si>
  <si>
    <t>1424 K ST NW STE 700</t>
  </si>
  <si>
    <t>20005-2410</t>
  </si>
  <si>
    <t>Senior Officer, Program Development</t>
  </si>
  <si>
    <t>Elizabeth</t>
  </si>
  <si>
    <t>Holst</t>
  </si>
  <si>
    <t>eholst@partners.net</t>
  </si>
  <si>
    <t>202-637-6221</t>
  </si>
  <si>
    <t>530162440</t>
  </si>
  <si>
    <t>WASHINGTON ANIMAL RESCUE LEAGUE</t>
  </si>
  <si>
    <t>71 OGLETHORPE ST NW</t>
  </si>
  <si>
    <t>20011-2346</t>
  </si>
  <si>
    <t>development@warl.org</t>
  </si>
  <si>
    <t>202-726-2556, ext. 316</t>
  </si>
  <si>
    <t>431131436</t>
  </si>
  <si>
    <t>LUPUS FOUNDATION OF AMERICA</t>
  </si>
  <si>
    <t>2000 L ST NW STE 410</t>
  </si>
  <si>
    <t>20036-4952</t>
  </si>
  <si>
    <t>Vice President, Development and Fundraising</t>
  </si>
  <si>
    <t>Donna</t>
  </si>
  <si>
    <t>Grogan</t>
  </si>
  <si>
    <t>info@lupus.org</t>
  </si>
  <si>
    <t>202.349.1155</t>
  </si>
  <si>
    <t>521066168</t>
  </si>
  <si>
    <t>GREEN DOOR</t>
  </si>
  <si>
    <t>1221 TAYLOR5 STREET NW</t>
  </si>
  <si>
    <t>20011-0000</t>
  </si>
  <si>
    <t>Maria</t>
  </si>
  <si>
    <t>Barry</t>
  </si>
  <si>
    <t>maria.barry@GreenDoor.org</t>
  </si>
  <si>
    <t>202.464.9200</t>
  </si>
  <si>
    <t>547027258</t>
  </si>
  <si>
    <t>NATIONAL CHILDRENS CENTERFOUNDATION</t>
  </si>
  <si>
    <t>521481896</t>
  </si>
  <si>
    <t>HUMAN RIGHTS CAMPAIGN FOUNDATION</t>
  </si>
  <si>
    <t>1640 RHODE ISLAND AVENUE NW</t>
  </si>
  <si>
    <t>20036-3200</t>
  </si>
  <si>
    <t>Vice President and Chief Foundation Officer</t>
  </si>
  <si>
    <t>Jeff</t>
  </si>
  <si>
    <t>Krehely</t>
  </si>
  <si>
    <t>JKrehely@hrc.org</t>
  </si>
  <si>
    <t>(202) 216-1572</t>
  </si>
  <si>
    <t>770304957</t>
  </si>
  <si>
    <t>LAOGAI RESEARCH FOUNDATION</t>
  </si>
  <si>
    <t>1734 20TH ST NW</t>
  </si>
  <si>
    <t>20009-1105</t>
  </si>
  <si>
    <t>Founder/Executive Director</t>
  </si>
  <si>
    <t>Harry</t>
  </si>
  <si>
    <t>Wu</t>
  </si>
  <si>
    <t>laogai@laogai.org</t>
  </si>
  <si>
    <t>(202)408-8300</t>
  </si>
  <si>
    <t>530236759</t>
  </si>
  <si>
    <t>BOYS &amp; GIRLS CLUBS OF GREATER WASHINGTON</t>
  </si>
  <si>
    <t>4103 BENNING RD NE</t>
  </si>
  <si>
    <t>20019-3423</t>
  </si>
  <si>
    <t>Alagero</t>
  </si>
  <si>
    <t>palagero@bgcgw.org</t>
  </si>
  <si>
    <t>202-540-2300</t>
  </si>
  <si>
    <t>112724905</t>
  </si>
  <si>
    <t>INTERNATIONAL CENTER FOR JOURNALISTS</t>
  </si>
  <si>
    <t>1616 H ST NW</t>
  </si>
  <si>
    <t>20006-4903</t>
  </si>
  <si>
    <t>Vjollca</t>
  </si>
  <si>
    <t>Shtylla</t>
  </si>
  <si>
    <t>vshtylla@icfj.org</t>
  </si>
  <si>
    <t>202.737.3700</t>
  </si>
  <si>
    <t>251689720</t>
  </si>
  <si>
    <t>CENTRONIA</t>
  </si>
  <si>
    <t>1420 COLUMBIA RD NW</t>
  </si>
  <si>
    <t>20009-4779</t>
  </si>
  <si>
    <t>President &amp; CEO</t>
  </si>
  <si>
    <t>Myrna</t>
  </si>
  <si>
    <t>Peralta</t>
  </si>
  <si>
    <t>MPeralta@centronia.org</t>
  </si>
  <si>
    <t>202-332-4200</t>
  </si>
  <si>
    <t>521184749</t>
  </si>
  <si>
    <t>COMMUNITY OF HOPE</t>
  </si>
  <si>
    <t>1413 GIRARD ST NW</t>
  </si>
  <si>
    <t>20009-4611</t>
  </si>
  <si>
    <t>Vice President, Development and Communications</t>
  </si>
  <si>
    <t>Leah</t>
  </si>
  <si>
    <t>Garrett</t>
  </si>
  <si>
    <t>lgarrett@cohdc.org</t>
  </si>
  <si>
    <t>(202) 407-7780</t>
  </si>
  <si>
    <t>522187678</t>
  </si>
  <si>
    <t>BIOONE</t>
  </si>
  <si>
    <t>21 DUPONT CIR NW STE 800</t>
  </si>
  <si>
    <t>20036-1543</t>
  </si>
  <si>
    <t>521050999</t>
  </si>
  <si>
    <t>NATIONAL BUILDING MUSEUM</t>
  </si>
  <si>
    <t>401 F ST NW 4TH FLOOR</t>
  </si>
  <si>
    <t>Director of Corporate, Foundation, and Association Relations</t>
  </si>
  <si>
    <t>Susan</t>
  </si>
  <si>
    <t>Breitkopf</t>
  </si>
  <si>
    <t>sbreitkopf@nbm.org</t>
  </si>
  <si>
    <t>202.272.2448, ext. 3551</t>
  </si>
  <si>
    <t>521624852</t>
  </si>
  <si>
    <t>NATIONAL GAY AND LESBIAN TASK FORCE FOUNDATION</t>
  </si>
  <si>
    <t>1325 MASSACHUSETTS AVE NW 600</t>
  </si>
  <si>
    <t>20005-4171</t>
  </si>
  <si>
    <t>dalexander@theTaskForce.org</t>
  </si>
  <si>
    <t>646-358-1462</t>
  </si>
  <si>
    <t>521186071</t>
  </si>
  <si>
    <t>MARTHAS TABLE</t>
  </si>
  <si>
    <t>2114 14TH ST NW</t>
  </si>
  <si>
    <t>20009-4412</t>
  </si>
  <si>
    <t>Joan</t>
  </si>
  <si>
    <t>Woods</t>
  </si>
  <si>
    <t>jwoods@marthastable.org</t>
  </si>
  <si>
    <t>202-328-6608</t>
  </si>
  <si>
    <t>520799246</t>
  </si>
  <si>
    <t>LAWYERS COMMITTEE FOR CIVIL RIGHTS UNDER LAW</t>
  </si>
  <si>
    <t>1401 NEW YORK AVE NW</t>
  </si>
  <si>
    <t>Deputy Director and Chief Development Officer</t>
  </si>
  <si>
    <t>Gregg</t>
  </si>
  <si>
    <t>gmitchell@lawyerscommittee.org</t>
  </si>
  <si>
    <t>(202) 662-8370</t>
  </si>
  <si>
    <t>942763845</t>
  </si>
  <si>
    <t>ATLAS ECONOMIC RESEARCH FOUNDATION ATLAS</t>
  </si>
  <si>
    <t>1201 L STREET NW</t>
  </si>
  <si>
    <t>20005-4024</t>
  </si>
  <si>
    <t>Vice President of Programs and Institute Relations</t>
  </si>
  <si>
    <t>Matt</t>
  </si>
  <si>
    <t>Warner</t>
  </si>
  <si>
    <t>matt.warner@atlasnetwork.org</t>
  </si>
  <si>
    <t>202-449-8449</t>
  </si>
  <si>
    <t>521160561</t>
  </si>
  <si>
    <t>CONGRESSIONAL BLACK CAUCUS FOUNDATION</t>
  </si>
  <si>
    <t>1720 MASS AVE NW</t>
  </si>
  <si>
    <t>VP, Resource Development</t>
  </si>
  <si>
    <t>Tasha</t>
  </si>
  <si>
    <t>Cole </t>
  </si>
  <si>
    <t>tcole@cbcfinc.org</t>
  </si>
  <si>
    <t>202.263.2804</t>
  </si>
  <si>
    <t>136095316</t>
  </si>
  <si>
    <t>THE AMERICAN HOTEL AND LODGING EDUCATIONAL FOUNDATION</t>
  </si>
  <si>
    <t>1201 NEW YORK AVE NW STE 600</t>
  </si>
  <si>
    <t>20005-3917</t>
  </si>
  <si>
    <t>Senior Vice President of Foundation Programs</t>
  </si>
  <si>
    <t>Michelle</t>
  </si>
  <si>
    <t>Poinelli</t>
  </si>
  <si>
    <t>mpoinelli@ahlef.org</t>
  </si>
  <si>
    <t>(202) 289-3181</t>
  </si>
  <si>
    <t>522302253</t>
  </si>
  <si>
    <t>MAG AMERICA</t>
  </si>
  <si>
    <t>1750 K ST NW STE 350</t>
  </si>
  <si>
    <t>20006-2327</t>
  </si>
  <si>
    <t>Abby</t>
  </si>
  <si>
    <t>Frimpong</t>
  </si>
  <si>
    <t>Abby.Frimpong@maginternational.org</t>
  </si>
  <si>
    <t>202-903-0375</t>
  </si>
  <si>
    <t>521006486</t>
  </si>
  <si>
    <t>SASHA BRUCE YOUTHWORK</t>
  </si>
  <si>
    <t>741 8TH ST SE</t>
  </si>
  <si>
    <t>20003-2802</t>
  </si>
  <si>
    <t>Beck</t>
  </si>
  <si>
    <t>jbeck@sashabruce.org</t>
  </si>
  <si>
    <t>202.675.9340</t>
  </si>
  <si>
    <t>521526916</t>
  </si>
  <si>
    <t>FREEDOMWORKS FOUNDATION</t>
  </si>
  <si>
    <t>400 N CAPITOL ST NW STE 765</t>
  </si>
  <si>
    <t>20001-1564</t>
  </si>
  <si>
    <t>Christine</t>
  </si>
  <si>
    <t>Domenech</t>
  </si>
  <si>
    <t>cdomenech@freedomworks.org</t>
  </si>
  <si>
    <t>202 -942-7618</t>
  </si>
  <si>
    <t>561834887</t>
  </si>
  <si>
    <t>GLOBAL FUND FOR CHILDREN</t>
  </si>
  <si>
    <t>1101 14TH ST NW</t>
  </si>
  <si>
    <t>20005-5601</t>
  </si>
  <si>
    <t>Vice President for Development</t>
  </si>
  <si>
    <t>Cara</t>
  </si>
  <si>
    <t>Ciullo</t>
  </si>
  <si>
    <t>info@globalfundforchildren.org</t>
  </si>
  <si>
    <t>202-331-9003</t>
  </si>
  <si>
    <t>521880478</t>
  </si>
  <si>
    <t>THE NATIONAL CAPITAL POISON CENTER</t>
  </si>
  <si>
    <t>3201 NM AVE NW STE 310</t>
  </si>
  <si>
    <t>20016-2739</t>
  </si>
  <si>
    <t>521614093</t>
  </si>
  <si>
    <t>ARMENIAN ASSEMBLY OF AMERICA</t>
  </si>
  <si>
    <t>1334 G ST NW</t>
  </si>
  <si>
    <t>20005-3117</t>
  </si>
  <si>
    <t>Development and Membership Associate</t>
  </si>
  <si>
    <t>Joseph</t>
  </si>
  <si>
    <t>Piatt</t>
  </si>
  <si>
    <t>jpiatt@aaainc.org</t>
  </si>
  <si>
    <t>(202) 393-3434</t>
  </si>
  <si>
    <t>470928008</t>
  </si>
  <si>
    <t>MEDIA MATTERS FOR AMERICA</t>
  </si>
  <si>
    <t>455 MASSACHUSETTS AVE NW FLR 6</t>
  </si>
  <si>
    <t>20001-2621</t>
  </si>
  <si>
    <t>CHIEF FINANCIAL OFFICER</t>
  </si>
  <si>
    <t>PILAR</t>
  </si>
  <si>
    <t>MARTINEZ</t>
  </si>
  <si>
    <t>action@mediamatters.org</t>
  </si>
  <si>
    <t>(202) 756-4100</t>
  </si>
  <si>
    <t>131945157</t>
  </si>
  <si>
    <t>HUDSON INSTITUTE</t>
  </si>
  <si>
    <t>1015 15TH STREET NW</t>
  </si>
  <si>
    <t>20005-2605</t>
  </si>
  <si>
    <t>Kenneth</t>
  </si>
  <si>
    <t>Weinstein</t>
  </si>
  <si>
    <t>ken@hudson.org</t>
  </si>
  <si>
    <t>202-974-2400</t>
  </si>
  <si>
    <t>942666764</t>
  </si>
  <si>
    <t>WALTER KAITZ FOUNDATION</t>
  </si>
  <si>
    <t>25 MASSACHUSETTS AVE NW STE 100</t>
  </si>
  <si>
    <t>20001-1434</t>
  </si>
  <si>
    <t>Porter</t>
  </si>
  <si>
    <t>DPorter@walterkaitz.org</t>
  </si>
  <si>
    <t>202-222-2490</t>
  </si>
  <si>
    <t>510175510</t>
  </si>
  <si>
    <t>BREAD FOR THE WORLD INSTITUTE</t>
  </si>
  <si>
    <t>425 3RD ST SW STE 1200</t>
  </si>
  <si>
    <t>20024-3234</t>
  </si>
  <si>
    <t>Vice President of Development and Membership</t>
  </si>
  <si>
    <t>Lund</t>
  </si>
  <si>
    <t>jlund@bread.org</t>
  </si>
  <si>
    <t>(800) 822-7323</t>
  </si>
  <si>
    <t>262117013</t>
  </si>
  <si>
    <t>CENTER FOR THE NATIONAL INTEREST</t>
  </si>
  <si>
    <t>1025 CONN AVE NW STE 1200</t>
  </si>
  <si>
    <t>20036-5415</t>
  </si>
  <si>
    <t>261607955</t>
  </si>
  <si>
    <t>DC PUBLIC EDUCATION FUND</t>
  </si>
  <si>
    <t>1534 14TH ST NW</t>
  </si>
  <si>
    <t>20005-3722</t>
  </si>
  <si>
    <t>Senior Manager of Communications and Events</t>
  </si>
  <si>
    <t>Sivy</t>
  </si>
  <si>
    <t>rsivy@dceducationfund.org</t>
  </si>
  <si>
    <t>202-549-3711</t>
  </si>
  <si>
    <t>753029336</t>
  </si>
  <si>
    <t>FUND FOR GLOBAL HUMAS RIGHTS</t>
  </si>
  <si>
    <t>1666 CONN AVE NW STE 410</t>
  </si>
  <si>
    <t>20009-1039</t>
  </si>
  <si>
    <t>Manager of Development</t>
  </si>
  <si>
    <t>Frances</t>
  </si>
  <si>
    <t>Tennyson</t>
  </si>
  <si>
    <t>donation@globalhumanrights.org</t>
  </si>
  <si>
    <t>(202) 347-7488</t>
  </si>
  <si>
    <t>541848713</t>
  </si>
  <si>
    <t>AMERICAS PROMISE-THE ALLIANCE FOR YOUTH</t>
  </si>
  <si>
    <t>1110 VERMONT AVE NW STE 900</t>
  </si>
  <si>
    <t>20005-3538</t>
  </si>
  <si>
    <t>Vice President, Mission Advancement</t>
  </si>
  <si>
    <t>info@americaspromise.org</t>
  </si>
  <si>
    <t>202.657.0600</t>
  </si>
  <si>
    <t>521136126</t>
  </si>
  <si>
    <t>FEDERATION FOR AMERICAN IMMIGRATION REFORM</t>
  </si>
  <si>
    <t>25 MASSACHUSETTS AVE NW SUITE</t>
  </si>
  <si>
    <t>20001-1430</t>
  </si>
  <si>
    <t>Ashley</t>
  </si>
  <si>
    <t>Hall</t>
  </si>
  <si>
    <t>ahall@fairus.org</t>
  </si>
  <si>
    <t>202-328-7004</t>
  </si>
  <si>
    <t>521114225</t>
  </si>
  <si>
    <t>CONGRESSIONAL HISPANIC CAUCUS INSTITUTE</t>
  </si>
  <si>
    <t>911 2ND ST NE</t>
  </si>
  <si>
    <t>20002-3501</t>
  </si>
  <si>
    <t>Luz</t>
  </si>
  <si>
    <t>aluz@chci.org</t>
  </si>
  <si>
    <t>202-543-1771</t>
  </si>
  <si>
    <t>911568650</t>
  </si>
  <si>
    <t>NATIONAL ALLIANCE OF STATE AND TERRITORIAL AIDS DIRECTORS</t>
  </si>
  <si>
    <t>444 N CAPITOL ST NW STE 339</t>
  </si>
  <si>
    <t>20001-1512</t>
  </si>
  <si>
    <t>Senior Manager, Grants &amp; Compliance</t>
  </si>
  <si>
    <t>Victoria</t>
  </si>
  <si>
    <t>Shek</t>
  </si>
  <si>
    <t>vshek@nastad.org</t>
  </si>
  <si>
    <t>(202) 434-8090</t>
  </si>
  <si>
    <t>521648941</t>
  </si>
  <si>
    <t>FOOD &amp; FRIENDS</t>
  </si>
  <si>
    <t>219 RIGGS RD NE</t>
  </si>
  <si>
    <t>20011-2409</t>
  </si>
  <si>
    <t>Interim Director of Development</t>
  </si>
  <si>
    <t>Pat</t>
  </si>
  <si>
    <t>Cornell</t>
  </si>
  <si>
    <t>pcornell@foodandfriends.org</t>
  </si>
  <si>
    <t>(202) 269-2277</t>
  </si>
  <si>
    <t>521398151</t>
  </si>
  <si>
    <t>WASHINGTON DISTRICT OF COLUMBIA JEWISH COMMUNITY CENTER</t>
  </si>
  <si>
    <t>1529 16TH ST NW</t>
  </si>
  <si>
    <t>20036-1466</t>
  </si>
  <si>
    <t>Mark</t>
  </si>
  <si>
    <t>Spira</t>
  </si>
  <si>
    <t>marks@washingtondcjcc.org</t>
  </si>
  <si>
    <t>(202) 777-3257</t>
  </si>
  <si>
    <t>133755530</t>
  </si>
  <si>
    <t>H JOHN HEINZ III CENTER FOR SCIENCE ECONOMICS AND THE ENVIRONMENT</t>
  </si>
  <si>
    <t>900 17TH ST NW STE 700</t>
  </si>
  <si>
    <t>20006-2515</t>
  </si>
  <si>
    <t>521065313</t>
  </si>
  <si>
    <t>VSA ARTS</t>
  </si>
  <si>
    <t>20566-0001</t>
  </si>
  <si>
    <t>522098855</t>
  </si>
  <si>
    <t>DISABLED VETERANS LIFE MEMORIAL FOUNDATION</t>
  </si>
  <si>
    <t>807 MAINE AVE SW 2ND FLR</t>
  </si>
  <si>
    <t>20024-2410</t>
  </si>
  <si>
    <t>526054737</t>
  </si>
  <si>
    <t>SCOTTISH RITE FOUNDATION SOUTHERN JURISDICTION USA</t>
  </si>
  <si>
    <t>1733 16TH ST NW</t>
  </si>
  <si>
    <t>20009-3103</t>
  </si>
  <si>
    <t>Szramoski</t>
  </si>
  <si>
    <t>mszramoski@scottishrite.org</t>
  </si>
  <si>
    <t>(202) 777–3143</t>
  </si>
  <si>
    <t>132522784</t>
  </si>
  <si>
    <t>ROBERT F KENNEDY CENTER FOR JUSTICE AND HUMAN RIGHTS</t>
  </si>
  <si>
    <t>1300 19TH ST NW STE 750</t>
  </si>
  <si>
    <t>20036-1651</t>
  </si>
  <si>
    <t>Senior Manager, Philanthropy Programs</t>
  </si>
  <si>
    <t>Carol</t>
  </si>
  <si>
    <t>Wolf</t>
  </si>
  <si>
    <t>Wolf@rfkcenter.org</t>
  </si>
  <si>
    <t>(646) 553-4752</t>
  </si>
  <si>
    <t>270359097</t>
  </si>
  <si>
    <t>WORLD JUSTICE PROJECT</t>
  </si>
  <si>
    <t>740 15TH STREET NW NO 200</t>
  </si>
  <si>
    <t>20005-1019</t>
  </si>
  <si>
    <t>Billings</t>
  </si>
  <si>
    <t>rbillings@worldjusticeproject.org</t>
  </si>
  <si>
    <t>206 602 2550</t>
  </si>
  <si>
    <t>208364801</t>
  </si>
  <si>
    <t>TURKISH COALITION OF AMERICA</t>
  </si>
  <si>
    <t>1510 H ST NW STE 900</t>
  </si>
  <si>
    <t>20005-1014</t>
  </si>
  <si>
    <t>330628775</t>
  </si>
  <si>
    <t>FRANCISCAN FOUNDATION FOR THE HOLY LAND</t>
  </si>
  <si>
    <t>1400 QUINCY ST NE</t>
  </si>
  <si>
    <t>20017-3041</t>
  </si>
  <si>
    <t>PR Director</t>
  </si>
  <si>
    <t>Sontag</t>
  </si>
  <si>
    <t>rsontag@ffhl.org</t>
  </si>
  <si>
    <t>(866) 905-3787</t>
  </si>
  <si>
    <t>526082290</t>
  </si>
  <si>
    <t>CENTER FOR STUDY OF RESPONSIVE LAW</t>
  </si>
  <si>
    <t>PO BOX 19367</t>
  </si>
  <si>
    <t>20036-9367</t>
  </si>
  <si>
    <t>info@csrl.org</t>
  </si>
  <si>
    <t>202-387-8030</t>
  </si>
  <si>
    <t>direct contact could not be found</t>
  </si>
  <si>
    <t>530204693</t>
  </si>
  <si>
    <t>SEABURY RESOURCES FOR AGING</t>
  </si>
  <si>
    <t>4201 BUTTERWORTH PL NW</t>
  </si>
  <si>
    <t>20016-4538</t>
  </si>
  <si>
    <t>Chief Advancement Officer</t>
  </si>
  <si>
    <t>Kate</t>
  </si>
  <si>
    <t>Lewis</t>
  </si>
  <si>
    <t>Klewis@seaburyresources.org</t>
  </si>
  <si>
    <t>(202) 414-6312</t>
  </si>
  <si>
    <t>541512177</t>
  </si>
  <si>
    <t>CENTER FOR PUBLIC INTEGRITY</t>
  </si>
  <si>
    <t>910 17TH ST NW FL 7</t>
  </si>
  <si>
    <t>20006-2601</t>
  </si>
  <si>
    <t>Director, Development Operations</t>
  </si>
  <si>
    <t>Mina</t>
  </si>
  <si>
    <t>Devadas</t>
  </si>
  <si>
    <t>mdevadas@publicintegrity.org</t>
  </si>
  <si>
    <t>202-466-1300</t>
  </si>
  <si>
    <t>522006429</t>
  </si>
  <si>
    <t>ACHIEVE</t>
  </si>
  <si>
    <t>1400 16TH ST NW STE 510</t>
  </si>
  <si>
    <t>20036-2256</t>
  </si>
  <si>
    <t>522151557</t>
  </si>
  <si>
    <t>VITAL VOICES GLOBAL PARTNERSHIP</t>
  </si>
  <si>
    <t>1625 MASS AVE NW STE 300</t>
  </si>
  <si>
    <t>20036-2247</t>
  </si>
  <si>
    <t>Development and Engagement Coordinator</t>
  </si>
  <si>
    <t>Benjamin</t>
  </si>
  <si>
    <t>BenjaminAlbert@vitalvoices.org</t>
  </si>
  <si>
    <t>202.861.2625</t>
  </si>
  <si>
    <t>530204621</t>
  </si>
  <si>
    <t>PLANNED PARENTHOOD ASSOCIATION OF METROPOLITAN WASHINGTON D C</t>
  </si>
  <si>
    <t>1108 16TH ST NW</t>
  </si>
  <si>
    <t>20036-4802</t>
  </si>
  <si>
    <t>Cecile</t>
  </si>
  <si>
    <t>Richards</t>
  </si>
  <si>
    <t>contactus@ppfa.org</t>
  </si>
  <si>
    <t>202.347.8512</t>
  </si>
  <si>
    <t>591730478</t>
  </si>
  <si>
    <t>PUBLIC JUSTICE FOUNDATION</t>
  </si>
  <si>
    <t>1825 K ST NW STE 200</t>
  </si>
  <si>
    <t>20006-1220</t>
  </si>
  <si>
    <t>Foundation &amp; Grant Officer</t>
  </si>
  <si>
    <t>Feiler</t>
  </si>
  <si>
    <t>ifeiler@publicjustice.net</t>
  </si>
  <si>
    <t>202-797-8600</t>
  </si>
  <si>
    <t>522019014</t>
  </si>
  <si>
    <t>CAPITAL CONCERTS</t>
  </si>
  <si>
    <t>499 S CAPITOL ST SW STE 504</t>
  </si>
  <si>
    <t>20003-4032</t>
  </si>
  <si>
    <t>520846173</t>
  </si>
  <si>
    <t>WASHINGTON BALLET</t>
  </si>
  <si>
    <t>3515 WISC AVE NW</t>
  </si>
  <si>
    <t>20016-3010</t>
  </si>
  <si>
    <t>Nan</t>
  </si>
  <si>
    <t>Moring</t>
  </si>
  <si>
    <t>nmoring@washingtonballet.org</t>
  </si>
  <si>
    <t>202.362.3606</t>
  </si>
  <si>
    <t>522192070</t>
  </si>
  <si>
    <t>PARTNERSHIP PROJECT</t>
  </si>
  <si>
    <t>1615 M STREET NW</t>
  </si>
  <si>
    <t>20036-3209</t>
  </si>
  <si>
    <t>521769464</t>
  </si>
  <si>
    <t>HUMANE SOCIETY INTERNATIONAL</t>
  </si>
  <si>
    <t>Rowan</t>
  </si>
  <si>
    <t>ARowan@hsi.org</t>
  </si>
  <si>
    <t>202-452-1100</t>
  </si>
  <si>
    <t>134174402</t>
  </si>
  <si>
    <t>FOUNDATION FOR THE DEFENSE OF DEMOCRACIES</t>
  </si>
  <si>
    <t>1726 M ST NW STE 700</t>
  </si>
  <si>
    <t>20036-4572</t>
  </si>
  <si>
    <t>526046504</t>
  </si>
  <si>
    <t>WASHINGTON TENNIS &amp; EDUCATION</t>
  </si>
  <si>
    <t>16TH AND KENNEDY ST NW</t>
  </si>
  <si>
    <t>Carolyn</t>
  </si>
  <si>
    <t>Stevens</t>
  </si>
  <si>
    <t>cstevens@wtef.org</t>
  </si>
  <si>
    <t>(202) 291-9888</t>
  </si>
  <si>
    <t>521730454</t>
  </si>
  <si>
    <t>KUWAIT-AMERICA FOUNDATION</t>
  </si>
  <si>
    <t>910 17TH ST NW STE 200</t>
  </si>
  <si>
    <t>20006-2603</t>
  </si>
  <si>
    <t>135642032</t>
  </si>
  <si>
    <t>ARC OF THE UNITED STATES</t>
  </si>
  <si>
    <t>1825 K ST NW STE 1200</t>
  </si>
  <si>
    <t>20006-1266</t>
  </si>
  <si>
    <t>Senior Executive Officer, Development &amp; Marketing</t>
  </si>
  <si>
    <t>Trudy</t>
  </si>
  <si>
    <t>Jacobson</t>
  </si>
  <si>
    <t>jacobson@thearc.org</t>
  </si>
  <si>
    <t>202-534-3700</t>
  </si>
  <si>
    <t>113487339</t>
  </si>
  <si>
    <t>ALLIANCE FOR EXCELLENT EDUCATION</t>
  </si>
  <si>
    <t>1201 CONN AVE NW STE 901</t>
  </si>
  <si>
    <t>20036-2615</t>
  </si>
  <si>
    <t>Development Associate</t>
  </si>
  <si>
    <t>Staley</t>
  </si>
  <si>
    <t>sslaughter@all4ed.org</t>
  </si>
  <si>
    <t>202.828.0828</t>
  </si>
  <si>
    <t>521054102</t>
  </si>
  <si>
    <t>HOUSE OF RUTH</t>
  </si>
  <si>
    <t>5 THOMAS CIRCLE NW</t>
  </si>
  <si>
    <t>20005-4104</t>
  </si>
  <si>
    <t>TC</t>
  </si>
  <si>
    <t>Benson</t>
  </si>
  <si>
    <t>TCBenson@houseofruth.org</t>
  </si>
  <si>
    <t>202-667-7001</t>
  </si>
  <si>
    <t>450562642</t>
  </si>
  <si>
    <t>SIBLEY MEMORIAL HOSPITAL FOUNDATION</t>
  </si>
  <si>
    <t>5255 LOUGHBORO RD NW</t>
  </si>
  <si>
    <t>20016-2633</t>
  </si>
  <si>
    <t>Travis</t>
  </si>
  <si>
    <t>atravis2@jhmi.edu</t>
  </si>
  <si>
    <t>(202) 364-7696</t>
  </si>
  <si>
    <t>536017907</t>
  </si>
  <si>
    <t>NATIONAL CONGRESS OF AMERICAN INDIANS</t>
  </si>
  <si>
    <t>1516 P ST NW</t>
  </si>
  <si>
    <t>20005-1910</t>
  </si>
  <si>
    <t>External Affairs Director</t>
  </si>
  <si>
    <t>Gomez</t>
  </si>
  <si>
    <t>jgomez@ncai.org</t>
  </si>
  <si>
    <t>202-466-7767 x211</t>
  </si>
  <si>
    <t>522277575</t>
  </si>
  <si>
    <t>ACTIONAID USA</t>
  </si>
  <si>
    <t>1420 K ST NW STE 900</t>
  </si>
  <si>
    <t>20005-2507</t>
  </si>
  <si>
    <t>Brenna</t>
  </si>
  <si>
    <t>Kupferman</t>
  </si>
  <si>
    <t>brenna.kupferman@actionaid.org</t>
  </si>
  <si>
    <t>(202)-370-9919</t>
  </si>
  <si>
    <t>132943020</t>
  </si>
  <si>
    <t>PHILANTHROPY ROUNDTABLE</t>
  </si>
  <si>
    <t>1730 M ST NW STE 601</t>
  </si>
  <si>
    <t>20036-4554</t>
  </si>
  <si>
    <t>237087039</t>
  </si>
  <si>
    <t>THE NATIONAL ACADEMY OF PUBLIC ADMINISTRATION FOUNDATION</t>
  </si>
  <si>
    <t>900 7TH ST NW STE 600</t>
  </si>
  <si>
    <t>20001-3815</t>
  </si>
  <si>
    <t>133840271</t>
  </si>
  <si>
    <t>COUNCIL FOR A STRONG AMERICA</t>
  </si>
  <si>
    <t>1212 NEW YORK AVE NW STE 850</t>
  </si>
  <si>
    <t>20005-6171</t>
  </si>
  <si>
    <t>Vice President, Strategic Planning and Development</t>
  </si>
  <si>
    <t>Katherine</t>
  </si>
  <si>
    <t>Haskins</t>
  </si>
  <si>
    <t>khaskins@fightcrime.org</t>
  </si>
  <si>
    <t>202.464.7005</t>
  </si>
  <si>
    <t>521437006</t>
  </si>
  <si>
    <t>RAILS TO TRAILS CONSERVANCY</t>
  </si>
  <si>
    <t>2121 WARD CT NW FL 5</t>
  </si>
  <si>
    <t>20037-1251</t>
  </si>
  <si>
    <t>Ben</t>
  </si>
  <si>
    <t>ben@railstotrails.org</t>
  </si>
  <si>
    <t>202.331.9696</t>
  </si>
  <si>
    <t>521245499</t>
  </si>
  <si>
    <t>COALITION FOR THE HOMELESS</t>
  </si>
  <si>
    <t>1234 MASSACHUSETTES AVE</t>
  </si>
  <si>
    <t>20005-4526</t>
  </si>
  <si>
    <t>Sheila</t>
  </si>
  <si>
    <t>Baker</t>
  </si>
  <si>
    <t>SBaker@dccfh.org</t>
  </si>
  <si>
    <t>(202) 347-8870</t>
  </si>
  <si>
    <t>521808517</t>
  </si>
  <si>
    <t>THE HUMANE SOCIETY WILDLIFE LAND TR</t>
  </si>
  <si>
    <t>Administrator and Development Manager</t>
  </si>
  <si>
    <t>Lana</t>
  </si>
  <si>
    <t>Hester</t>
  </si>
  <si>
    <t>LHester@hswlt.org</t>
  </si>
  <si>
    <t>(800) 729-7283</t>
  </si>
  <si>
    <t>263525897</t>
  </si>
  <si>
    <t>AVINA AMERICAS</t>
  </si>
  <si>
    <t>1314 RI AVE NW</t>
  </si>
  <si>
    <t>20005-3710</t>
  </si>
  <si>
    <t>520812075</t>
  </si>
  <si>
    <t>POPULATION ACTION INTERNATIONAL</t>
  </si>
  <si>
    <t>1300 19TH ST NW STE 200</t>
  </si>
  <si>
    <t>20036-1624</t>
  </si>
  <si>
    <t>Humphries</t>
  </si>
  <si>
    <t>shumphries@popact.org</t>
  </si>
  <si>
    <t>(202) 557-3400</t>
  </si>
  <si>
    <t>237035089</t>
  </si>
  <si>
    <t>THE NEA FOUNDATION FOR THE IMPROVEMENT OF EDUCATION</t>
  </si>
  <si>
    <t>1201 16TH ST NW</t>
  </si>
  <si>
    <t>20036-3201</t>
  </si>
  <si>
    <t>Meg</t>
  </si>
  <si>
    <t>Porta</t>
  </si>
  <si>
    <t>mporta@nea.org</t>
  </si>
  <si>
    <t>202-822-7840</t>
  </si>
  <si>
    <t>261160987</t>
  </si>
  <si>
    <t>SEDC CHARTER SCHOOL</t>
  </si>
  <si>
    <t>3100 MARTIN LUTHER KING JR AVE SE</t>
  </si>
  <si>
    <t>20032-0000</t>
  </si>
  <si>
    <t>131624103</t>
  </si>
  <si>
    <t>YWCA OF THE USA</t>
  </si>
  <si>
    <t>SUITE 550</t>
  </si>
  <si>
    <t>Acting Chief Development Officer</t>
  </si>
  <si>
    <t>Walker</t>
  </si>
  <si>
    <t>cwalker@ywca.org</t>
  </si>
  <si>
    <t>(202) 524-5327</t>
  </si>
  <si>
    <t>521930922</t>
  </si>
  <si>
    <t>CENTER FOR STRATEGIC AND BUDGETARY ASSESSMENTS</t>
  </si>
  <si>
    <t>1667 K ST NW STE 900</t>
  </si>
  <si>
    <t>20006-1659</t>
  </si>
  <si>
    <t>526073268</t>
  </si>
  <si>
    <t>NATIONAL CHAMBER FOUNDATION</t>
  </si>
  <si>
    <t>1615 H ST NW</t>
  </si>
  <si>
    <t>20062-0001</t>
  </si>
  <si>
    <t>521681375</t>
  </si>
  <si>
    <t>BOARDSOURCE</t>
  </si>
  <si>
    <t>750 9TH ST NW STE 650</t>
  </si>
  <si>
    <t>20001-4793</t>
  </si>
  <si>
    <t>Vice President, Programs &amp; Chief Governance Officer</t>
  </si>
  <si>
    <t>Vernetta</t>
  </si>
  <si>
    <t>Vernetta.walker@boardsource.org</t>
  </si>
  <si>
    <t>(202) 349-2500</t>
  </si>
  <si>
    <t>300274709</t>
  </si>
  <si>
    <t>NATIONAL ALLIANCE FOR PUBLIC CHARTER SCHOOLS</t>
  </si>
  <si>
    <t>1101 15TH ST NW STE 1010</t>
  </si>
  <si>
    <t>Senior Director, Development and Special Projects</t>
  </si>
  <si>
    <t>Laura</t>
  </si>
  <si>
    <t>Katzin</t>
  </si>
  <si>
    <t>laura@publiccharters.org</t>
  </si>
  <si>
    <t>202.289.2700</t>
  </si>
  <si>
    <t>900055128</t>
  </si>
  <si>
    <t>TRANSPORTATION ENERGY PARTNERSHIP</t>
  </si>
  <si>
    <t>1735 20TH ST NW</t>
  </si>
  <si>
    <t>20009-1104</t>
  </si>
  <si>
    <t>203690821</t>
  </si>
  <si>
    <t>RIGHTS AND RESOURCES INSTITUTE</t>
  </si>
  <si>
    <t>1238 WISCONSIN AVE NW STE 300</t>
  </si>
  <si>
    <t>20007-3249</t>
  </si>
  <si>
    <t>520794368</t>
  </si>
  <si>
    <t>AAA FOUNDATION FOR TRAFFIC SAFETY</t>
  </si>
  <si>
    <t>607 14TH ST NW</t>
  </si>
  <si>
    <t>WASHINQTON</t>
  </si>
  <si>
    <t>20005-2000</t>
  </si>
  <si>
    <t>J. Peter</t>
  </si>
  <si>
    <t>Kissinger</t>
  </si>
  <si>
    <t>pkissinger@aaafoundation.org</t>
  </si>
  <si>
    <t>202-638-5944 x 2</t>
  </si>
  <si>
    <t>270038938</t>
  </si>
  <si>
    <t>SMART GROWTH AMERICA</t>
  </si>
  <si>
    <t>1707 L ST NW STE 1050</t>
  </si>
  <si>
    <t>20036-4210</t>
  </si>
  <si>
    <t>Director of Communications</t>
  </si>
  <si>
    <t>Alex</t>
  </si>
  <si>
    <t>Dodds</t>
  </si>
  <si>
    <t>adodds@smartgrowthamerica.org</t>
  </si>
  <si>
    <t>202-207-3355</t>
  </si>
  <si>
    <t>135655952</t>
  </si>
  <si>
    <t>ANIMAL WELFARE INSTITUTE</t>
  </si>
  <si>
    <t>900 PENN AVE SE</t>
  </si>
  <si>
    <t>20003-2140</t>
  </si>
  <si>
    <t>Millward</t>
  </si>
  <si>
    <t>susan@awionline.org</t>
  </si>
  <si>
    <t>(202) 446-2123</t>
  </si>
  <si>
    <t>522034127</t>
  </si>
  <si>
    <t>HEART OF AMERICA FOUNDATION</t>
  </si>
  <si>
    <t>401 F ST NW STE 325</t>
  </si>
  <si>
    <t>20001-2628</t>
  </si>
  <si>
    <t>VICE PRESIDENT, EXTERNAL RESOURCES</t>
  </si>
  <si>
    <t>Wendy</t>
  </si>
  <si>
    <t>Cumberland</t>
  </si>
  <si>
    <t>wendy@heartofamerica.org</t>
  </si>
  <si>
    <t>202.347.6278</t>
  </si>
  <si>
    <t>530232732</t>
  </si>
  <si>
    <t>INSTITUTE OF TRANSPORTATION ENGINEERS</t>
  </si>
  <si>
    <t>1627 I STREETNWSUITE 600</t>
  </si>
  <si>
    <t>521942551</t>
  </si>
  <si>
    <t>LA CLINICA DEL PUEBLO</t>
  </si>
  <si>
    <t>2831 15TH ST NW</t>
  </si>
  <si>
    <t>20009-4607</t>
  </si>
  <si>
    <t>Rachel</t>
  </si>
  <si>
    <t>Ugarte</t>
  </si>
  <si>
    <t>rugarte@lcdp.org</t>
  </si>
  <si>
    <t>(202) 462-4788</t>
  </si>
  <si>
    <t>237200739</t>
  </si>
  <si>
    <t>FOOD RESEARCH &amp; ACTION CENTER</t>
  </si>
  <si>
    <t>1875 CONN AVE NW STE 540</t>
  </si>
  <si>
    <t>Youngblood</t>
  </si>
  <si>
    <t>pyoungblood@frac.org</t>
  </si>
  <si>
    <t>202 986-2200</t>
  </si>
  <si>
    <t>412220810</t>
  </si>
  <si>
    <t>FATHER FLANAGANS BOYS HOME</t>
  </si>
  <si>
    <t>4801 SARGENT RD NE</t>
  </si>
  <si>
    <t>20017-2841</t>
  </si>
  <si>
    <t>Anne</t>
  </si>
  <si>
    <t>Derby</t>
  </si>
  <si>
    <t>anne.derby@boystown.org</t>
  </si>
  <si>
    <t>202-650-6313</t>
  </si>
  <si>
    <t>521271179</t>
  </si>
  <si>
    <t>BUSINESS EXECUTIVES FOR NATIONAL SECURITY</t>
  </si>
  <si>
    <t>1030 15TH STREET NW STE 200 E</t>
  </si>
  <si>
    <t>Vice President for Member Engagement and Strategic Membership</t>
  </si>
  <si>
    <t>Debbie</t>
  </si>
  <si>
    <t>McCarthy</t>
  </si>
  <si>
    <t>dmccarthy@bens.org</t>
  </si>
  <si>
    <t>(202) 296-2125</t>
  </si>
  <si>
    <t>521052547</t>
  </si>
  <si>
    <t>HORTICULTURAL RESEARCH INSTITUTE ENDOWMENT FUND</t>
  </si>
  <si>
    <t>1200 G ST NW STE 800</t>
  </si>
  <si>
    <t>20005-6705</t>
  </si>
  <si>
    <t>Geary</t>
  </si>
  <si>
    <t>michaelg@americanhort.org</t>
  </si>
  <si>
    <t>202.789.8110</t>
  </si>
  <si>
    <t>522344655</t>
  </si>
  <si>
    <t>RAILROAD RESEARCH FOUNDATION</t>
  </si>
  <si>
    <t>425 3RD ST SW STE 910</t>
  </si>
  <si>
    <t>20024-3229</t>
  </si>
  <si>
    <t>530219724</t>
  </si>
  <si>
    <t>WASHINGTON HUMANE SOCIETY THE SOCIETY FOR THE PREVENTION OF</t>
  </si>
  <si>
    <t>4590 MACARTHUR BLVD</t>
  </si>
  <si>
    <t>20007-4226</t>
  </si>
  <si>
    <t>Giacoppo</t>
  </si>
  <si>
    <t>sgiacoppo@washhumane.org</t>
  </si>
  <si>
    <t>(202) 723-5730</t>
  </si>
  <si>
    <t>521069070</t>
  </si>
  <si>
    <t>JOINT CENTER FOR POLITICAL AND ECONOMIC STUDIES</t>
  </si>
  <si>
    <t>805 15TH ST NW LBBY 2</t>
  </si>
  <si>
    <t>20005-2292</t>
  </si>
  <si>
    <t>PRESIDENT AND CEO</t>
  </si>
  <si>
    <t>RALPH</t>
  </si>
  <si>
    <t>EVERETT</t>
  </si>
  <si>
    <t>info@jointcenter.org</t>
  </si>
  <si>
    <t>202-789-3500</t>
  </si>
  <si>
    <t>431962561</t>
  </si>
  <si>
    <t>INSTITUTE FOR WAR &amp; PEACE REPORTING US</t>
  </si>
  <si>
    <t>729 15TH ST NW STE 500</t>
  </si>
  <si>
    <t>20005-2129</t>
  </si>
  <si>
    <t>521818273</t>
  </si>
  <si>
    <t>THE INTERNATIONAL CENTER FOR NOT-FOR-PROFIT LAW</t>
  </si>
  <si>
    <t>NOT FOR PROFIT LAW</t>
  </si>
  <si>
    <t>521640938</t>
  </si>
  <si>
    <t>HENRY L STIMSON CENTER</t>
  </si>
  <si>
    <t>1111 19TH ST NW FL 12</t>
  </si>
  <si>
    <t>20036-3654</t>
  </si>
  <si>
    <t>382346425</t>
  </si>
  <si>
    <t>YOUNG MARINES</t>
  </si>
  <si>
    <t>PO BOX 70735</t>
  </si>
  <si>
    <t>20024-0735</t>
  </si>
  <si>
    <t>National Executive Director</t>
  </si>
  <si>
    <t>Kessler</t>
  </si>
  <si>
    <t>Mike.Kessler@youngmarines.com</t>
  </si>
  <si>
    <t>800-717-0060</t>
  </si>
  <si>
    <t>237124915</t>
  </si>
  <si>
    <t>NATIONAL PARTNERSHIP FOR WOMEN AND FAMILIES</t>
  </si>
  <si>
    <t>1875 CONN AVE NW 650</t>
  </si>
  <si>
    <t>20009-5731</t>
  </si>
  <si>
    <t>Senior Development Associate</t>
  </si>
  <si>
    <t>Karen</t>
  </si>
  <si>
    <t>Pesapane</t>
  </si>
  <si>
    <t>kpesapane@nationalpartnership.org</t>
  </si>
  <si>
    <t>(202) 986-2600</t>
  </si>
  <si>
    <t>521358631</t>
  </si>
  <si>
    <t>INTERNATIONAL FRANCHISE ASSOC EDUCATIONAL FOUNDATION</t>
  </si>
  <si>
    <t>1501 K ST NW STE 350</t>
  </si>
  <si>
    <t>20005-1412</t>
  </si>
  <si>
    <t>204464054</t>
  </si>
  <si>
    <t>WASHINGTON YU YING PUBLIC CHARTER SCHOOL</t>
  </si>
  <si>
    <t>220 TAYLOR ST NE</t>
  </si>
  <si>
    <t>20017-1009</t>
  </si>
  <si>
    <t>Chief Operating Officer</t>
  </si>
  <si>
    <t>Cheri</t>
  </si>
  <si>
    <t>Harrington</t>
  </si>
  <si>
    <t>Cheri@washingtonyuying.org</t>
  </si>
  <si>
    <t>202-635-1950</t>
  </si>
  <si>
    <t>521902649</t>
  </si>
  <si>
    <t>THE CENTER FOR EMPLOYMENT SECURITY EDUCATION AND RESEARCH</t>
  </si>
  <si>
    <t>444 N CAPITOL ST NW STE 142</t>
  </si>
  <si>
    <t>20001-1582</t>
  </si>
  <si>
    <t>526039144</t>
  </si>
  <si>
    <t>KIRKPATRICK JORDAN FOUNDATION</t>
  </si>
  <si>
    <t>1319 18TH STREET NW</t>
  </si>
  <si>
    <t>20036-1894</t>
  </si>
  <si>
    <t>331112770</t>
  </si>
  <si>
    <t>COLLABORATIVE LABELING AND APPLIANCE STANDARDS PROGRAM</t>
  </si>
  <si>
    <t>529 14TH ST NW STE 600</t>
  </si>
  <si>
    <t>20045-1802</t>
  </si>
  <si>
    <t>522111508</t>
  </si>
  <si>
    <t>ALLIANCE FOR SCHOOL CHOICE</t>
  </si>
  <si>
    <t>1660 L ST NW STE 1000</t>
  </si>
  <si>
    <t>20036-5634</t>
  </si>
  <si>
    <t>National Director of Development</t>
  </si>
  <si>
    <t>Zack</t>
  </si>
  <si>
    <t>Dawes</t>
  </si>
  <si>
    <t>ZDawes@federationforchildren.org</t>
  </si>
  <si>
    <t>202-280-1990</t>
  </si>
  <si>
    <t>530204608</t>
  </si>
  <si>
    <t>MIDDLE EAST INSTITUTE</t>
  </si>
  <si>
    <t>1761 N ST NW</t>
  </si>
  <si>
    <t>20036-2801</t>
  </si>
  <si>
    <t>Kevin</t>
  </si>
  <si>
    <t>Cowl</t>
  </si>
  <si>
    <t>kcowl@mei.edu</t>
  </si>
  <si>
    <t>202-785-1141, extension 213</t>
  </si>
  <si>
    <t>953580834</t>
  </si>
  <si>
    <t>CONCERNED WOMEN FOR AMERICA</t>
  </si>
  <si>
    <t>1015 15TH ST NW STE 1100</t>
  </si>
  <si>
    <t>20005-2619</t>
  </si>
  <si>
    <t>Communications Director</t>
  </si>
  <si>
    <t>Alison</t>
  </si>
  <si>
    <t>ahoward@cwfa.org</t>
  </si>
  <si>
    <t>202-266-4816</t>
  </si>
  <si>
    <t>311713618</t>
  </si>
  <si>
    <t>VENTURE PHILANTHROPY PARTNERS</t>
  </si>
  <si>
    <t>1201 15TH ST NW</t>
  </si>
  <si>
    <t>521379661</t>
  </si>
  <si>
    <t>LEAGUE OF CONSERVATION VOTERS EDUCATION FUND</t>
  </si>
  <si>
    <t>1920 L ST NW STE 800</t>
  </si>
  <si>
    <t>20036-5045</t>
  </si>
  <si>
    <t>Stacey</t>
  </si>
  <si>
    <t>Folsom</t>
  </si>
  <si>
    <t>Stacey_Folsom@lcv.org</t>
  </si>
  <si>
    <t>202-785-8683</t>
  </si>
  <si>
    <t>521138207</t>
  </si>
  <si>
    <t>BREAD FOR THE CITY</t>
  </si>
  <si>
    <t>1525 7TH ST NW</t>
  </si>
  <si>
    <t>20001-3201</t>
  </si>
  <si>
    <t>Kristin</t>
  </si>
  <si>
    <t>Foti</t>
  </si>
  <si>
    <t>KFoti@BreadfortheCity.org</t>
  </si>
  <si>
    <t>202-386-7613</t>
  </si>
  <si>
    <t>201560679</t>
  </si>
  <si>
    <t>MY OWN PLACE</t>
  </si>
  <si>
    <t>817 VARNUM ST NE</t>
  </si>
  <si>
    <t>20017-2144</t>
  </si>
  <si>
    <t>043484459</t>
  </si>
  <si>
    <t>TURKISH CULTURAL FOUNDATION</t>
  </si>
  <si>
    <t>Guler</t>
  </si>
  <si>
    <t>Koknar</t>
  </si>
  <si>
    <t>director@turkishculture.org</t>
  </si>
  <si>
    <t>202-370-1399</t>
  </si>
  <si>
    <t>136161455</t>
  </si>
  <si>
    <t>AMER SOC OF THE MOST VENERABLE ORD OF HOSP OF ST JOHN OF JERUSALEM</t>
  </si>
  <si>
    <t>1875 K ST NW STE 603</t>
  </si>
  <si>
    <t>20006-1251</t>
  </si>
  <si>
    <t>Ruth Ann</t>
  </si>
  <si>
    <t>Skaff</t>
  </si>
  <si>
    <t>raskaff@saintjohn.org</t>
  </si>
  <si>
    <t>202-510-9691</t>
  </si>
  <si>
    <t>521300485</t>
  </si>
  <si>
    <t>ASAE FOUNDATION</t>
  </si>
  <si>
    <t>1575 I STREET NW</t>
  </si>
  <si>
    <t>20005-1105</t>
  </si>
  <si>
    <t>Stephen</t>
  </si>
  <si>
    <t>Peeler</t>
  </si>
  <si>
    <t>speeler@asaecenter.org</t>
  </si>
  <si>
    <t>202 626-2843</t>
  </si>
  <si>
    <t>530214281</t>
  </si>
  <si>
    <t>BLINDED VETERANS ASSOCIATION</t>
  </si>
  <si>
    <t>477 H ST NW</t>
  </si>
  <si>
    <t>20001-2617</t>
  </si>
  <si>
    <t>Swaim</t>
  </si>
  <si>
    <t>cswaim@bva.org</t>
  </si>
  <si>
    <t>202-371-8880</t>
  </si>
  <si>
    <t>521101422</t>
  </si>
  <si>
    <t>POLICE EXECUTIVE RESEARCH FORUM</t>
  </si>
  <si>
    <t>1120 CONN AVE NW STE 930</t>
  </si>
  <si>
    <t>20036-3951</t>
  </si>
  <si>
    <t>203903427</t>
  </si>
  <si>
    <t>SUNLIGHT FOUNDATION</t>
  </si>
  <si>
    <t>1818 N ST NW STE 300</t>
  </si>
  <si>
    <t>20036-2428</t>
  </si>
  <si>
    <t>Development Assistant</t>
  </si>
  <si>
    <t>Lindsey</t>
  </si>
  <si>
    <t>Jacks</t>
  </si>
  <si>
    <t>ljacks@sunlightfoundation.com</t>
  </si>
  <si>
    <t>202-742-1520</t>
  </si>
  <si>
    <t>521996467</t>
  </si>
  <si>
    <t>AMERICANS FOR THE ARTS</t>
  </si>
  <si>
    <t>1000 VERMONT AVE NW STE 600</t>
  </si>
  <si>
    <t>20005-4940</t>
  </si>
  <si>
    <t>Gibney</t>
  </si>
  <si>
    <t>kgibney@artsusa.org</t>
  </si>
  <si>
    <t>202.371.2830</t>
  </si>
  <si>
    <t>530196609</t>
  </si>
  <si>
    <t>COLUMBIA LIGHTHOUSE FOR THE BLIND</t>
  </si>
  <si>
    <t>1825 K ST NW STE 1103</t>
  </si>
  <si>
    <t>20006-1261</t>
  </si>
  <si>
    <t>Manager of Fundraising Events &amp; Operations</t>
  </si>
  <si>
    <t>Marika</t>
  </si>
  <si>
    <t>McCall</t>
  </si>
  <si>
    <t>mmccall@clb.org</t>
  </si>
  <si>
    <t>202-454-6406</t>
  </si>
  <si>
    <t>363350532</t>
  </si>
  <si>
    <t>NATIONAL OSTEOPOROSIS FOUNDATION</t>
  </si>
  <si>
    <t>1150 17TH ST NW STE 850</t>
  </si>
  <si>
    <t>20036-4641</t>
  </si>
  <si>
    <t>Erikson</t>
  </si>
  <si>
    <t>debra.erickson@nof.org</t>
  </si>
  <si>
    <t>(800) 231-4222</t>
  </si>
  <si>
    <t>521942257</t>
  </si>
  <si>
    <t>SEE FOREVER FOUNDATION</t>
  </si>
  <si>
    <t>1851 9TH ST NW</t>
  </si>
  <si>
    <t>20001-4133</t>
  </si>
  <si>
    <t>Lamb</t>
  </si>
  <si>
    <t>llamb@seeforever.org</t>
  </si>
  <si>
    <t>(202) 797-8250</t>
  </si>
  <si>
    <t>753070368</t>
  </si>
  <si>
    <t>ARMED FORCES FOUNDATION</t>
  </si>
  <si>
    <t>16 N CAROLINA AVE SE</t>
  </si>
  <si>
    <t>20003-2617</t>
  </si>
  <si>
    <t>Megan</t>
  </si>
  <si>
    <t>Ledonne</t>
  </si>
  <si>
    <t>mledonne@armedforcesfoundation.org</t>
  </si>
  <si>
    <t>(202)547-4713</t>
  </si>
  <si>
    <t>311705384</t>
  </si>
  <si>
    <t>DUKE ELLINGTON SCHOOL OF THE ARTS PROJECT</t>
  </si>
  <si>
    <t>3500 R STREEET NW 100</t>
  </si>
  <si>
    <t>208084828</t>
  </si>
  <si>
    <t>CENTER FOR NEW AMERICAN SECURITY</t>
  </si>
  <si>
    <t>1301 PENN AVE NW STE 403</t>
  </si>
  <si>
    <t>20004-1733</t>
  </si>
  <si>
    <t>Director of External Relations</t>
  </si>
  <si>
    <t>Urwitz</t>
  </si>
  <si>
    <t>nurwitz@cnas.org</t>
  </si>
  <si>
    <t>202-457-9409</t>
  </si>
  <si>
    <t>521782065</t>
  </si>
  <si>
    <t>NATIONAL BREAST CANCER COALITION FUND</t>
  </si>
  <si>
    <t>PO BOX 66373</t>
  </si>
  <si>
    <t>20035-6373</t>
  </si>
  <si>
    <t>Jill</t>
  </si>
  <si>
    <t>Hirsch</t>
  </si>
  <si>
    <t>JHirsch@BreastCancerDeadline2020.org</t>
  </si>
  <si>
    <t>202.973.0594</t>
  </si>
  <si>
    <t>800030060</t>
  </si>
  <si>
    <t>SUSTAINABLE FORESTRY INITIATIVE</t>
  </si>
  <si>
    <t>900 17TH STREET NW</t>
  </si>
  <si>
    <t>20006-2501</t>
  </si>
  <si>
    <t>522148600</t>
  </si>
  <si>
    <t>ENVIRONMENTAL WORKING GROUP</t>
  </si>
  <si>
    <t>1436 U ST NW STE 100</t>
  </si>
  <si>
    <t>20009-3987</t>
  </si>
  <si>
    <t>Jocelyn</t>
  </si>
  <si>
    <t>Lyle</t>
  </si>
  <si>
    <t>jocelyn@ewg.org</t>
  </si>
  <si>
    <t>202-667-6982</t>
  </si>
  <si>
    <t>203568840</t>
  </si>
  <si>
    <t>UNITED CEREBRAL PALSY</t>
  </si>
  <si>
    <t>1825 K ST NW STE 600</t>
  </si>
  <si>
    <t>20006-1202</t>
  </si>
  <si>
    <t>Ruben</t>
  </si>
  <si>
    <t>Gonzales</t>
  </si>
  <si>
    <t>rgonzales@ucp.org</t>
  </si>
  <si>
    <t>202.776.0406</t>
  </si>
  <si>
    <t>526059096</t>
  </si>
  <si>
    <t>DACOR BACON HOUSE FOUNDATION</t>
  </si>
  <si>
    <t>1801 F STREET NW</t>
  </si>
  <si>
    <t>20006-4406</t>
  </si>
  <si>
    <t>331036146</t>
  </si>
  <si>
    <t>SIXTH &amp; I SYNAGOGUE</t>
  </si>
  <si>
    <t>600 I ST NW</t>
  </si>
  <si>
    <t>20001-3736</t>
  </si>
  <si>
    <t>Levey</t>
  </si>
  <si>
    <t>rlevey@sixthandi.org</t>
  </si>
  <si>
    <t>202.266.4872</t>
  </si>
  <si>
    <t>521433877</t>
  </si>
  <si>
    <t>NATIONAL CHERRY BLOSSOM FESTIVAL COMMITTEE</t>
  </si>
  <si>
    <t>1250 H ST NW STE 1000</t>
  </si>
  <si>
    <t>20005-5942</t>
  </si>
  <si>
    <t>Todd</t>
  </si>
  <si>
    <t>Emmett</t>
  </si>
  <si>
    <t>todd@downtowndc.org</t>
  </si>
  <si>
    <t>202.661.7565</t>
  </si>
  <si>
    <t>522101165</t>
  </si>
  <si>
    <t>CITY FIRST ENTERPRISES</t>
  </si>
  <si>
    <t>1436 U ST NW STE 404</t>
  </si>
  <si>
    <t>20009-3998</t>
  </si>
  <si>
    <t>Executive Vice President – Programs</t>
  </si>
  <si>
    <t>Gans</t>
  </si>
  <si>
    <t>lisa@cfenterprises.org</t>
  </si>
  <si>
    <t>202.745.4490</t>
  </si>
  <si>
    <t>521809680</t>
  </si>
  <si>
    <t>HISPANIC COLLEGE FUND</t>
  </si>
  <si>
    <t>PO BOX 34636</t>
  </si>
  <si>
    <t>20043-4636</t>
  </si>
  <si>
    <t>Manager, Strategic Partnerships</t>
  </si>
  <si>
    <t>Angie</t>
  </si>
  <si>
    <t>Molina</t>
  </si>
  <si>
    <t>hcf-info@hispanicfund.org</t>
  </si>
  <si>
    <t>(310) 975-3700</t>
  </si>
  <si>
    <t>362249886</t>
  </si>
  <si>
    <t>NATIONAL RESIDENT MATCHING PROGRAM</t>
  </si>
  <si>
    <t>2450 N ST NW</t>
  </si>
  <si>
    <t>20037-3052</t>
  </si>
  <si>
    <t>562633160</t>
  </si>
  <si>
    <t>NEW ORGANIZING INSTITUTE EDUCATION FUND</t>
  </si>
  <si>
    <t>1666 CONN AVE NW STE 50</t>
  </si>
  <si>
    <t>Piel</t>
  </si>
  <si>
    <t>mpiel@neworganizing.com</t>
  </si>
  <si>
    <t>(571) 206-1502</t>
  </si>
  <si>
    <t>131641066</t>
  </si>
  <si>
    <t>CHILD WELFARE LEAGUE OF AMERICA</t>
  </si>
  <si>
    <t>1726 M ST NW STE 500</t>
  </si>
  <si>
    <t>20036-4522</t>
  </si>
  <si>
    <t>Dunn</t>
  </si>
  <si>
    <t>KDunn@cwla.org</t>
  </si>
  <si>
    <t>202/688-4157</t>
  </si>
  <si>
    <t>263698436</t>
  </si>
  <si>
    <t>EXPERIENCE IN ACTION</t>
  </si>
  <si>
    <t>601 E ST NW</t>
  </si>
  <si>
    <t>521996408</t>
  </si>
  <si>
    <t>HOSPITALITY HIGH SCHOOL WASHINGTON DC A PUBLIC CHARTER SCHOOL</t>
  </si>
  <si>
    <t>4301 13TH STREET NW 3RD FL</t>
  </si>
  <si>
    <t>20011-5629</t>
  </si>
  <si>
    <t>Cucciardo</t>
  </si>
  <si>
    <t>mcucciardo@hospitalityhigh.org</t>
  </si>
  <si>
    <t>(202) 737-4150</t>
  </si>
  <si>
    <t>521362103</t>
  </si>
  <si>
    <t>CHRIST HOUSE</t>
  </si>
  <si>
    <t>1717 COLUMBIA RD NW</t>
  </si>
  <si>
    <t>20009-2803</t>
  </si>
  <si>
    <t>Katz</t>
  </si>
  <si>
    <t>sarah.katz@christhouse.org</t>
  </si>
  <si>
    <t>(202) 328-1100</t>
  </si>
  <si>
    <t>521358405</t>
  </si>
  <si>
    <t>NATIONAL IRONWORKERS AND EMPLOYERS APPRENTICESHIP TRAINING AND JOURNE</t>
  </si>
  <si>
    <t>1750 NEW YORK AVENUE NW</t>
  </si>
  <si>
    <t>20006-5301</t>
  </si>
  <si>
    <t>521136132</t>
  </si>
  <si>
    <t>STUDIO THEATRE</t>
  </si>
  <si>
    <t>1501 14TH ST NW</t>
  </si>
  <si>
    <t>20005-3706</t>
  </si>
  <si>
    <t>Stephanie</t>
  </si>
  <si>
    <t>srichards@studiotheatre.org</t>
  </si>
  <si>
    <t>202.232.7267</t>
  </si>
  <si>
    <t>521653537</t>
  </si>
  <si>
    <t>DISTRICT OF COLUMBIA CANCER CONSORTIUM</t>
  </si>
  <si>
    <t>5225 WISCONSIN AVE NW</t>
  </si>
  <si>
    <t>20015-2014</t>
  </si>
  <si>
    <t>Corporate Development and Strategic Partnerships</t>
  </si>
  <si>
    <t>Michele</t>
  </si>
  <si>
    <t>Coleman</t>
  </si>
  <si>
    <t>mcoleman@dccanceranswers.org</t>
  </si>
  <si>
    <t>(202) 821-1933</t>
  </si>
  <si>
    <t>237420660</t>
  </si>
  <si>
    <t>FRIENDS OF THE EARTH</t>
  </si>
  <si>
    <t>1100 15TH ST NW STE 1100</t>
  </si>
  <si>
    <t>20005-1724</t>
  </si>
  <si>
    <t>Director of foundation relations</t>
  </si>
  <si>
    <t>Sawyer</t>
  </si>
  <si>
    <t>KSawyer@foe.org</t>
  </si>
  <si>
    <t>202-783-7400</t>
  </si>
  <si>
    <t>911821040</t>
  </si>
  <si>
    <t>LUNG CANCER ALLIANCE</t>
  </si>
  <si>
    <t>888 16TH ST NW STE 150</t>
  </si>
  <si>
    <t>20006-4120</t>
  </si>
  <si>
    <t>Nisa</t>
  </si>
  <si>
    <t>Natrakul</t>
  </si>
  <si>
    <t>nnatrakul@lungcanceralliance.org</t>
  </si>
  <si>
    <t>202-742-1893</t>
  </si>
  <si>
    <t>521104476</t>
  </si>
  <si>
    <t>US NAVY MEMORIAL FOUNDATION</t>
  </si>
  <si>
    <t>701 PENN AVE NW STE 123</t>
  </si>
  <si>
    <t>20004-2688</t>
  </si>
  <si>
    <t>Eric</t>
  </si>
  <si>
    <t>Johnson</t>
  </si>
  <si>
    <t>ejohnson@navymemorial.org</t>
  </si>
  <si>
    <t>(202) 380-0741</t>
  </si>
  <si>
    <t>450931286</t>
  </si>
  <si>
    <t>PAY PAL CHARITABLE GIVING FUND</t>
  </si>
  <si>
    <t>1250 I ST NW STE 1200</t>
  </si>
  <si>
    <t>20005-3935</t>
  </si>
  <si>
    <t>260535276</t>
  </si>
  <si>
    <t>THIRD WAY INSTITUTE</t>
  </si>
  <si>
    <t>1025 CONNECTICUT AVE NW STE 501</t>
  </si>
  <si>
    <t>20036-5422</t>
  </si>
  <si>
    <t>521190398</t>
  </si>
  <si>
    <t>EDUCATION &amp; RESEARCH FUND OF EMPLOYEE BENEFIT RESEARCH INSTITUT</t>
  </si>
  <si>
    <t>1100 13TH ST NW STE 878</t>
  </si>
  <si>
    <t>20005-4058</t>
  </si>
  <si>
    <t>131624208</t>
  </si>
  <si>
    <t>PHELPS STOKES FUND</t>
  </si>
  <si>
    <t>1400 I ST NW STE 750</t>
  </si>
  <si>
    <t>20005-6521</t>
  </si>
  <si>
    <t>237204383</t>
  </si>
  <si>
    <t>STUDENTS OF GEORGETOWN</t>
  </si>
  <si>
    <t>RM 1324 LEAVEY CENTER</t>
  </si>
  <si>
    <t>20057-0001</t>
  </si>
  <si>
    <t>520980905</t>
  </si>
  <si>
    <t>SPANISH CATHOLIC CENTER</t>
  </si>
  <si>
    <t>924 G ST NW</t>
  </si>
  <si>
    <t>20001-4532</t>
  </si>
  <si>
    <t>Shannon</t>
  </si>
  <si>
    <t>Carol.Shannon@CatholicCharitiesDC.org</t>
  </si>
  <si>
    <t>202.772.4395</t>
  </si>
  <si>
    <t>521905358</t>
  </si>
  <si>
    <t>CENTER FOR DEMOCRACY AND TECHNOLOGY</t>
  </si>
  <si>
    <t>1634 I ST NW STE 1100</t>
  </si>
  <si>
    <t>20006-4011</t>
  </si>
  <si>
    <t>Dellon</t>
  </si>
  <si>
    <t>rdellon@cdt.org</t>
  </si>
  <si>
    <t>202.637.9800</t>
  </si>
  <si>
    <t>530237585</t>
  </si>
  <si>
    <t>NATIONAL MULTIPLE SCLEROSIS SOCIETY</t>
  </si>
  <si>
    <t>1800 M ST NW STE 750S</t>
  </si>
  <si>
    <t>20036-5808</t>
  </si>
  <si>
    <t>Bullard-Welch</t>
  </si>
  <si>
    <t>Erin.Bullard-Welch@nmss.org</t>
  </si>
  <si>
    <t>202-296-5363</t>
  </si>
  <si>
    <t>521936144</t>
  </si>
  <si>
    <t>YOUTH IMPROVING NON-PROFITS FOR CHILDREN</t>
  </si>
  <si>
    <t>2801 M ST NW</t>
  </si>
  <si>
    <t>20007-3712</t>
  </si>
  <si>
    <t>Ariel</t>
  </si>
  <si>
    <t>Ingber</t>
  </si>
  <si>
    <t>AIngber@youthinc-usa.org</t>
  </si>
  <si>
    <t>202.338.6100</t>
  </si>
  <si>
    <t>521920603</t>
  </si>
  <si>
    <t>HOME CARE PARTNERS</t>
  </si>
  <si>
    <t>1234 MASSACHUSETTS AVE NW</t>
  </si>
  <si>
    <t>Marla</t>
  </si>
  <si>
    <t>Lahat</t>
  </si>
  <si>
    <t>mlahat@homecarepartners.org</t>
  </si>
  <si>
    <t>202-638-2382</t>
  </si>
  <si>
    <t>521351785</t>
  </si>
  <si>
    <t>COMPETITIVE ENTERPRISE INSTITUTE</t>
  </si>
  <si>
    <t>1899 L ST NW FL 12</t>
  </si>
  <si>
    <t>20036-3860</t>
  </si>
  <si>
    <t>Director of External Affairs</t>
  </si>
  <si>
    <t>Al</t>
  </si>
  <si>
    <t>Canata</t>
  </si>
  <si>
    <t>Al.Canata@cei.org</t>
  </si>
  <si>
    <t>202-331-1010</t>
  </si>
  <si>
    <t>520847610</t>
  </si>
  <si>
    <t>CONSORTIUM OF UNIVERSITIES OF THE WASHINGTON METROPOLITAN AREA</t>
  </si>
  <si>
    <t>1025 CONN AVE NW STE 705</t>
  </si>
  <si>
    <t>20036-5447</t>
  </si>
  <si>
    <t>520901863</t>
  </si>
  <si>
    <t>ENVIRONMENTAL LAW INSTITUTE</t>
  </si>
  <si>
    <t>2000 L ST NW STE 620</t>
  </si>
  <si>
    <t>20036-4919</t>
  </si>
  <si>
    <t>Martin</t>
  </si>
  <si>
    <t>Dickinson</t>
  </si>
  <si>
    <t>dickinson@eli.org</t>
  </si>
  <si>
    <t>(202) 939-3839</t>
  </si>
  <si>
    <t>530196644</t>
  </si>
  <si>
    <t>ALEXANDER GRAHAM BELL ASSOCIATION FOR THE DEAF AND HARD OF HEARING</t>
  </si>
  <si>
    <t>3417 VOLTA PL NW</t>
  </si>
  <si>
    <t>20007-2737</t>
  </si>
  <si>
    <t>Manager of Association and Donor Relations</t>
  </si>
  <si>
    <t>Yates</t>
  </si>
  <si>
    <t>gyates@agbell.org</t>
  </si>
  <si>
    <t>202/337-5220</t>
  </si>
  <si>
    <t>113803281</t>
  </si>
  <si>
    <t>AFRICAN CENTER FOR ECONOMIC TRANSFORMATION</t>
  </si>
  <si>
    <t>1776 K STREET NW SUITE 200</t>
  </si>
  <si>
    <t>20006-2304</t>
  </si>
  <si>
    <t>521198450</t>
  </si>
  <si>
    <t>THE INSTITUTE FOR EDUCATIONAL LEADERSHIP</t>
  </si>
  <si>
    <t>4455 CONNECTICUT AVE NW ST 310</t>
  </si>
  <si>
    <t>20008-0000</t>
  </si>
  <si>
    <t>Manager, Operations and Partnerships</t>
  </si>
  <si>
    <t>Maame</t>
  </si>
  <si>
    <t>Appiah</t>
  </si>
  <si>
    <t>appiahm@iel.org</t>
  </si>
  <si>
    <t>202-822-8405</t>
  </si>
  <si>
    <t>521664576</t>
  </si>
  <si>
    <t>HOUSE OF THE TEMPLE HISTORIC PRESERVATION FOUNDATION</t>
  </si>
  <si>
    <t>133537709</t>
  </si>
  <si>
    <t>COVENANT HOUSE WASHINGTON DC</t>
  </si>
  <si>
    <t>2001 MS AVE SE</t>
  </si>
  <si>
    <t>20020-6116</t>
  </si>
  <si>
    <t>Director of Human Resources &amp; Administration</t>
  </si>
  <si>
    <t>Grogan-Jones</t>
  </si>
  <si>
    <t>jgroganjones@chdc.org</t>
  </si>
  <si>
    <t>202-610-9604</t>
  </si>
  <si>
    <t>521254489</t>
  </si>
  <si>
    <t>FCNL EDUCATION FUND</t>
  </si>
  <si>
    <t>245 2ND ST NE</t>
  </si>
  <si>
    <t>20002-5761</t>
  </si>
  <si>
    <t>Forrest</t>
  </si>
  <si>
    <t>lisa@fcnl.org</t>
  </si>
  <si>
    <t>800-630-1330 x 2503</t>
  </si>
  <si>
    <t>530196544</t>
  </si>
  <si>
    <t>AMERICAN FORESTS</t>
  </si>
  <si>
    <t>734 15TH ST NW STE 800</t>
  </si>
  <si>
    <t>20005-1016</t>
  </si>
  <si>
    <t>President &amp; Chief Executive Officer</t>
  </si>
  <si>
    <t>Steen</t>
  </si>
  <si>
    <t>scottsteen@americanforests.org</t>
  </si>
  <si>
    <t>202-737-1944</t>
  </si>
  <si>
    <t>237026895</t>
  </si>
  <si>
    <t>LEADERSHIP CONFERENCE EDUCATION FUND</t>
  </si>
  <si>
    <t>1629 K STREET NW 10TH FLOOR</t>
  </si>
  <si>
    <t>20006-1602</t>
  </si>
  <si>
    <t>Fichter</t>
  </si>
  <si>
    <t>fichter@civilrights.org</t>
  </si>
  <si>
    <t>202 466-1887</t>
  </si>
  <si>
    <t>522068483</t>
  </si>
  <si>
    <t>MIDDLE EAST MEDIA AND RESEARCH INSTITUTE</t>
  </si>
  <si>
    <t>1819 L STREET NW</t>
  </si>
  <si>
    <t>20036-3807</t>
  </si>
  <si>
    <t>Steven</t>
  </si>
  <si>
    <t>Stalinsky</t>
  </si>
  <si>
    <t>memri@memri.org</t>
  </si>
  <si>
    <t>(202) 955-9070</t>
  </si>
  <si>
    <t>311677573</t>
  </si>
  <si>
    <t>CENTER FOR CLIMATE STRATEGIES</t>
  </si>
  <si>
    <t>1800 K ST NW STE 714</t>
  </si>
  <si>
    <t>20006-2211</t>
  </si>
  <si>
    <t>710863908</t>
  </si>
  <si>
    <t>OCEAN FOUNDATION</t>
  </si>
  <si>
    <t>1990 M STREET NW</t>
  </si>
  <si>
    <t>20036-3404</t>
  </si>
  <si>
    <t>Donor and Partnership Relations Manager</t>
  </si>
  <si>
    <t>Nora</t>
  </si>
  <si>
    <t>Burke</t>
  </si>
  <si>
    <t>nburke@oceanfdn.org</t>
  </si>
  <si>
    <t>(202) 887-8996</t>
  </si>
  <si>
    <t>521500977</t>
  </si>
  <si>
    <t>COMMISSION ON PRESIDENTIAL DEBATES</t>
  </si>
  <si>
    <t>1200 NEW HAMPSHIRE AVE NW</t>
  </si>
  <si>
    <t>20036-6802</t>
  </si>
  <si>
    <t>521260698</t>
  </si>
  <si>
    <t>MANNA</t>
  </si>
  <si>
    <t>828 EVARTS ST NE</t>
  </si>
  <si>
    <t>20018-1722</t>
  </si>
  <si>
    <t>Director of Corporate Development &amp; Communications</t>
  </si>
  <si>
    <t>Winston</t>
  </si>
  <si>
    <t>bwinston@mannadc.org</t>
  </si>
  <si>
    <t>202-534-1031</t>
  </si>
  <si>
    <t>521173590</t>
  </si>
  <si>
    <t>ADVOCATES FOR YOUTH</t>
  </si>
  <si>
    <t>2000 M STREET NW</t>
  </si>
  <si>
    <t>Vice President for Strategic Partnerships</t>
  </si>
  <si>
    <t>Aimée</t>
  </si>
  <si>
    <t>Thorne-Thomsen</t>
  </si>
  <si>
    <t>aimee@advocatesforyouth.org</t>
  </si>
  <si>
    <t>202.419.3420</t>
  </si>
  <si>
    <t>530208981</t>
  </si>
  <si>
    <t>WASHINGTON URBAN LEAGUE</t>
  </si>
  <si>
    <t>2901 14TH ST NW</t>
  </si>
  <si>
    <t>20009-6839</t>
  </si>
  <si>
    <t>Janice</t>
  </si>
  <si>
    <t>jsmith@gwul.org</t>
  </si>
  <si>
    <t>202-265-8200,Ext. 251</t>
  </si>
  <si>
    <t>920152268</t>
  </si>
  <si>
    <t>TRAGEDY ASSISTANCE PROGRAM FOR SURVIVORS</t>
  </si>
  <si>
    <t>1777 F STREET NW STE 600</t>
  </si>
  <si>
    <t>20006-5210</t>
  </si>
  <si>
    <t>Patti</t>
  </si>
  <si>
    <t>Gross</t>
  </si>
  <si>
    <t>patti@taps.org</t>
  </si>
  <si>
    <t>202-588-8277</t>
  </si>
  <si>
    <t>010669150</t>
  </si>
  <si>
    <t>GRANTMAKERS FOR EFFECTIVE ORGANIZATIONS</t>
  </si>
  <si>
    <t>1899 L STREET NW 600</t>
  </si>
  <si>
    <t>20036-3804</t>
  </si>
  <si>
    <t>530226282</t>
  </si>
  <si>
    <t>PHI BETA KAPPA SOCIETY</t>
  </si>
  <si>
    <t>1606 NH AVE NW</t>
  </si>
  <si>
    <t>20009-2512</t>
  </si>
  <si>
    <t>Director of IT and Planned Giving</t>
  </si>
  <si>
    <t>JIM</t>
  </si>
  <si>
    <t>ROBERTS</t>
  </si>
  <si>
    <t>jroberts@pbk.org</t>
  </si>
  <si>
    <t>(202) 265-3808</t>
  </si>
  <si>
    <t>521295669</t>
  </si>
  <si>
    <t>GLOBAL RIGHTS</t>
  </si>
  <si>
    <t>1200 18TH ST NW STE 602</t>
  </si>
  <si>
    <t>20036-2526</t>
  </si>
  <si>
    <t>743093659</t>
  </si>
  <si>
    <t>CENTER FOR US GLOBAL LEADERSHIP</t>
  </si>
  <si>
    <t>1129 20TH ST NW STE 600</t>
  </si>
  <si>
    <t>20036-3455</t>
  </si>
  <si>
    <t>521154418</t>
  </si>
  <si>
    <t>CATHOLICS FOR CHOICE</t>
  </si>
  <si>
    <t>1436 U ST NW STE 301</t>
  </si>
  <si>
    <t>20009-3988</t>
  </si>
  <si>
    <t>Dick</t>
  </si>
  <si>
    <t>SDick@catholicsforchoice.org</t>
  </si>
  <si>
    <t>202 986 6093</t>
  </si>
  <si>
    <t>521299641</t>
  </si>
  <si>
    <t>THE NATIONAL ALLIANCE TO END HOMELESSNESS INCORPORATED</t>
  </si>
  <si>
    <t>1518 K ST NW STE 410</t>
  </si>
  <si>
    <t>20005-1269</t>
  </si>
  <si>
    <t>Development Coordinator</t>
  </si>
  <si>
    <t>Jennifer</t>
  </si>
  <si>
    <t>Olney</t>
  </si>
  <si>
    <t>jolney@naeh.org</t>
  </si>
  <si>
    <t>202.638.1526</t>
  </si>
  <si>
    <t>521132262</t>
  </si>
  <si>
    <t>RONALD MCDONALD HOUSE CHARITIES OF GREATER WASHINGTON DC</t>
  </si>
  <si>
    <t>3727 14TH ST NE</t>
  </si>
  <si>
    <t>20017-3004</t>
  </si>
  <si>
    <t>Julie@rmhcdc.org</t>
  </si>
  <si>
    <t>(202) 529-8204</t>
  </si>
  <si>
    <t>260126537</t>
  </si>
  <si>
    <t>GLOBAL INTEGRITY</t>
  </si>
  <si>
    <t>1889 F ST NW # 2</t>
  </si>
  <si>
    <t>20006-4401</t>
  </si>
  <si>
    <t>520805471</t>
  </si>
  <si>
    <t>MARINE TECHNOLOGY SOCIETY</t>
  </si>
  <si>
    <t>1100 H STREET NW</t>
  </si>
  <si>
    <t>20005-5476</t>
  </si>
  <si>
    <t>237380554</t>
  </si>
  <si>
    <t>SOJOURNERS</t>
  </si>
  <si>
    <t>3333 14TH ST NW STE 200</t>
  </si>
  <si>
    <t>20010-2319</t>
  </si>
  <si>
    <t>Larisa</t>
  </si>
  <si>
    <t>lfriesen@sojo.net</t>
  </si>
  <si>
    <t>800-714-7474, ext. 638</t>
  </si>
  <si>
    <t>136188433</t>
  </si>
  <si>
    <t>SOS CHILDRENS VILLAGE USA</t>
  </si>
  <si>
    <t>1001 CONN AVE NW STE 1250</t>
  </si>
  <si>
    <t>20036-5520</t>
  </si>
  <si>
    <t>Senior Director, External Relations</t>
  </si>
  <si>
    <t>April</t>
  </si>
  <si>
    <t>Quinlan</t>
  </si>
  <si>
    <t>aquinlan@sos-usa.org</t>
  </si>
  <si>
    <t>888-767-4543</t>
  </si>
  <si>
    <t>311705370</t>
  </si>
  <si>
    <t>COMMON CAUSE EDUCATION FUND</t>
  </si>
  <si>
    <t>1133 19TH STREET NW NO 900</t>
  </si>
  <si>
    <t>20036-3604</t>
  </si>
  <si>
    <t>Sturm</t>
  </si>
  <si>
    <t>nsturm@commoncause.org</t>
  </si>
  <si>
    <t>202.736.5713</t>
  </si>
  <si>
    <t>593400922</t>
  </si>
  <si>
    <t>ZERO-THE END OF PROSTATE CANCER</t>
  </si>
  <si>
    <t>10 G ST NE STE 601</t>
  </si>
  <si>
    <t>20002-4209</t>
  </si>
  <si>
    <t>Pfaehler</t>
  </si>
  <si>
    <t>amy@zerocancer.org</t>
  </si>
  <si>
    <t>202-303-3116</t>
  </si>
  <si>
    <t>520968193</t>
  </si>
  <si>
    <t>EDWARD C MAZIQUE PARENT CHILD CENTEROF THE DISTRICT OF COLU</t>
  </si>
  <si>
    <t>1719 13TH ST NW</t>
  </si>
  <si>
    <t>20009-4304</t>
  </si>
  <si>
    <t>943065016</t>
  </si>
  <si>
    <t>PARTNERS FOR DEMOCRATIC CHANGE</t>
  </si>
  <si>
    <t>SUITE 515</t>
  </si>
  <si>
    <t>Nick</t>
  </si>
  <si>
    <t>Oatley</t>
  </si>
  <si>
    <t>noatley@partnersglobal.org</t>
  </si>
  <si>
    <t>202-942-2166</t>
  </si>
  <si>
    <t>520906297</t>
  </si>
  <si>
    <t>REGIONAL ADDICITION PREVENTION</t>
  </si>
  <si>
    <t>1949 4TH ST NE</t>
  </si>
  <si>
    <t>20002-1211</t>
  </si>
  <si>
    <t>521481008</t>
  </si>
  <si>
    <t>DISTRICT OF COLUMBIA PUBLIC LIBRARY FOUNDATION</t>
  </si>
  <si>
    <t>901 G ST NW STE 400</t>
  </si>
  <si>
    <t>20001-4531</t>
  </si>
  <si>
    <t>Sally</t>
  </si>
  <si>
    <t>Ginsburg</t>
  </si>
  <si>
    <t>sally.ginsburg@dcplfoundation.org</t>
  </si>
  <si>
    <t>202-727-1183</t>
  </si>
  <si>
    <t>202777557</t>
  </si>
  <si>
    <t>J STREET EDUCATION FUND</t>
  </si>
  <si>
    <t>1666 CONNECTICUT AVE NW</t>
  </si>
  <si>
    <t>Manager of Leadership and Development Operations</t>
  </si>
  <si>
    <t>Tamar</t>
  </si>
  <si>
    <t>giving@jstreet.org</t>
  </si>
  <si>
    <t>(202) 596-5207</t>
  </si>
  <si>
    <t>530213314</t>
  </si>
  <si>
    <t>GOSPEL RESCUE MINISTRIES OF WASHINGTON DC</t>
  </si>
  <si>
    <t>810 5TH ST NW</t>
  </si>
  <si>
    <t>20001-2622</t>
  </si>
  <si>
    <t>521224516</t>
  </si>
  <si>
    <t>REFUGEES INTERNATIONAL</t>
  </si>
  <si>
    <t>2001 S ST NW STE 700</t>
  </si>
  <si>
    <t>20009-1165</t>
  </si>
  <si>
    <t>Bechtel</t>
  </si>
  <si>
    <t>matthewb@refintl.org</t>
  </si>
  <si>
    <t>202.828.0110</t>
  </si>
  <si>
    <t>521009973</t>
  </si>
  <si>
    <t>ALLIANCE FOR JUSTICE</t>
  </si>
  <si>
    <t>11 DUPONT CIR</t>
  </si>
  <si>
    <t>20036-1207</t>
  </si>
  <si>
    <t>Chloe</t>
  </si>
  <si>
    <t>Hwang</t>
  </si>
  <si>
    <t>chloe@afj.org</t>
  </si>
  <si>
    <t>(202) 822-6070</t>
  </si>
  <si>
    <t>133619000</t>
  </si>
  <si>
    <t>ASIAN AMERICAN JUSTICE CENTER</t>
  </si>
  <si>
    <t>1140 CONNECTICUT AVE NW</t>
  </si>
  <si>
    <t>Vice President, Strategy and External Affairs</t>
  </si>
  <si>
    <t>Tom</t>
  </si>
  <si>
    <t>Kam</t>
  </si>
  <si>
    <t>comrequests@advancingequality.org</t>
  </si>
  <si>
    <t>(202) 296-2300</t>
  </si>
  <si>
    <t>264381874</t>
  </si>
  <si>
    <t>SS UNITED STATES CONSERVANCY</t>
  </si>
  <si>
    <t>PO BOX 32115</t>
  </si>
  <si>
    <t>20007-0415</t>
  </si>
  <si>
    <t>Development and Communications</t>
  </si>
  <si>
    <t>CHRISTINE</t>
  </si>
  <si>
    <t>HOWER</t>
  </si>
  <si>
    <t>chower@ssusc.org</t>
  </si>
  <si>
    <t>888.488.7787</t>
  </si>
  <si>
    <t>300335420</t>
  </si>
  <si>
    <t>UNITED TO END GENOCIDE</t>
  </si>
  <si>
    <t>1025 CONN AVE NW STE 310</t>
  </si>
  <si>
    <t>20036-5452</t>
  </si>
  <si>
    <t>Director of Organizational Advancement</t>
  </si>
  <si>
    <t>Concepcion</t>
  </si>
  <si>
    <t>Gaxiola</t>
  </si>
  <si>
    <t>cgaxiola@endgenocide.org</t>
  </si>
  <si>
    <t>(202) 556-2100</t>
  </si>
  <si>
    <t>262763038</t>
  </si>
  <si>
    <t>KIND</t>
  </si>
  <si>
    <t>1300 L ST NW STE 1100</t>
  </si>
  <si>
    <t>20005-4183</t>
  </si>
  <si>
    <t>Public Outreach and Strategic Development Director</t>
  </si>
  <si>
    <t>Ellen</t>
  </si>
  <si>
    <t>Jorgensen</t>
  </si>
  <si>
    <t>ejorgensen@supportkind.org</t>
  </si>
  <si>
    <t>202-824-8680</t>
  </si>
  <si>
    <t>237335899</t>
  </si>
  <si>
    <t>DIRECT SELLING EDUCATION FOUNDATION</t>
  </si>
  <si>
    <t>1667 K ST NW STE 1100</t>
  </si>
  <si>
    <t>20006-1660</t>
  </si>
  <si>
    <t>Chief Marketing &amp; Development Officer</t>
  </si>
  <si>
    <t>Laichas</t>
  </si>
  <si>
    <t>nlaichas@dsef.org</t>
  </si>
  <si>
    <t>(202) 452-8866</t>
  </si>
  <si>
    <t>050373312</t>
  </si>
  <si>
    <t>NATIONAL CONFERENCE OF STATE HISTORIC PRESERVATION OFFICERS</t>
  </si>
  <si>
    <t>444 N CAPITOL ST NW STE 342</t>
  </si>
  <si>
    <t>20001-1538</t>
  </si>
  <si>
    <t>232493621</t>
  </si>
  <si>
    <t>APPRAISAL FOUNDATION</t>
  </si>
  <si>
    <t>1155 15TH STREET NW</t>
  </si>
  <si>
    <t>20005-2706</t>
  </si>
  <si>
    <t>043331760</t>
  </si>
  <si>
    <t>APPLETREE INSTITUTE FOR EDUCATION INNOVATION</t>
  </si>
  <si>
    <t>415 MICHIGAN AVENUE NE 3RD FLOOR</t>
  </si>
  <si>
    <t>20017-4500</t>
  </si>
  <si>
    <t>Chief of Strategic Initiatives and General Counsel</t>
  </si>
  <si>
    <t>TOM</t>
  </si>
  <si>
    <t>KEANE</t>
  </si>
  <si>
    <t>TOM.KEANE@appletreeinstitute.org</t>
  </si>
  <si>
    <t>(202) 526-1503</t>
  </si>
  <si>
    <t>202035052</t>
  </si>
  <si>
    <t>WORKING AMERICA EDUCATION FUND</t>
  </si>
  <si>
    <t>815 15TH STREET NW NO 3107</t>
  </si>
  <si>
    <t>info@workingamerica.org</t>
  </si>
  <si>
    <t>202-637-5137</t>
  </si>
  <si>
    <t>530196514</t>
  </si>
  <si>
    <t>GENERAL FEDERATION OF WOMENS CLUBS</t>
  </si>
  <si>
    <t>1734 N STREET NW</t>
  </si>
  <si>
    <t>20036-2990</t>
  </si>
  <si>
    <t>521242900</t>
  </si>
  <si>
    <t>WOOLLY MAMMOTH THEATRE CO</t>
  </si>
  <si>
    <t>641 D ST NW</t>
  </si>
  <si>
    <t>20004-2904</t>
  </si>
  <si>
    <t>Dovere</t>
  </si>
  <si>
    <t>Sarah.Dovere@woollymammoth.net</t>
  </si>
  <si>
    <t>202-312-5275</t>
  </si>
  <si>
    <t>522148976</t>
  </si>
  <si>
    <t>BISHOP GASSIS SUDAN RELIEF FUND</t>
  </si>
  <si>
    <t>3220 N ST NW STE 302</t>
  </si>
  <si>
    <t>20007-2829</t>
  </si>
  <si>
    <t>Neil</t>
  </si>
  <si>
    <t>Corkery</t>
  </si>
  <si>
    <t>info@sudanreliefund.com</t>
  </si>
  <si>
    <t>888-488-0348</t>
  </si>
  <si>
    <t>942578166</t>
  </si>
  <si>
    <t>ISLAND PRESS- CENTER FOR RESOURCE ECONOMICS</t>
  </si>
  <si>
    <t>2000 M ST NW STE 650</t>
  </si>
  <si>
    <t>20036-3319</t>
  </si>
  <si>
    <t>Vice President for Strategic Advancement</t>
  </si>
  <si>
    <t>Denise</t>
  </si>
  <si>
    <t>Schlener</t>
  </si>
  <si>
    <t>dschlener@islandpress.org</t>
  </si>
  <si>
    <t>(202) 232-7933</t>
  </si>
  <si>
    <t>770646756</t>
  </si>
  <si>
    <t>CAIR FOUNDATION</t>
  </si>
  <si>
    <t>453 NJ AVE SE</t>
  </si>
  <si>
    <t>20003-4034</t>
  </si>
  <si>
    <t>Nihad</t>
  </si>
  <si>
    <t>Awad</t>
  </si>
  <si>
    <t>NAwad@cair.com</t>
  </si>
  <si>
    <t>(202) 488-8787</t>
  </si>
  <si>
    <t>270567765</t>
  </si>
  <si>
    <t>AMERICAN ACTION FORUM</t>
  </si>
  <si>
    <t>555 13TH ST NW STE 510 W</t>
  </si>
  <si>
    <t>20004-1109</t>
  </si>
  <si>
    <t>Trent</t>
  </si>
  <si>
    <t>Edwards</t>
  </si>
  <si>
    <t>contact@americanactionforum.org</t>
  </si>
  <si>
    <t>(202) 559-6420</t>
  </si>
  <si>
    <t>134113075</t>
  </si>
  <si>
    <t>INTERNATIONAL CAMPAIGN TO BAN LANDMINES</t>
  </si>
  <si>
    <t>1630 CONNECTICUT AVE NW STE 500</t>
  </si>
  <si>
    <t>20009-1072</t>
  </si>
  <si>
    <t>Finance Director</t>
  </si>
  <si>
    <t>Teil</t>
  </si>
  <si>
    <t>Patrick@icblcmc.org</t>
  </si>
  <si>
    <t>41 (0)22 920 03 25</t>
  </si>
  <si>
    <t>521571905</t>
  </si>
  <si>
    <t>GENETIC ALLIANCE</t>
  </si>
  <si>
    <t>4301 CONN AVE NW STE 404</t>
  </si>
  <si>
    <t>20008-2369</t>
  </si>
  <si>
    <t>Vice President of Strategic Development</t>
  </si>
  <si>
    <t>Natasha</t>
  </si>
  <si>
    <t>Bonhomme</t>
  </si>
  <si>
    <t>nbonhomme@geneticalliance.org</t>
  </si>
  <si>
    <t>202-966-5557 x211</t>
  </si>
  <si>
    <t>530209632</t>
  </si>
  <si>
    <t>BNAI BRITH HENRY MONSKY FOUNDATION</t>
  </si>
  <si>
    <t>2020 K ST NW FL 7</t>
  </si>
  <si>
    <t>20006-1828</t>
  </si>
  <si>
    <t>Executive Vice President</t>
  </si>
  <si>
    <t>Mariaschin</t>
  </si>
  <si>
    <t>evp@bnaibrith.org</t>
  </si>
  <si>
    <t>202-857-6500</t>
  </si>
  <si>
    <t>760514428</t>
  </si>
  <si>
    <t>MELANOMA RESEARCH FOUNDATION</t>
  </si>
  <si>
    <t>1411 K ST NW STE 800</t>
  </si>
  <si>
    <t>20005-3458</t>
  </si>
  <si>
    <t>Director of Advocacy &amp; Volunteer Services</t>
  </si>
  <si>
    <t>Mary</t>
  </si>
  <si>
    <t>Antonucci</t>
  </si>
  <si>
    <t>mantonucci@melanoma.org</t>
  </si>
  <si>
    <t>(800) 673-1290</t>
  </si>
  <si>
    <t>521679470</t>
  </si>
  <si>
    <t>HOLY COMFORTER ST CYPRIAN COMMUNITY ACTION GROUP</t>
  </si>
  <si>
    <t>335 8TH ST SE</t>
  </si>
  <si>
    <t>20003-2110</t>
  </si>
  <si>
    <t>113810472</t>
  </si>
  <si>
    <t>HOWARD THEATRE RESTORATION</t>
  </si>
  <si>
    <t>620 T ST NW</t>
  </si>
  <si>
    <t>20001-5117</t>
  </si>
  <si>
    <t>521467787</t>
  </si>
  <si>
    <t>FOUNDATION FOR ART AND PRESERVATION IN EMBASSIES</t>
  </si>
  <si>
    <t>1725 I ST NW STE 300</t>
  </si>
  <si>
    <t>20006-2423</t>
  </si>
  <si>
    <t>522277915</t>
  </si>
  <si>
    <t>EAST RIVER FAMILY STRENGTHENING COLLABORATIVE</t>
  </si>
  <si>
    <t>3732 MINNESOTA AVE NE</t>
  </si>
  <si>
    <t>20019-2667</t>
  </si>
  <si>
    <t>Mae</t>
  </si>
  <si>
    <t>Best</t>
  </si>
  <si>
    <t>mbest@erfsc.org</t>
  </si>
  <si>
    <t>202-397-7300, Ext. 109</t>
  </si>
  <si>
    <t>522117070</t>
  </si>
  <si>
    <t>FAR SOUTHEAST FAMILY STRENGTHENING COLLABORATIVE</t>
  </si>
  <si>
    <t>2041 MARTIN LUTHER KING AVE 3</t>
  </si>
  <si>
    <t>20020-7024</t>
  </si>
  <si>
    <t>Perry</t>
  </si>
  <si>
    <t>Moon</t>
  </si>
  <si>
    <t>pmoon@fsfsc.org</t>
  </si>
  <si>
    <t>(202) 889-1425</t>
  </si>
  <si>
    <t>300231116</t>
  </si>
  <si>
    <t>STRATEGIC EDUCATION RESEARCH PARTNERSHIP INSTITUTE</t>
  </si>
  <si>
    <t>1101 14TH STREET NW</t>
  </si>
  <si>
    <t>Suzanne</t>
  </si>
  <si>
    <t>Donovan</t>
  </si>
  <si>
    <t>sdonovan@serpinstitute.org</t>
  </si>
  <si>
    <t>(202) 223-8555</t>
  </si>
  <si>
    <t>205877229</t>
  </si>
  <si>
    <t>WASHINGTON CHILDREN S FOUNDATION</t>
  </si>
  <si>
    <t>5101 WISC AVE NW STE 200</t>
  </si>
  <si>
    <t>20016-4136</t>
  </si>
  <si>
    <t>521772313</t>
  </si>
  <si>
    <t>CORNERSTONE</t>
  </si>
  <si>
    <t>1400 20TH STREET NW NO G-2</t>
  </si>
  <si>
    <t>20036-5989</t>
  </si>
  <si>
    <t>Program Manager_x0003_</t>
  </si>
  <si>
    <t>Ward</t>
  </si>
  <si>
    <t>ward@cornerstonedc.org</t>
  </si>
  <si>
    <t>202.347.7808</t>
  </si>
  <si>
    <t>363906065</t>
  </si>
  <si>
    <t>AMERICANS UNITED FOR LIFE</t>
  </si>
  <si>
    <t>655 15TH ST NW STE 410</t>
  </si>
  <si>
    <t>20005-5709</t>
  </si>
  <si>
    <t>521289743</t>
  </si>
  <si>
    <t>WORLD SECURITY INSTITUTE</t>
  </si>
  <si>
    <t>1779 MASS AVE NW STE 615</t>
  </si>
  <si>
    <t>521852434</t>
  </si>
  <si>
    <t>INTERNATIONAL TAX &amp; INVESTMENT CENTER</t>
  </si>
  <si>
    <t>1800 K ST NW STE 718</t>
  </si>
  <si>
    <t>20006-2202</t>
  </si>
  <si>
    <t>521084768</t>
  </si>
  <si>
    <t>MILTON S EISENHOWER FOUNDATION</t>
  </si>
  <si>
    <t>1875 CONN AVE NW STE 410</t>
  </si>
  <si>
    <t>20009-5737</t>
  </si>
  <si>
    <t>271354262</t>
  </si>
  <si>
    <t>PAINTCARE</t>
  </si>
  <si>
    <t>1500 RHODE ISLAND AVE NW</t>
  </si>
  <si>
    <t>20005-5503</t>
  </si>
  <si>
    <t>521752473</t>
  </si>
  <si>
    <t>THE ROSTROPOVICH-VISHNEVSKAYA FOUNDATION</t>
  </si>
  <si>
    <t>1776 K ST NW STE 800</t>
  </si>
  <si>
    <t>20006-2333</t>
  </si>
  <si>
    <t>William</t>
  </si>
  <si>
    <t>Amoss</t>
  </si>
  <si>
    <t>bamoss@rostropovich.org</t>
  </si>
  <si>
    <t>202-296-5730</t>
  </si>
  <si>
    <t>270038119</t>
  </si>
  <si>
    <t>OLD NAVAL HOSPITAL FOUNDATION</t>
  </si>
  <si>
    <t>921 PENN AVE SE</t>
  </si>
  <si>
    <t>20003-2141</t>
  </si>
  <si>
    <t>Ann</t>
  </si>
  <si>
    <t>Goodwin</t>
  </si>
  <si>
    <t>Ann@HillCenterDC.org</t>
  </si>
  <si>
    <t>202.549.4172</t>
  </si>
  <si>
    <t>421559999</t>
  </si>
  <si>
    <t>WORLD BANK COMMUNITY CONNECTIONS FUND</t>
  </si>
  <si>
    <t>1818 H ST NW</t>
  </si>
  <si>
    <t>20433-0001</t>
  </si>
  <si>
    <t>520954828</t>
  </si>
  <si>
    <t>ROSEMOUNT CENTER</t>
  </si>
  <si>
    <t>2000 ROSEMONT AVE NW</t>
  </si>
  <si>
    <t>20010-1045</t>
  </si>
  <si>
    <t>Deputy Chief Executive Officer and Chief Development Officer</t>
  </si>
  <si>
    <t>Martha</t>
  </si>
  <si>
    <t>martha.johnson@rosemountcenter.com</t>
  </si>
  <si>
    <t>202-265-9885</t>
  </si>
  <si>
    <t>550541323</t>
  </si>
  <si>
    <t>MOUNTAIN INSTITUTE</t>
  </si>
  <si>
    <t>300 CONNECTICUT AVE</t>
  </si>
  <si>
    <t>Taber</t>
  </si>
  <si>
    <t>ataber@mountain.org</t>
  </si>
  <si>
    <t>(202) 234-4054</t>
  </si>
  <si>
    <t>364502299</t>
  </si>
  <si>
    <t>MICROFINANCE INFORMATION EXCHANGE</t>
  </si>
  <si>
    <t>1901 PENN AVE NW STE 307</t>
  </si>
  <si>
    <t>20006-3425</t>
  </si>
  <si>
    <t>392015443</t>
  </si>
  <si>
    <t>BLACK ALLIANCE FOR EDUCATIONAL OPTIONS</t>
  </si>
  <si>
    <t>888 16TH ST NW STE 800</t>
  </si>
  <si>
    <t>20006-4104</t>
  </si>
  <si>
    <t>Director of Resource Development</t>
  </si>
  <si>
    <t>Monique</t>
  </si>
  <si>
    <t>Pittman</t>
  </si>
  <si>
    <t>monique@baeo.org</t>
  </si>
  <si>
    <t>202-429-2236</t>
  </si>
  <si>
    <t>521347951</t>
  </si>
  <si>
    <t>EDUCATION FOUNDATION OF STATE BANK SUPERVISORS</t>
  </si>
  <si>
    <t>1129 20TH ST NW STE 900</t>
  </si>
  <si>
    <t>20036-3555</t>
  </si>
  <si>
    <t>061616367</t>
  </si>
  <si>
    <t>ASSOC FOR THE ACCREDITATION OF HUMAN RESEARCH PROTECTION PROGRAMS</t>
  </si>
  <si>
    <t>SUITE 500</t>
  </si>
  <si>
    <t>20037-0000</t>
  </si>
  <si>
    <t>521289734</t>
  </si>
  <si>
    <t>CAPITAL RESEARCH CENTER</t>
  </si>
  <si>
    <t>1513 16TH ST NW</t>
  </si>
  <si>
    <t>20036-1401</t>
  </si>
  <si>
    <t>161714740</t>
  </si>
  <si>
    <t>EDUCATION SECTOR</t>
  </si>
  <si>
    <t>1201 CONN AVE NW STE 850</t>
  </si>
  <si>
    <t>20036-2717</t>
  </si>
  <si>
    <t>521071570</t>
  </si>
  <si>
    <t>WASHINGTON LEGAL FOUNDATION</t>
  </si>
  <si>
    <t>2009 MASS AVE NW</t>
  </si>
  <si>
    <t>20036-1011</t>
  </si>
  <si>
    <t>Marketing &amp; Communications Director</t>
  </si>
  <si>
    <t>Grossberndt</t>
  </si>
  <si>
    <t>lgrossberndt@wlf.org</t>
  </si>
  <si>
    <t>202-588-0302</t>
  </si>
  <si>
    <t>271661221</t>
  </si>
  <si>
    <t>ENROLL AMERICA</t>
  </si>
  <si>
    <t>National Director of Partner Engagement and Outreach</t>
  </si>
  <si>
    <t>Ani</t>
  </si>
  <si>
    <t>Fete</t>
  </si>
  <si>
    <t>afete@enrollamerica.org</t>
  </si>
  <si>
    <t>202-737-6340</t>
  </si>
  <si>
    <t>521473935</t>
  </si>
  <si>
    <t>SHEET METAL WORKERS INTERNATIONAL SCHOLARSHIP FOUNDATION</t>
  </si>
  <si>
    <t>522278623</t>
  </si>
  <si>
    <t>EAST OF THE RIVER CLERGY POLICE COMMUNITY PARTNERSHIP</t>
  </si>
  <si>
    <t>4105 1ST ST SE</t>
  </si>
  <si>
    <t>20032-2811</t>
  </si>
  <si>
    <t>Director of Finance</t>
  </si>
  <si>
    <t>Jerome</t>
  </si>
  <si>
    <t>Adams</t>
  </si>
  <si>
    <t>bjadams@ercpcp.org</t>
  </si>
  <si>
    <t>202-373-5767</t>
  </si>
  <si>
    <t>521043444</t>
  </si>
  <si>
    <t>CLEAN WATER FUND</t>
  </si>
  <si>
    <t>1010 VERMONT AVE NW STE 400</t>
  </si>
  <si>
    <t>20005-4947</t>
  </si>
  <si>
    <t>Director of Foundation Relations &amp; Development Director</t>
  </si>
  <si>
    <t>Herrmann</t>
  </si>
  <si>
    <t>aherrmann@cleanwater.org</t>
  </si>
  <si>
    <t>202.895.0420</t>
  </si>
  <si>
    <t>530245286</t>
  </si>
  <si>
    <t>UNITED CEREBRAL PALSY OF WASHINGTON DC AND NORTHERN VIRGINIA</t>
  </si>
  <si>
    <t>3135 8TH ST NE</t>
  </si>
  <si>
    <t>20017-1601</t>
  </si>
  <si>
    <t>Williams</t>
  </si>
  <si>
    <t>vwilliams@ucpdc.org</t>
  </si>
  <si>
    <t>521112174</t>
  </si>
  <si>
    <t>NORTHEAST-MIDWEST INSTITUTE</t>
  </si>
  <si>
    <t>50 F ST NW STE 950</t>
  </si>
  <si>
    <t>20001-1540</t>
  </si>
  <si>
    <t>363820023</t>
  </si>
  <si>
    <t>PRINCE OF WALES FOUNDATION</t>
  </si>
  <si>
    <t>888 17TH ST NW STE 201</t>
  </si>
  <si>
    <t>20006-3313</t>
  </si>
  <si>
    <t>521745052</t>
  </si>
  <si>
    <t>ILSI NORTH AMERICA</t>
  </si>
  <si>
    <t>1156 15TH STREET NW</t>
  </si>
  <si>
    <t>20005-1704</t>
  </si>
  <si>
    <t>520796820</t>
  </si>
  <si>
    <t>UNITED STATES CAPITOL HISTORICAL SOCIETY</t>
  </si>
  <si>
    <t>200 MARYLAND AVE NE SUITE 403</t>
  </si>
  <si>
    <t>20002-5724</t>
  </si>
  <si>
    <t>Vice President, Membership and Development</t>
  </si>
  <si>
    <t>Stepp</t>
  </si>
  <si>
    <t>uschs@uschs.org</t>
  </si>
  <si>
    <t>202-543-8919 extension 22</t>
  </si>
  <si>
    <t>526903411</t>
  </si>
  <si>
    <t>COMM WORKERS OF AMER NATIONAL EDUCATION AND TRAINING TR</t>
  </si>
  <si>
    <t>501 THIRD STREET NW ELEVENTH FLOOR</t>
  </si>
  <si>
    <t>20001-2760</t>
  </si>
  <si>
    <t>112494808</t>
  </si>
  <si>
    <t>UNITED PALESTINIAN APPEAL</t>
  </si>
  <si>
    <t>1330 NEW HAMPSHIRE AVE NW</t>
  </si>
  <si>
    <t>20036-6350</t>
  </si>
  <si>
    <t>Carlton</t>
  </si>
  <si>
    <t>Cobb</t>
  </si>
  <si>
    <t>CCobb@helpupa.org</t>
  </si>
  <si>
    <t>202-659-5007</t>
  </si>
  <si>
    <t>521514297</t>
  </si>
  <si>
    <t>ARCH TRAINING CENTER</t>
  </si>
  <si>
    <t>1227 GOOD HOPE RD SE</t>
  </si>
  <si>
    <t>20020-6907</t>
  </si>
  <si>
    <t>272664900</t>
  </si>
  <si>
    <t>INSTITUTE FOR INDUSTRIAL PRODUCTIVITY</t>
  </si>
  <si>
    <t>2200 PENNSYLVANIA AVE NW E TOWER NO</t>
  </si>
  <si>
    <t>521217891</t>
  </si>
  <si>
    <t>CENTER FOR NEIGHBORHOOD ENTERPRISE</t>
  </si>
  <si>
    <t>1625 K ST NW STE 1200</t>
  </si>
  <si>
    <t>20006-1672</t>
  </si>
  <si>
    <t>Senior Vice President, COO</t>
  </si>
  <si>
    <t>Terence</t>
  </si>
  <si>
    <t>Mathis</t>
  </si>
  <si>
    <t>tmathis@cneonline.org</t>
  </si>
  <si>
    <t>(202) 518-6500</t>
  </si>
  <si>
    <t>541557043</t>
  </si>
  <si>
    <t>THE NATIONAL ENVIRONMENTAL EDUCATION AND TRAINING FOUNDATION</t>
  </si>
  <si>
    <t>4301 CONN AVE NW STE 160</t>
  </si>
  <si>
    <t>20008-2326</t>
  </si>
  <si>
    <t>Ali</t>
  </si>
  <si>
    <t>Funk</t>
  </si>
  <si>
    <t>afunk@neefusa.org</t>
  </si>
  <si>
    <t>202-261-6487</t>
  </si>
  <si>
    <t>521233683</t>
  </si>
  <si>
    <t>JEWISH INSTITUTE FOR NATIONAL SECURITY AFFAIRS</t>
  </si>
  <si>
    <t>1307 NEW YORK AVE NW STE 200</t>
  </si>
  <si>
    <t>20005-4727</t>
  </si>
  <si>
    <t>CEO</t>
  </si>
  <si>
    <t>Makovsky</t>
  </si>
  <si>
    <t>MMakovsky@jinsa.org</t>
  </si>
  <si>
    <t>(202) 667-3900</t>
  </si>
  <si>
    <t>521633220</t>
  </si>
  <si>
    <t>CENTER FOR INTERNATIONAL ENVIRONMENTAL LAW</t>
  </si>
  <si>
    <t>1350 CONN AVE NW STE 1100</t>
  </si>
  <si>
    <t>20036-1739</t>
  </si>
  <si>
    <t>Parker</t>
  </si>
  <si>
    <t>kparker@ciel.org</t>
  </si>
  <si>
    <t>(202) 785-8700</t>
  </si>
  <si>
    <t>522013526</t>
  </si>
  <si>
    <t>BUILDING BRIDGES ACROSS THE RIVER</t>
  </si>
  <si>
    <t>1901 MISSISSIPPI AVE SE</t>
  </si>
  <si>
    <t>20020-6117</t>
  </si>
  <si>
    <t>Janet</t>
  </si>
  <si>
    <t>Stone</t>
  </si>
  <si>
    <t>jstone@thearcdc.org</t>
  </si>
  <si>
    <t>(202) 889-5901 x104</t>
  </si>
  <si>
    <t>521796840</t>
  </si>
  <si>
    <t>MI CASA MY HOUSE</t>
  </si>
  <si>
    <t>6230 3RD STREET NW</t>
  </si>
  <si>
    <t>20011-1334</t>
  </si>
  <si>
    <t>Fernando</t>
  </si>
  <si>
    <t>Lemos</t>
  </si>
  <si>
    <t>Fernando@micasa-inc.org</t>
  </si>
  <si>
    <t>202-722-7423</t>
  </si>
  <si>
    <t>760149778</t>
  </si>
  <si>
    <t>INSTITUTE FOR ENERGY RESEARCH</t>
  </si>
  <si>
    <t>1100 H ST NW STE 400</t>
  </si>
  <si>
    <t>20005-5953</t>
  </si>
  <si>
    <t>DIRECTOR, DONOR RELATIONS</t>
  </si>
  <si>
    <t>Dustin</t>
  </si>
  <si>
    <t>DeBerry</t>
  </si>
  <si>
    <t>ddeberry@ierdc.org</t>
  </si>
  <si>
    <t>(202) 621-2950</t>
  </si>
  <si>
    <t>526063009</t>
  </si>
  <si>
    <t>PHARMACEUTICAL RESEARCH AND MANUFACTURERS OF AMERICA FND</t>
  </si>
  <si>
    <t>950 F STREET NW</t>
  </si>
  <si>
    <t>20004-1438</t>
  </si>
  <si>
    <t>530242038</t>
  </si>
  <si>
    <t>NATIONAL CONSUMERS LEAGUE</t>
  </si>
  <si>
    <t>1701 K STREET NW</t>
  </si>
  <si>
    <t>20006-1503</t>
  </si>
  <si>
    <t>Vice President, Strategic Alliances and Development</t>
  </si>
  <si>
    <t>Sonderman</t>
  </si>
  <si>
    <t>amys@nclnet.org</t>
  </si>
  <si>
    <t>202-207-2829</t>
  </si>
  <si>
    <t>521570071</t>
  </si>
  <si>
    <t>INTERNATIONAL CAMPAIGN FOR TIBET</t>
  </si>
  <si>
    <t>1825 JEFFERSON PL NW</t>
  </si>
  <si>
    <t>20036-2504</t>
  </si>
  <si>
    <t>Melissa</t>
  </si>
  <si>
    <t>Jimison</t>
  </si>
  <si>
    <t>melissa.jimison@savetibet.org</t>
  </si>
  <si>
    <t>202-580-6768</t>
  </si>
  <si>
    <t>522328876</t>
  </si>
  <si>
    <t>COLUMBIA HEIGHTS AND SHAW FAMILY SUPPORT COLLABORATIVE</t>
  </si>
  <si>
    <t>1816 12TH ST NW STE 201</t>
  </si>
  <si>
    <t>20009-4422</t>
  </si>
  <si>
    <t>Penelope</t>
  </si>
  <si>
    <t>Griffith</t>
  </si>
  <si>
    <t>pgriffith@chsfsc.org</t>
  </si>
  <si>
    <t>(202) 518-6737</t>
  </si>
  <si>
    <t>521842738</t>
  </si>
  <si>
    <t>CONGRESSIONAL HUNGER CENTER</t>
  </si>
  <si>
    <t>400 N CAPITOL ST NW STE G100</t>
  </si>
  <si>
    <t>20001-1592</t>
  </si>
  <si>
    <t>O’Reilly</t>
  </si>
  <si>
    <t>voreilly@hungercenter.org</t>
  </si>
  <si>
    <t>(202) 547-7022 extension 19</t>
  </si>
  <si>
    <t>520960095</t>
  </si>
  <si>
    <t>THE ARC OF THE DISTRICT OF COLUMBIA</t>
  </si>
  <si>
    <t>415 MICHIGAN AVE NE STE 400</t>
  </si>
  <si>
    <t>20017-4505</t>
  </si>
  <si>
    <t>Board President</t>
  </si>
  <si>
    <t>Robert</t>
  </si>
  <si>
    <t>arcdc@arcdc.net</t>
  </si>
  <si>
    <t>(202) 636-2950</t>
  </si>
  <si>
    <t>521660746</t>
  </si>
  <si>
    <t>GREEN AMERICA</t>
  </si>
  <si>
    <t>1612 K ST NW STE 600</t>
  </si>
  <si>
    <t>20006-2810</t>
  </si>
  <si>
    <t>Kim-Solloway</t>
  </si>
  <si>
    <t>rkimsolloway@greenamerica.org</t>
  </si>
  <si>
    <t>(202)-872-5349</t>
  </si>
  <si>
    <t>521830369</t>
  </si>
  <si>
    <t>INTER-AMERICAN DIALOGUE</t>
  </si>
  <si>
    <t>1211 CONNECTICUT AVE NW</t>
  </si>
  <si>
    <t>Associate, Development &amp; External Relations</t>
  </si>
  <si>
    <t>Dolan</t>
  </si>
  <si>
    <t>cdolan@thedialogue.org</t>
  </si>
  <si>
    <t>(202) 822-9002</t>
  </si>
  <si>
    <t>222127884</t>
  </si>
  <si>
    <t>NATIONAL SECURITY ARCHIVE FUND</t>
  </si>
  <si>
    <t>2130 H ST NW STE 701</t>
  </si>
  <si>
    <t>20052-0081</t>
  </si>
  <si>
    <t>Blanton</t>
  </si>
  <si>
    <t>TBlanton@gwu.edu</t>
  </si>
  <si>
    <t>941703155</t>
  </si>
  <si>
    <t>POPULATION CONNECTION</t>
  </si>
  <si>
    <t>2120 L ST NW STE 500</t>
  </si>
  <si>
    <t>20037-1534</t>
  </si>
  <si>
    <t>Director of Marketing and Development</t>
  </si>
  <si>
    <t>Shauna</t>
  </si>
  <si>
    <t>Scherer</t>
  </si>
  <si>
    <t>sscherer@popconnect.org</t>
  </si>
  <si>
    <t>202-974-7730</t>
  </si>
  <si>
    <t>526040461</t>
  </si>
  <si>
    <t>JEWISH WOMEN INTERNATIONAL</t>
  </si>
  <si>
    <t>Development &amp; Administrative Associate</t>
  </si>
  <si>
    <t>Sari</t>
  </si>
  <si>
    <t>Weintraub</t>
  </si>
  <si>
    <t>sweintraub@jwi.org</t>
  </si>
  <si>
    <t>202-464-4817</t>
  </si>
  <si>
    <t>311816446</t>
  </si>
  <si>
    <t>THOMAS B FORDHAM INSTITUTE</t>
  </si>
  <si>
    <t>1016 16TH ST NW 18TH FLR</t>
  </si>
  <si>
    <t>20036-5703</t>
  </si>
  <si>
    <t>237059731</t>
  </si>
  <si>
    <t>PHYSICIANS FOR SOCIAL RESPONSIBILITY</t>
  </si>
  <si>
    <t>1111 14TH ST NW STE 700</t>
  </si>
  <si>
    <t>20005-5603</t>
  </si>
  <si>
    <t>Senior Manager of Philanthropy</t>
  </si>
  <si>
    <t>cherrmann@psr.org</t>
  </si>
  <si>
    <t>202.587.5239</t>
  </si>
  <si>
    <t>043706385</t>
  </si>
  <si>
    <t>THEODORE ROOSEVELT CONSERVATION PARTNERSHIP</t>
  </si>
  <si>
    <t>1660 L ST NW STE 208</t>
  </si>
  <si>
    <t>20036-5642</t>
  </si>
  <si>
    <t>Director of Development and Marketing</t>
  </si>
  <si>
    <t>Jenni</t>
  </si>
  <si>
    <t>Henry</t>
  </si>
  <si>
    <t>jhenry@trcp.org</t>
  </si>
  <si>
    <t>202-639-8727</t>
  </si>
  <si>
    <t>272107952</t>
  </si>
  <si>
    <t>CHANGE THE EQUATION</t>
  </si>
  <si>
    <t>1101 K ST NW STE 610</t>
  </si>
  <si>
    <t>20005-7031</t>
  </si>
  <si>
    <t>521814742</t>
  </si>
  <si>
    <t>ALASKA WILDERNESS LEAGUE</t>
  </si>
  <si>
    <t>122C ST N W</t>
  </si>
  <si>
    <t>Fujino</t>
  </si>
  <si>
    <t>ali@alaskawild.org</t>
  </si>
  <si>
    <t>202-544-5205</t>
  </si>
  <si>
    <t>521943698</t>
  </si>
  <si>
    <t>GOVERNMENT AFFAIRS INSTITUTE</t>
  </si>
  <si>
    <t>3333 K ST NW STE 112</t>
  </si>
  <si>
    <t>20007-3554</t>
  </si>
  <si>
    <t>262242071</t>
  </si>
  <si>
    <t>VIRTUAL ASTRONOMICAL OBSERVATORY LLC</t>
  </si>
  <si>
    <t>1400 16TH ST NW STE 730</t>
  </si>
  <si>
    <t>20036-2252</t>
  </si>
  <si>
    <t>520895826</t>
  </si>
  <si>
    <t>CHORAL ARTS SOCIETY OF WASHINGTON</t>
  </si>
  <si>
    <t>5225 WISCONSIN AVE NW STE 603</t>
  </si>
  <si>
    <t>20015-2024</t>
  </si>
  <si>
    <t>Kramer</t>
  </si>
  <si>
    <t>pkramer@choralarts.org</t>
  </si>
  <si>
    <t>202.244.3669, ext. 105</t>
  </si>
  <si>
    <t>521697917</t>
  </si>
  <si>
    <t>BRIGHT BEGINNINGS</t>
  </si>
  <si>
    <t>128 M ST NW STE 150</t>
  </si>
  <si>
    <t>20001-1238</t>
  </si>
  <si>
    <t>Latoyia</t>
  </si>
  <si>
    <t>Allen</t>
  </si>
  <si>
    <t>lallen@BrightBeginningsInc.org</t>
  </si>
  <si>
    <t>(202)842.9090</t>
  </si>
  <si>
    <t>526051733</t>
  </si>
  <si>
    <t>AMERICAN PSYCHOLOGICAL FOUNDATION</t>
  </si>
  <si>
    <t>750 FIRST STREET NE NO 9TH FL</t>
  </si>
  <si>
    <t>20002-0000</t>
  </si>
  <si>
    <t>Senior Development Coordinator</t>
  </si>
  <si>
    <t>Allison</t>
  </si>
  <si>
    <t>Kingery</t>
  </si>
  <si>
    <t>akingery@apa.org</t>
  </si>
  <si>
    <t>202) 336-5873</t>
  </si>
  <si>
    <t>237367468</t>
  </si>
  <si>
    <t>WORLDWATCH INSTITUTE</t>
  </si>
  <si>
    <t>1400 16TH ST NW 430</t>
  </si>
  <si>
    <t>20036-2217</t>
  </si>
  <si>
    <t>Director of Institutional Relations</t>
  </si>
  <si>
    <t>Redfern</t>
  </si>
  <si>
    <t>MRedfern@worldwatch.org</t>
  </si>
  <si>
    <t>(202) 745-8092</t>
  </si>
  <si>
    <t>521701564</t>
  </si>
  <si>
    <t>SOLAR ELECTRIC LIGHT FUND</t>
  </si>
  <si>
    <t>1775 K ST NW SUITE 595</t>
  </si>
  <si>
    <t>20006-1502</t>
  </si>
  <si>
    <t>karen@self.org</t>
  </si>
  <si>
    <t>202.234.7265</t>
  </si>
  <si>
    <t>204403497</t>
  </si>
  <si>
    <t>INFORMATION TECHNOLOGY ANDINNOVATION FOUNDATION</t>
  </si>
  <si>
    <t>521253457</t>
  </si>
  <si>
    <t>DANCE USA</t>
  </si>
  <si>
    <t>1111 16TH ST NW STE 300</t>
  </si>
  <si>
    <t>20036-4830</t>
  </si>
  <si>
    <t>Gruber</t>
  </si>
  <si>
    <t>agruber@danceusa.org</t>
  </si>
  <si>
    <t>202.833.1717 x 404</t>
  </si>
  <si>
    <t>030391561</t>
  </si>
  <si>
    <t>POLARIS PROJECT</t>
  </si>
  <si>
    <t>PO BOX 53315</t>
  </si>
  <si>
    <t>20009-9315</t>
  </si>
  <si>
    <t>Snouck-Hurgronje</t>
  </si>
  <si>
    <t>ASnouckHurgronje@polarisproject.org</t>
  </si>
  <si>
    <t>202-745-1001</t>
  </si>
  <si>
    <t>042730954</t>
  </si>
  <si>
    <t>FAUNA &amp; FLORA INTERNATIONAL</t>
  </si>
  <si>
    <t>1720 N ST NW</t>
  </si>
  <si>
    <t>20036-2907</t>
  </si>
  <si>
    <t>HEAD OF PHILANTHROPY</t>
  </si>
  <si>
    <t>Eaton</t>
  </si>
  <si>
    <t>liz.eaton@fauna-flora.org</t>
  </si>
  <si>
    <t>(202) 375-7766</t>
  </si>
  <si>
    <t>530257218</t>
  </si>
  <si>
    <t>BNAI BRITH FOUNDATION OF THE UNITED STATES</t>
  </si>
  <si>
    <t>536000291</t>
  </si>
  <si>
    <t>LOTT CAREY BAPTIST FOREIGN MISSION SOCIETY</t>
  </si>
  <si>
    <t>300 I ST NE STE 104</t>
  </si>
  <si>
    <t>20002-4342</t>
  </si>
  <si>
    <t>Director of Missional Programs</t>
  </si>
  <si>
    <t>Dawn</t>
  </si>
  <si>
    <t>Sanders</t>
  </si>
  <si>
    <t>dsanders@lottcarey.org</t>
  </si>
  <si>
    <t>202.543.3200</t>
  </si>
  <si>
    <t>341479461</t>
  </si>
  <si>
    <t>VOICES FOR AMERICAS CHILDREN</t>
  </si>
  <si>
    <t>1000 VERMONT AVE</t>
  </si>
  <si>
    <t>20005-4903</t>
  </si>
  <si>
    <t>522246995</t>
  </si>
  <si>
    <t>EDGEWOOD-BROOKLAND FAMILY SUPPORT COLLABORATIVE</t>
  </si>
  <si>
    <t>1345 SARATOGA AVE NE</t>
  </si>
  <si>
    <t>20018-1949</t>
  </si>
  <si>
    <t>Louvenia</t>
  </si>
  <si>
    <t>lwilliams@ebfsc.org</t>
  </si>
  <si>
    <t>202-832-9400</t>
  </si>
  <si>
    <t>540788947</t>
  </si>
  <si>
    <t>JUNIOR ACHIEVEMENT OF GREATER WASHINGTON</t>
  </si>
  <si>
    <t>1050 17TH ST NW STE 750</t>
  </si>
  <si>
    <t>20036-5593</t>
  </si>
  <si>
    <t>Wheeler</t>
  </si>
  <si>
    <t>Nora.Wheeler@JA.org</t>
  </si>
  <si>
    <t>(202) 777-4485</t>
  </si>
  <si>
    <t>521131788</t>
  </si>
  <si>
    <t>INTERNATIONAL LIFE SCIENCES INSTITUTE</t>
  </si>
  <si>
    <t>115615TH STREET NW 2ND FLOOR</t>
  </si>
  <si>
    <t>521841035</t>
  </si>
  <si>
    <t>RESOLVE</t>
  </si>
  <si>
    <t>1255 23RD ST NW STE 275</t>
  </si>
  <si>
    <t>Vice President of Program Development</t>
  </si>
  <si>
    <t>Dilley</t>
  </si>
  <si>
    <t>adilley@resolv.org</t>
  </si>
  <si>
    <t>202-944-2300</t>
  </si>
  <si>
    <t>520847434</t>
  </si>
  <si>
    <t>THE AMERICAN ARCHITECTURAL FOUNDATION</t>
  </si>
  <si>
    <t>1020 19TH ST NW STE 525</t>
  </si>
  <si>
    <t>20036-6108</t>
  </si>
  <si>
    <t>Ron</t>
  </si>
  <si>
    <t>Bogle</t>
  </si>
  <si>
    <t>rbogle@archfoundation.org</t>
  </si>
  <si>
    <t>202.787.1001</t>
  </si>
  <si>
    <t>431097957</t>
  </si>
  <si>
    <t>NATIONAL ABORTION FEDERATION</t>
  </si>
  <si>
    <t>1660 L ST NW</t>
  </si>
  <si>
    <t>20036-5603</t>
  </si>
  <si>
    <t>396570280</t>
  </si>
  <si>
    <t>INVESTOR PROTECTION TR</t>
  </si>
  <si>
    <t>919 18TH ST NW STE 300</t>
  </si>
  <si>
    <t>20006-5526</t>
  </si>
  <si>
    <t>550860403</t>
  </si>
  <si>
    <t>HOGAR HISPANO</t>
  </si>
  <si>
    <t>1126 16TH ST NW STE 600</t>
  </si>
  <si>
    <t>20036-4845</t>
  </si>
  <si>
    <t>521589700</t>
  </si>
  <si>
    <t>HABITAT FOR HUMANITY INTERNATIONAL</t>
  </si>
  <si>
    <t>2115 WARD CT NW</t>
  </si>
  <si>
    <t>20037-1209</t>
  </si>
  <si>
    <t>Marketing and Development Director</t>
  </si>
  <si>
    <t>Phibbs</t>
  </si>
  <si>
    <t>Heather.Phibbs@dchabitat.org</t>
  </si>
  <si>
    <t>(202) 882-4600 x233</t>
  </si>
  <si>
    <t>521654284</t>
  </si>
  <si>
    <t>ENVIRONMENTAL INVESTIGATION AGENCY</t>
  </si>
  <si>
    <t>PO BOX 53343</t>
  </si>
  <si>
    <t>20009-9343</t>
  </si>
  <si>
    <t>info@eia-global.org</t>
  </si>
  <si>
    <t>(202) 483-6621</t>
  </si>
  <si>
    <t>954163931</t>
  </si>
  <si>
    <t>CANCER SUPPORT COMMUNITY</t>
  </si>
  <si>
    <t>1050 17TH ST NW STE 500</t>
  </si>
  <si>
    <t>20036-5558</t>
  </si>
  <si>
    <t>Raia</t>
  </si>
  <si>
    <t>Christina@CancerSupportCommunity.org</t>
  </si>
  <si>
    <t>202.659.9709</t>
  </si>
  <si>
    <t>135674610</t>
  </si>
  <si>
    <t>FOUNDATION FOR INDEPENDENT HIGHER EDUCATION</t>
  </si>
  <si>
    <t>1 DUPONT CIR NW STE 320</t>
  </si>
  <si>
    <t>20036-1142</t>
  </si>
  <si>
    <t>521938443</t>
  </si>
  <si>
    <t>URBAN ALLIANCE FOUNDATION</t>
  </si>
  <si>
    <t>2030 Q ST NW</t>
  </si>
  <si>
    <t>20009-0000</t>
  </si>
  <si>
    <t>Nathaniel</t>
  </si>
  <si>
    <t>ncole@theurbanalliance.org</t>
  </si>
  <si>
    <t>202.459.4300</t>
  </si>
  <si>
    <t>522242472</t>
  </si>
  <si>
    <t>THE FORUM FOR YOUTH INVESTMENT</t>
  </si>
  <si>
    <t>7064 EASTERN AVE NW</t>
  </si>
  <si>
    <t>20012-2031</t>
  </si>
  <si>
    <t>Senior Manager, External Affairs</t>
  </si>
  <si>
    <t>IAN</t>
  </si>
  <si>
    <t>FAIGLEY</t>
  </si>
  <si>
    <t>ian@forumfyi.org</t>
  </si>
  <si>
    <t>202.207.3333</t>
  </si>
  <si>
    <t>521610088</t>
  </si>
  <si>
    <t>WASHINGTON AREA CONSORTIUM ON HIV INFECTION IN YOUTH</t>
  </si>
  <si>
    <t>651 PENNSYVLANIA AVENUE</t>
  </si>
  <si>
    <t>20003-6301</t>
  </si>
  <si>
    <t>Adam</t>
  </si>
  <si>
    <t>Tenner</t>
  </si>
  <si>
    <t>atenner@metroteenaids.org</t>
  </si>
  <si>
    <t>202-543-8246</t>
  </si>
  <si>
    <t>521706059</t>
  </si>
  <si>
    <t>FIGHT FOR CHILDREN</t>
  </si>
  <si>
    <t>1726 M ST NW STE 202</t>
  </si>
  <si>
    <t>20036-4532</t>
  </si>
  <si>
    <t>Ellett</t>
  </si>
  <si>
    <t>George</t>
  </si>
  <si>
    <t>ellett.george@fightforchildren.org</t>
  </si>
  <si>
    <t>202.772.0400</t>
  </si>
  <si>
    <t>522168409</t>
  </si>
  <si>
    <t>LIFT</t>
  </si>
  <si>
    <t>1620 I ST NW STE 900</t>
  </si>
  <si>
    <t>20006-4035</t>
  </si>
  <si>
    <t>Director, Development Strategy and Operations</t>
  </si>
  <si>
    <t>Valerie</t>
  </si>
  <si>
    <t>Fitton-Kane</t>
  </si>
  <si>
    <t>vfkane@liftcommunities.org</t>
  </si>
  <si>
    <t>(202) 289-1151</t>
  </si>
  <si>
    <t>520914949</t>
  </si>
  <si>
    <t>ASSOCIATES FOR RENEWAL IN EDUCATION</t>
  </si>
  <si>
    <t>45 P ST NW</t>
  </si>
  <si>
    <t>20001-1133</t>
  </si>
  <si>
    <t>President/CEO</t>
  </si>
  <si>
    <t>Dayna</t>
  </si>
  <si>
    <t>Nokes-Minor</t>
  </si>
  <si>
    <t>dminor@areinc.org</t>
  </si>
  <si>
    <t>202.483.9424</t>
  </si>
  <si>
    <t>800373801</t>
  </si>
  <si>
    <t>ADVANCED ENERGY ECONOMY INSTITUTE</t>
  </si>
  <si>
    <t>1101 14TH ST NW STE 1200</t>
  </si>
  <si>
    <t>521243739</t>
  </si>
  <si>
    <t>NATIONAL AQUARIUM SOCIETY</t>
  </si>
  <si>
    <t>14TH AND CONSTITUTION AVE NW</t>
  </si>
  <si>
    <t>20230-0001</t>
  </si>
  <si>
    <t>Senior Vice President/External Affairs</t>
  </si>
  <si>
    <t>Sher</t>
  </si>
  <si>
    <t>ksher@aqua.org</t>
  </si>
  <si>
    <t>410-576-3800</t>
  </si>
  <si>
    <t>272999579</t>
  </si>
  <si>
    <t>CONSORTIUM FOR ENERGY ENVIRONMENT AND DEMILITARIZATION</t>
  </si>
  <si>
    <t>1025 CONN AVE NW STE 904</t>
  </si>
  <si>
    <t>20036-5433</t>
  </si>
  <si>
    <t>521120274</t>
  </si>
  <si>
    <t>COMMUNITY ACTION PARTNERSHIP</t>
  </si>
  <si>
    <t>1140 CONN AVE NW STE 1210</t>
  </si>
  <si>
    <t>20036-4003</t>
  </si>
  <si>
    <t>522272092</t>
  </si>
  <si>
    <t>PEACEPLAYERS INTERNATIONAL</t>
  </si>
  <si>
    <t>901 NEW YORK AVE NW STE 550E</t>
  </si>
  <si>
    <t>20001-4466</t>
  </si>
  <si>
    <t>Lemek</t>
  </si>
  <si>
    <t>blemek@peaceplayersintl.org</t>
  </si>
  <si>
    <t>001 202-408-5111</t>
  </si>
  <si>
    <t>030583491</t>
  </si>
  <si>
    <t>YUMA STUDY CENTER</t>
  </si>
  <si>
    <t>PO BOX 32343</t>
  </si>
  <si>
    <t>20007-0643</t>
  </si>
  <si>
    <t>Director of Marketing and Communications</t>
  </si>
  <si>
    <t>Regina</t>
  </si>
  <si>
    <t>Bethencourt</t>
  </si>
  <si>
    <t>regina.bethencourt@yumastudycenter.org</t>
  </si>
  <si>
    <t>202-386-6905 ext. 125</t>
  </si>
  <si>
    <t>237185827</t>
  </si>
  <si>
    <t>FEDERATION OF AMERICAN SCIENTISTS</t>
  </si>
  <si>
    <t>1725 DESALES ST NW</t>
  </si>
  <si>
    <t>20036-4406</t>
  </si>
  <si>
    <t>Communications and Membership Manager</t>
  </si>
  <si>
    <t>Colten</t>
  </si>
  <si>
    <t>kcolten@fas.org</t>
  </si>
  <si>
    <t>(202) 454-4694</t>
  </si>
  <si>
    <t>300185120</t>
  </si>
  <si>
    <t>SPRINGVALE TERRACE</t>
  </si>
  <si>
    <t>4201 BUTTERWORTH PLACE NW</t>
  </si>
  <si>
    <t>010579796</t>
  </si>
  <si>
    <t>AMERICA ABROAD MEDIA</t>
  </si>
  <si>
    <t>1020 19TH ST NW STE 650</t>
  </si>
  <si>
    <t>20036-6119</t>
  </si>
  <si>
    <t>Ned</t>
  </si>
  <si>
    <t>Wilbur</t>
  </si>
  <si>
    <t>nwilbur@americaabroadmedia.org</t>
  </si>
  <si>
    <t>202-249-7380</t>
  </si>
  <si>
    <t>202029170</t>
  </si>
  <si>
    <t>WHITE RIBBON ALLIANCE FOR SAFE MOTHERHOOD</t>
  </si>
  <si>
    <t>1 THOMAS CIR NW STE 200</t>
  </si>
  <si>
    <t>20005-5805</t>
  </si>
  <si>
    <t>Director of Program Development and Operations</t>
  </si>
  <si>
    <t>LISA</t>
  </si>
  <si>
    <t>BOWEN</t>
  </si>
  <si>
    <t>info@whiteribbonalliance.org</t>
  </si>
  <si>
    <t>202-742-1214</t>
  </si>
  <si>
    <t>237416300</t>
  </si>
  <si>
    <t>BIBLICAL ARCHAEOLOGY SOCIETY</t>
  </si>
  <si>
    <t>4710 41ST ST NW</t>
  </si>
  <si>
    <t>20016-1705</t>
  </si>
  <si>
    <t>Administrative Editor</t>
  </si>
  <si>
    <t>Bonnie</t>
  </si>
  <si>
    <t>Mullin</t>
  </si>
  <si>
    <t>bmullin@bib-arch.org</t>
  </si>
  <si>
    <t>(202) 364-3300</t>
  </si>
  <si>
    <t>131820189</t>
  </si>
  <si>
    <t>FDLI</t>
  </si>
  <si>
    <t>1155 15TH ST NW STE 800</t>
  </si>
  <si>
    <t>200108493</t>
  </si>
  <si>
    <t>MCCLENDON CENTER</t>
  </si>
  <si>
    <t>1313 NEW YORK AVE NW</t>
  </si>
  <si>
    <t>20005-4701</t>
  </si>
  <si>
    <t>Mike</t>
  </si>
  <si>
    <t>Shumann</t>
  </si>
  <si>
    <t>mshumann@mcclendoncenter.org</t>
  </si>
  <si>
    <t>240-644-2933</t>
  </si>
  <si>
    <t>520907224</t>
  </si>
  <si>
    <t>EPISCOPAL CHURCH HOME FRIENDSHIP</t>
  </si>
  <si>
    <t>4201 BUTTERWORTH PLACENW</t>
  </si>
  <si>
    <t>20016-0000</t>
  </si>
  <si>
    <t>521991509</t>
  </si>
  <si>
    <t>PRO BONO INSTITUTE</t>
  </si>
  <si>
    <t>550 FIRST STREET NW STE 5006</t>
  </si>
  <si>
    <t>20001-2025</t>
  </si>
  <si>
    <t>Director, Strategic Communications</t>
  </si>
  <si>
    <t>Lipscomb</t>
  </si>
  <si>
    <t>dlipscomb@probonoinst.org</t>
  </si>
  <si>
    <t>202.729.6699</t>
  </si>
  <si>
    <t>526042568</t>
  </si>
  <si>
    <t>MASONIC FOUNDATION OF THE DISTRICT OF COLUMBIA</t>
  </si>
  <si>
    <t>5428 MACARTHUR BLVD NW</t>
  </si>
  <si>
    <t>20016-2524</t>
  </si>
  <si>
    <t>201326922</t>
  </si>
  <si>
    <t>ENVIRONMENTAL INTEGRITY PROJECT</t>
  </si>
  <si>
    <t>1 THOMAS CIR NW STE 900</t>
  </si>
  <si>
    <t>20005-5810</t>
  </si>
  <si>
    <t>Souryal</t>
  </si>
  <si>
    <t>ksouryal@environmentalintegrity.org</t>
  </si>
  <si>
    <t>202-296-8800</t>
  </si>
  <si>
    <t>521194012</t>
  </si>
  <si>
    <t>HELPING CHILDREN GROW</t>
  </si>
  <si>
    <t>2120 BLADENSBRG RD NE STE 200</t>
  </si>
  <si>
    <t>20018-1400</t>
  </si>
  <si>
    <t>272227363</t>
  </si>
  <si>
    <t>BETTER MARKETS</t>
  </si>
  <si>
    <t>1825 K ST NW STE 1080</t>
  </si>
  <si>
    <t>20006-1241</t>
  </si>
  <si>
    <t>President and Chief Executive Officer</t>
  </si>
  <si>
    <t>Dennis</t>
  </si>
  <si>
    <t>Kelleher</t>
  </si>
  <si>
    <t>DKelleher@bettermarkets.com</t>
  </si>
  <si>
    <t>(202) 618-6464</t>
  </si>
  <si>
    <t>272536781</t>
  </si>
  <si>
    <t>COMMITTEE FOR CHARLOTTE 2012</t>
  </si>
  <si>
    <t>1025 VERMONT AVE NW STE 300</t>
  </si>
  <si>
    <t>20005-6302</t>
  </si>
  <si>
    <t>261150699</t>
  </si>
  <si>
    <t>350 ORG</t>
  </si>
  <si>
    <t>1A SAINT MATHEWS CT NW</t>
  </si>
  <si>
    <t>20036-2901</t>
  </si>
  <si>
    <t>Hudson</t>
  </si>
  <si>
    <t>julie@350.org</t>
  </si>
  <si>
    <t>518.635.0350</t>
  </si>
  <si>
    <t>530204708</t>
  </si>
  <si>
    <t>TEXTILE MUSEUM OF D C</t>
  </si>
  <si>
    <t>2320 S ST NW</t>
  </si>
  <si>
    <t>20008-4016</t>
  </si>
  <si>
    <t>Eliza</t>
  </si>
  <si>
    <t>eward@gwu.edu</t>
  </si>
  <si>
    <t>202-994-5438</t>
  </si>
  <si>
    <t>521100361</t>
  </si>
  <si>
    <t>NARAL PRO-CHOICE AMERICA FOUNDATION</t>
  </si>
  <si>
    <t>Ilyse</t>
  </si>
  <si>
    <t>Hogue</t>
  </si>
  <si>
    <t>IHogue@ProChoiceAmerica.org</t>
  </si>
  <si>
    <t>202.973.3000</t>
  </si>
  <si>
    <t>522262577</t>
  </si>
  <si>
    <t>PARTNERSHIP FOR TRANSPARENCY FUND</t>
  </si>
  <si>
    <t>1100 15TH STREET NW SUITE 400</t>
  </si>
  <si>
    <t>20005-1707</t>
  </si>
  <si>
    <t>Grants &amp; Finance Manager</t>
  </si>
  <si>
    <t>Lorena</t>
  </si>
  <si>
    <t>Curry</t>
  </si>
  <si>
    <t>lcurry@ptfund.org</t>
  </si>
  <si>
    <t>202-470-5718</t>
  </si>
  <si>
    <t>562189635</t>
  </si>
  <si>
    <t>FREE THE SLAVES</t>
  </si>
  <si>
    <t>1320 19TH ST NW STE 600</t>
  </si>
  <si>
    <t>20036-1633</t>
  </si>
  <si>
    <t>Lori</t>
  </si>
  <si>
    <t>Fitzmaurice</t>
  </si>
  <si>
    <t>lori@freetheslaves.net</t>
  </si>
  <si>
    <t>202-775-7480</t>
  </si>
  <si>
    <t>530239013</t>
  </si>
  <si>
    <t>LEAGUE OF WOMEN VOTERS EDUCATION FUND</t>
  </si>
  <si>
    <t>1730 M ST NW STE 1000</t>
  </si>
  <si>
    <t>20036-4570</t>
  </si>
  <si>
    <t>Zylstra</t>
  </si>
  <si>
    <t>LZylstra@lwv.org</t>
  </si>
  <si>
    <t>202-429-1965 x336</t>
  </si>
  <si>
    <t>521462893</t>
  </si>
  <si>
    <t>COMMITTEE FOR A CONSTRUCTIVE TOMORROW</t>
  </si>
  <si>
    <t>PO BOX 65722</t>
  </si>
  <si>
    <t>20035-5722</t>
  </si>
  <si>
    <t>Norman</t>
  </si>
  <si>
    <t>cwilson@cfactcampus.org</t>
  </si>
  <si>
    <t>(202) 429-2737</t>
  </si>
  <si>
    <t>521285097</t>
  </si>
  <si>
    <t>BRADY CENTER TO PREVENT GUN VIOLENCE</t>
  </si>
  <si>
    <t>1225 EYE STREET NW SUITE 1100</t>
  </si>
  <si>
    <t>20005-3914</t>
  </si>
  <si>
    <t>Revitte</t>
  </si>
  <si>
    <t>lrevitte@bradymail.org</t>
  </si>
  <si>
    <t>202-370-8150</t>
  </si>
  <si>
    <t>820578781</t>
  </si>
  <si>
    <t>EDUCATION FOR EMPLOYMENT FOUNDATION</t>
  </si>
  <si>
    <t>1612 K ST NW STE 800</t>
  </si>
  <si>
    <t>20006-2850</t>
  </si>
  <si>
    <t>Vice President of Strategy and Partnerships</t>
  </si>
  <si>
    <t>Jasmine</t>
  </si>
  <si>
    <t>Nahhas di Florio</t>
  </si>
  <si>
    <t>jnahhasdiflorio@efe.org</t>
  </si>
  <si>
    <t>521007373</t>
  </si>
  <si>
    <t>N STREET VILLAGE</t>
  </si>
  <si>
    <t>1333 N ST NW</t>
  </si>
  <si>
    <t>20005-3601</t>
  </si>
  <si>
    <t>Communications and Engagement Manager</t>
  </si>
  <si>
    <t>Akalonu</t>
  </si>
  <si>
    <t>kakalonu@nstreetvillage.org</t>
  </si>
  <si>
    <t>202-939-2096</t>
  </si>
  <si>
    <t>521773366</t>
  </si>
  <si>
    <t>BEACON HOUSE COMMUNITY MINISTRY</t>
  </si>
  <si>
    <t>601 EDGEWOOD ST NE</t>
  </si>
  <si>
    <t>20017-3314</t>
  </si>
  <si>
    <t>Gerry</t>
  </si>
  <si>
    <t>Kittner</t>
  </si>
  <si>
    <t>GKittner@beaconhousedc.org</t>
  </si>
  <si>
    <t>202.529.7376</t>
  </si>
  <si>
    <t>522246743</t>
  </si>
  <si>
    <t>BUSINESS CIVIC LEADERSHIP CENTER</t>
  </si>
  <si>
    <t>262569958</t>
  </si>
  <si>
    <t>MUNDO VERDE BILINGUAL PUBLIC CHARTER SCHOOL</t>
  </si>
  <si>
    <t>3220 16TH ST NW</t>
  </si>
  <si>
    <t>20010-3356</t>
  </si>
  <si>
    <t>Isadora</t>
  </si>
  <si>
    <t>Carreras</t>
  </si>
  <si>
    <t>icarreras@mundoverdepcs.org</t>
  </si>
  <si>
    <t>202-630-8373</t>
  </si>
  <si>
    <t>311750942</t>
  </si>
  <si>
    <t>NATIONAL MINORITY QUALITY FORUM</t>
  </si>
  <si>
    <t>1200 NH AVE NW STE 575</t>
  </si>
  <si>
    <t>20036-6817</t>
  </si>
  <si>
    <t>953747267</t>
  </si>
  <si>
    <t>RESULTS EDUCATIONAL FUND</t>
  </si>
  <si>
    <t>1730 RHODE IS AVE NW STE 400 # NW</t>
  </si>
  <si>
    <t>20036-3118</t>
  </si>
  <si>
    <t>Jerusa</t>
  </si>
  <si>
    <t>Contee</t>
  </si>
  <si>
    <t>jcontee@results.org</t>
  </si>
  <si>
    <t>(202) 783-7100</t>
  </si>
  <si>
    <t>521544030</t>
  </si>
  <si>
    <t>THELONIOUS MONK INSTITUTE OF JAZZ</t>
  </si>
  <si>
    <t>5225 WISCONSIN AVE NW STE 605</t>
  </si>
  <si>
    <t>Vice President, Operations</t>
  </si>
  <si>
    <t>Day</t>
  </si>
  <si>
    <t>mday@monkinstitute.org</t>
  </si>
  <si>
    <t>202-364-7272</t>
  </si>
  <si>
    <t>522165893</t>
  </si>
  <si>
    <t>CENTER FOR FOOD SAFETY</t>
  </si>
  <si>
    <t>660 PENNSYLVANIA AVENUE SE</t>
  </si>
  <si>
    <t>20003-4346</t>
  </si>
  <si>
    <t>Austin</t>
  </si>
  <si>
    <t>Cummings</t>
  </si>
  <si>
    <t>ACummings@centerforfoodsafety.org</t>
  </si>
  <si>
    <t>(202) 547-9359</t>
  </si>
  <si>
    <t>521196708</t>
  </si>
  <si>
    <t>FARMWORKER JUSTICE FUND</t>
  </si>
  <si>
    <t>1126 16TH ST NW STE 270</t>
  </si>
  <si>
    <t>20036-4840</t>
  </si>
  <si>
    <t>Chief Operations Officer</t>
  </si>
  <si>
    <t>Candace</t>
  </si>
  <si>
    <t>Mickens</t>
  </si>
  <si>
    <t>CMickens@farmworkerjustice.org</t>
  </si>
  <si>
    <t>(202) 293-5420</t>
  </si>
  <si>
    <t>522358563</t>
  </si>
  <si>
    <t>ATLAS PREFORMING ARTS CENTER</t>
  </si>
  <si>
    <t>1333 H ST NE</t>
  </si>
  <si>
    <t>20002-4446</t>
  </si>
  <si>
    <t>Claire</t>
  </si>
  <si>
    <t>Carlin</t>
  </si>
  <si>
    <t>ccarlin@atlasarts.org</t>
  </si>
  <si>
    <t>202.399.7993</t>
  </si>
  <si>
    <t>300664947</t>
  </si>
  <si>
    <t>ISRAEL ON CAMPUS COALITION</t>
  </si>
  <si>
    <t>Jacob</t>
  </si>
  <si>
    <t>Baime</t>
  </si>
  <si>
    <t>jbaime@israelcc.org</t>
  </si>
  <si>
    <t>202-735-2573</t>
  </si>
  <si>
    <t>134331855</t>
  </si>
  <si>
    <t>INVESTIGATIVE PROJECT ON TERRORISM FOUNDATION</t>
  </si>
  <si>
    <t>5505 CONN AVE NW</t>
  </si>
  <si>
    <t>20015-2601</t>
  </si>
  <si>
    <t>530245460</t>
  </si>
  <si>
    <t>WOODLEY HOUSE</t>
  </si>
  <si>
    <t>1221 TAYLOR ST NW</t>
  </si>
  <si>
    <t>20011-5617</t>
  </si>
  <si>
    <t>Meixner</t>
  </si>
  <si>
    <t>lmeixner@woodleyhouse.org</t>
  </si>
  <si>
    <t>202-506-3102</t>
  </si>
  <si>
    <t>201727977</t>
  </si>
  <si>
    <t>SECURING AMERICAS FUTURE ENERGY FOUNDATION</t>
  </si>
  <si>
    <t>1111 19TH ST NW STE 406</t>
  </si>
  <si>
    <t>20036-3627</t>
  </si>
  <si>
    <t>Freedman</t>
  </si>
  <si>
    <t>MFreedman@secureenergy.org</t>
  </si>
  <si>
    <t>202-461-2360</t>
  </si>
  <si>
    <t>521841608</t>
  </si>
  <si>
    <t>FINANCE PROJECT</t>
  </si>
  <si>
    <t>1150 18TH ST NW</t>
  </si>
  <si>
    <t>20036-3816</t>
  </si>
  <si>
    <t>541850819</t>
  </si>
  <si>
    <t>SEED FOUNDATION</t>
  </si>
  <si>
    <t>1712 EYE ST NW STE 300</t>
  </si>
  <si>
    <t>20006-3745</t>
  </si>
  <si>
    <t>manager of development and marketing operations</t>
  </si>
  <si>
    <t>Karianna</t>
  </si>
  <si>
    <t>Barr</t>
  </si>
  <si>
    <t>kbarr@seedfoundation.com</t>
  </si>
  <si>
    <t>(202) 785-4123 x19</t>
  </si>
  <si>
    <t>530182962</t>
  </si>
  <si>
    <t>RTCA</t>
  </si>
  <si>
    <t>1150 18TH ST NW STE 910</t>
  </si>
  <si>
    <t>20036-3873</t>
  </si>
  <si>
    <t>980514692</t>
  </si>
  <si>
    <t>CIDRZ FOUNDATION</t>
  </si>
  <si>
    <t>5335 WISCONSIN AVE NW STE 440</t>
  </si>
  <si>
    <t>20015-2079</t>
  </si>
  <si>
    <t>521216015</t>
  </si>
  <si>
    <t>TRICOM TRAINING INSTITUTE</t>
  </si>
  <si>
    <t>1335 11TH ST NW</t>
  </si>
  <si>
    <t>20001-4219</t>
  </si>
  <si>
    <t>522275123</t>
  </si>
  <si>
    <t>AFTERSCHOOL ALLIANCE</t>
  </si>
  <si>
    <t>1616 H STREET NW</t>
  </si>
  <si>
    <t>Spitzberg</t>
  </si>
  <si>
    <t>ESpitzberg@afterschoolalliance.org</t>
  </si>
  <si>
    <t>(202) 347-2030</t>
  </si>
  <si>
    <t>521858532</t>
  </si>
  <si>
    <t>BECKET FUND</t>
  </si>
  <si>
    <t>3000 K ST NW STE 220</t>
  </si>
  <si>
    <t>20007-5153</t>
  </si>
  <si>
    <t>Alvarado</t>
  </si>
  <si>
    <t>malvarado@becketfund.org</t>
  </si>
  <si>
    <t>202.955.0095</t>
  </si>
  <si>
    <t>530207408</t>
  </si>
  <si>
    <t>CHRIST CHILD SOCIETY</t>
  </si>
  <si>
    <t>5101 WISC AVE NW 304</t>
  </si>
  <si>
    <t>20016-4138</t>
  </si>
  <si>
    <t>Program Coordinator</t>
  </si>
  <si>
    <t>Robin</t>
  </si>
  <si>
    <t>rkramer@christchilddc.org</t>
  </si>
  <si>
    <t>202-966-9250 Ext.100</t>
  </si>
  <si>
    <t>200450386</t>
  </si>
  <si>
    <t>AMERICAN BOARD FOR CERTIFICATION OF TEACHER EXCELLENCE</t>
  </si>
  <si>
    <t>1225 19TH ST NW STE 400</t>
  </si>
  <si>
    <t>20036-2457</t>
  </si>
  <si>
    <t>262624247</t>
  </si>
  <si>
    <t>AMERICAS VOICE EDUCATION FUND</t>
  </si>
  <si>
    <t>1050 17TH ST NW STE 490</t>
  </si>
  <si>
    <t>20036-5519</t>
  </si>
  <si>
    <t>Founder and Executive Director</t>
  </si>
  <si>
    <t>Frank</t>
  </si>
  <si>
    <t>Sharry</t>
  </si>
  <si>
    <t>info@americasvoiceonline.org</t>
  </si>
  <si>
    <t>202-724-6397</t>
  </si>
  <si>
    <t>263268204</t>
  </si>
  <si>
    <t>DC BOWL COMMITTEE</t>
  </si>
  <si>
    <t>1200 NEW HAMPSHIRE AVE NW 8TH FLR</t>
  </si>
  <si>
    <t>521451753</t>
  </si>
  <si>
    <t>NATIONAL ACADEMY OF SOCIAL INSURANCE</t>
  </si>
  <si>
    <t>1776 MASS AVE NW STE 400</t>
  </si>
  <si>
    <t>20036-1914</t>
  </si>
  <si>
    <t>Devin</t>
  </si>
  <si>
    <t>Cowens</t>
  </si>
  <si>
    <t>dcowens@nasi.org</t>
  </si>
  <si>
    <t>202-452-8097</t>
  </si>
  <si>
    <t>860947831</t>
  </si>
  <si>
    <t>COLON CANCER ALLIANCE</t>
  </si>
  <si>
    <t>1025 VERMONT AVE NW STE 1066</t>
  </si>
  <si>
    <t>20005-3516</t>
  </si>
  <si>
    <t>Nicole</t>
  </si>
  <si>
    <t>Sheahan</t>
  </si>
  <si>
    <t>nsheahan@ccalliance.org</t>
  </si>
  <si>
    <t>(202) 628-0123</t>
  </si>
  <si>
    <t>522214307</t>
  </si>
  <si>
    <t>USACTION EDUCATION FUND</t>
  </si>
  <si>
    <t>1825 K ST NW STE 210</t>
  </si>
  <si>
    <t>Beatrice</t>
  </si>
  <si>
    <t>Dermer</t>
  </si>
  <si>
    <t>bdermer@usaction.org</t>
  </si>
  <si>
    <t>(202) 263-4520</t>
  </si>
  <si>
    <t>522218789</t>
  </si>
  <si>
    <t>THE CONSTITUTION PROJECT</t>
  </si>
  <si>
    <t>1200 18TH ST NW STE 1000</t>
  </si>
  <si>
    <t>20036-2555</t>
  </si>
  <si>
    <t>Director of Strategic Partnerships and Development</t>
  </si>
  <si>
    <t>Banks</t>
  </si>
  <si>
    <t>lbanks@constitutionproject.org</t>
  </si>
  <si>
    <t>202-580-6931</t>
  </si>
  <si>
    <t>522148006</t>
  </si>
  <si>
    <t>NATIONAL COALITION FOR WOMEN WITH HEART DISEASE</t>
  </si>
  <si>
    <t>818 18TH ST NW STE 1000</t>
  </si>
  <si>
    <t>20006-3530</t>
  </si>
  <si>
    <t>Manager, Development</t>
  </si>
  <si>
    <t>Kay</t>
  </si>
  <si>
    <t>Ericson</t>
  </si>
  <si>
    <t>kericson@womenheart.org</t>
  </si>
  <si>
    <t>(202) 728-7199</t>
  </si>
  <si>
    <t>756042129</t>
  </si>
  <si>
    <t>AMERICAN ACADEMY OF ACHIEVEMENT</t>
  </si>
  <si>
    <t>1222 16TH ST NW</t>
  </si>
  <si>
    <t>20036-3202</t>
  </si>
  <si>
    <t>521268030</t>
  </si>
  <si>
    <t>ENVIRONMENTAL AND ENERGY STUDY INSTITUTE</t>
  </si>
  <si>
    <t>1112 16TH ST NW STE 300</t>
  </si>
  <si>
    <t>20036-4819</t>
  </si>
  <si>
    <t>swilliams@eesi.org</t>
  </si>
  <si>
    <t>202.662.1887</t>
  </si>
  <si>
    <t>521784938</t>
  </si>
  <si>
    <t>WASHINGTON LAWYERS COMMITTEE FOR CIVIL RIGHTS &amp; URBAN AFFAIRS</t>
  </si>
  <si>
    <t>11 DUPONT CIRCLE NW</t>
  </si>
  <si>
    <t>Director, Development &amp; Communications</t>
  </si>
  <si>
    <t>Da’aga</t>
  </si>
  <si>
    <t>Bowman</t>
  </si>
  <si>
    <t>daaga_bowman@washlaw.org</t>
  </si>
  <si>
    <t>(202) 319-1000</t>
  </si>
  <si>
    <t>550889748</t>
  </si>
  <si>
    <t>THE VOTER PARTICIPATION CENTER</t>
  </si>
  <si>
    <t>1640 RHODE IS AVE NW STE 825</t>
  </si>
  <si>
    <t>20036-3226</t>
  </si>
  <si>
    <t>521617061</t>
  </si>
  <si>
    <t>AMERICAN PROSPECT</t>
  </si>
  <si>
    <t>1710 RHODE ISLAND AVE NW FLR12</t>
  </si>
  <si>
    <t>20036-3007</t>
  </si>
  <si>
    <t>Joe</t>
  </si>
  <si>
    <t>Gallant</t>
  </si>
  <si>
    <t>jgallant@prospect.org</t>
  </si>
  <si>
    <t>202-753-0928</t>
  </si>
  <si>
    <t>300075580</t>
  </si>
  <si>
    <t>NATIONAL SKILLS COALITION</t>
  </si>
  <si>
    <t>1730 RHODE IS AVE NW STE 712</t>
  </si>
  <si>
    <t>20036-3115</t>
  </si>
  <si>
    <t>Chief of Development and Strategic Growth</t>
  </si>
  <si>
    <t>Oldmixon</t>
  </si>
  <si>
    <t>andreag@nationalskillscoalition.org</t>
  </si>
  <si>
    <t>202.223.8991</t>
  </si>
  <si>
    <t>270458242</t>
  </si>
  <si>
    <t>PULITZER CENTER ON CRISIS REPORTING</t>
  </si>
  <si>
    <t>1779 MASSACHUSETTS AVE</t>
  </si>
  <si>
    <t>061634525</t>
  </si>
  <si>
    <t>AMERICAN ISLAMIC CONGRESS</t>
  </si>
  <si>
    <t>1718 M STREET NW NO 243</t>
  </si>
  <si>
    <t>20036-4504</t>
  </si>
  <si>
    <t>Co-Founder and Executive Director</t>
  </si>
  <si>
    <t>Zainab</t>
  </si>
  <si>
    <t>Al-Suwaij</t>
  </si>
  <si>
    <t>Zainab@aicongress.org</t>
  </si>
  <si>
    <t>202-595-3160</t>
  </si>
  <si>
    <t>521755744</t>
  </si>
  <si>
    <t>CENTER FOR MIND-BODY MEDICINE</t>
  </si>
  <si>
    <t>5225 CONN AVE NW</t>
  </si>
  <si>
    <t>20015-1813</t>
  </si>
  <si>
    <t>Greg</t>
  </si>
  <si>
    <t>Fields</t>
  </si>
  <si>
    <t>gfields@cmbm.org</t>
  </si>
  <si>
    <t>202.966.7338</t>
  </si>
  <si>
    <t>521233065</t>
  </si>
  <si>
    <t>L ARCHE</t>
  </si>
  <si>
    <t>1840 COLUMBIA RD NW APT 301</t>
  </si>
  <si>
    <t>20009-2081</t>
  </si>
  <si>
    <t>Director of Communications and Development</t>
  </si>
  <si>
    <t>Bethany</t>
  </si>
  <si>
    <t>Keener</t>
  </si>
  <si>
    <t>BethanyKeener@larche-gwdc.org</t>
  </si>
  <si>
    <t>(202) 507-1328</t>
  </si>
  <si>
    <t>953750694</t>
  </si>
  <si>
    <t>PARENTS FAMILIES AND FRIENDS OF LESBIANS AND GAYS</t>
  </si>
  <si>
    <t>1828 L ST NW STE 660</t>
  </si>
  <si>
    <t>20036-5112</t>
  </si>
  <si>
    <t>Blackwood</t>
  </si>
  <si>
    <t>sblackwood@pflag.org</t>
  </si>
  <si>
    <t>(202) 467-8180 ext. 218</t>
  </si>
  <si>
    <t>710914032</t>
  </si>
  <si>
    <t>THE PARTNERSHIP FOR WORKING FAMILIES</t>
  </si>
  <si>
    <t>Nikki</t>
  </si>
  <si>
    <t>Bas</t>
  </si>
  <si>
    <t>nfb@forworkingfamilies.org</t>
  </si>
  <si>
    <t>202-263-4543</t>
  </si>
  <si>
    <t>204098898</t>
  </si>
  <si>
    <t>JUSTICE AT STAKE CAMPAIGN</t>
  </si>
  <si>
    <t>717 D ST NW STE 203</t>
  </si>
  <si>
    <t>20004-2814</t>
  </si>
  <si>
    <t>Deputy Executive Director for Development</t>
  </si>
  <si>
    <t>Deborah</t>
  </si>
  <si>
    <t>Dubois</t>
  </si>
  <si>
    <t>ddubois@justiceatstake.org</t>
  </si>
  <si>
    <t>202-588-9700</t>
  </si>
  <si>
    <t>521343924</t>
  </si>
  <si>
    <t>GOVERNMENT ACCOUNTABILITY PROJECT</t>
  </si>
  <si>
    <t>1612 K STREET NW</t>
  </si>
  <si>
    <t>20006-2802</t>
  </si>
  <si>
    <t>Manager of Development Research &amp; Individual Giving</t>
  </si>
  <si>
    <t>Waheeda</t>
  </si>
  <si>
    <t>Ghani</t>
  </si>
  <si>
    <t>WaheedaG@whistleblower.org</t>
  </si>
  <si>
    <t>(202) 457-0034</t>
  </si>
  <si>
    <t>311477950</t>
  </si>
  <si>
    <t>CORNERSTONE BAYVIEW</t>
  </si>
  <si>
    <t>1090 VERMONT AVE NW STE 400</t>
  </si>
  <si>
    <t>20005-4905</t>
  </si>
  <si>
    <t>020620456</t>
  </si>
  <si>
    <t>NATIONAL JUVENILE DEFENDER CENTER</t>
  </si>
  <si>
    <t>1350 CONNECTICUT AVE NW</t>
  </si>
  <si>
    <t>20036-1722</t>
  </si>
  <si>
    <t>Program and Development Associate</t>
  </si>
  <si>
    <t>Rey</t>
  </si>
  <si>
    <t>rbanks@njdc.info</t>
  </si>
  <si>
    <t>202.452.0010</t>
  </si>
  <si>
    <t>521686163</t>
  </si>
  <si>
    <t>CONGRESSIONAL SPORTSMENS FOUNDATION</t>
  </si>
  <si>
    <t>110 N CAROLINA AVE SE</t>
  </si>
  <si>
    <t>20003-1841</t>
  </si>
  <si>
    <t>Director of Events and Donor Relations</t>
  </si>
  <si>
    <t>PJ</t>
  </si>
  <si>
    <t>Carleton</t>
  </si>
  <si>
    <t>pj@sportsmenslink.org</t>
  </si>
  <si>
    <t>(202) 543-6850 ex. 22</t>
  </si>
  <si>
    <t>271363108</t>
  </si>
  <si>
    <t>START INTERNATIONAL</t>
  </si>
  <si>
    <t>2000 FLORIDA AVE NW STE 200</t>
  </si>
  <si>
    <t>Seipt</t>
  </si>
  <si>
    <t>cseipt@start.org</t>
  </si>
  <si>
    <t>202 462 2213</t>
  </si>
  <si>
    <t>522028612</t>
  </si>
  <si>
    <t>WASHINGTON AREA WOMENS FOUNDATION</t>
  </si>
  <si>
    <t>1331 J ST NW</t>
  </si>
  <si>
    <t>Development Contractor</t>
  </si>
  <si>
    <t>Farrell</t>
  </si>
  <si>
    <t>Barnes</t>
  </si>
  <si>
    <t>fbarnes@wawf.org</t>
  </si>
  <si>
    <t>202.347.7737 ext. 214</t>
  </si>
  <si>
    <t>521454259</t>
  </si>
  <si>
    <t>THE CENTER FOR PROGRESSIVE LEADERSHIP</t>
  </si>
  <si>
    <t>1133 19TH ST NW FL 9</t>
  </si>
  <si>
    <t>20036-3612</t>
  </si>
  <si>
    <t>521524972</t>
  </si>
  <si>
    <t>COMMUNICATIONS CONSORTIUM MEDIA CENTER</t>
  </si>
  <si>
    <t>401 9TH ST NW STE 450</t>
  </si>
  <si>
    <t>20004-2137</t>
  </si>
  <si>
    <t>133553974</t>
  </si>
  <si>
    <t>GREEN SEAL</t>
  </si>
  <si>
    <t>1001 CONN AVE NW STE 827</t>
  </si>
  <si>
    <t>20036-5525</t>
  </si>
  <si>
    <t>521971942</t>
  </si>
  <si>
    <t>INSTITUTE FOR AMERICAS FUTURE</t>
  </si>
  <si>
    <t>1825 K ST NW STE 400</t>
  </si>
  <si>
    <t>20006-1254</t>
  </si>
  <si>
    <t>Goodrich</t>
  </si>
  <si>
    <t>JGoodrich@ourfuture.org</t>
  </si>
  <si>
    <t>(202) 955-5665</t>
  </si>
  <si>
    <t>522213870</t>
  </si>
  <si>
    <t>AMERICAN ACADEMY OF NURSING</t>
  </si>
  <si>
    <t>1000 VERMONT AVE NW STE 910</t>
  </si>
  <si>
    <t>Director, Member Engagement &amp; Events</t>
  </si>
  <si>
    <t>Cunic</t>
  </si>
  <si>
    <t>Jocelyn_Cunic@AANnet.org</t>
  </si>
  <si>
    <t>(202) 777-1170</t>
  </si>
  <si>
    <t>207472471</t>
  </si>
  <si>
    <t>NATIONAL ORGANIZATION FOR MARRIAGE EDUCATION FUND</t>
  </si>
  <si>
    <t>2029 K ST NW STE 300</t>
  </si>
  <si>
    <t>20006-1004</t>
  </si>
  <si>
    <t>Brown</t>
  </si>
  <si>
    <t>bbrown@nationformarriage.org</t>
  </si>
  <si>
    <t>(888) 894-3604</t>
  </si>
  <si>
    <t>651293388</t>
  </si>
  <si>
    <t>GREEN FESTIVALS</t>
  </si>
  <si>
    <t>521616097</t>
  </si>
  <si>
    <t>THE WISCONSIN PROJECT ON NUCLEAR ARMS CONTROL</t>
  </si>
  <si>
    <t>1701 K ST NW STE 805</t>
  </si>
  <si>
    <t>20006-1568</t>
  </si>
  <si>
    <t>Lincy</t>
  </si>
  <si>
    <t>info@wisconsinproject.org</t>
  </si>
  <si>
    <t>202-223-8299</t>
  </si>
  <si>
    <t>043641630</t>
  </si>
  <si>
    <t>NATIONAL COMMISSION ON TEACHING &amp; AMERICAS FUTURE</t>
  </si>
  <si>
    <t>1420 K ST NW STE 1000</t>
  </si>
  <si>
    <t>20005-2508</t>
  </si>
  <si>
    <t>521780618</t>
  </si>
  <si>
    <t>SAFE HAVEN OUTREACH MINISTRIES</t>
  </si>
  <si>
    <t>1140 N CAPITOL ST NW STE 924</t>
  </si>
  <si>
    <t>20002-7579</t>
  </si>
  <si>
    <t>521735637</t>
  </si>
  <si>
    <t>PARTNERSHIP FOR PREVENTION</t>
  </si>
  <si>
    <t>1015 18TH ST NW STE 300</t>
  </si>
  <si>
    <t>20036-5217</t>
  </si>
  <si>
    <t>521853388</t>
  </si>
  <si>
    <t>COMMUNITY EDUCATION GROUP</t>
  </si>
  <si>
    <t>3233 PENNSYLVANIA AVE SW</t>
  </si>
  <si>
    <t>20020-0000</t>
  </si>
  <si>
    <t>Manager of Programs and Operations</t>
  </si>
  <si>
    <t>Hilary</t>
  </si>
  <si>
    <t>Viens</t>
  </si>
  <si>
    <t>hilary@communityeducationgroup.org</t>
  </si>
  <si>
    <t>202.543.2376 Extension: 102</t>
  </si>
  <si>
    <t>521302617</t>
  </si>
  <si>
    <t>FOCUS PROJECT</t>
  </si>
  <si>
    <t>1742 CONNECTICUT AVE NW</t>
  </si>
  <si>
    <t>20009-1199</t>
  </si>
  <si>
    <t>521545108</t>
  </si>
  <si>
    <t>SMITHSONIAN EARLY ENRICHMENT CENTER</t>
  </si>
  <si>
    <t>PO BOX 37012</t>
  </si>
  <si>
    <t>20013-7012</t>
  </si>
  <si>
    <t>263335871</t>
  </si>
  <si>
    <t>JAPAN INTERNATIONAL TRANSPORT INSTITUTE USA</t>
  </si>
  <si>
    <t>1819 L ST NW STE 1000</t>
  </si>
  <si>
    <t>20036-3828</t>
  </si>
  <si>
    <t>521648942</t>
  </si>
  <si>
    <t>INTERNATIONAL WOMENS MEDIA FOUNDATION</t>
  </si>
  <si>
    <t>1625 K ST NW STE 1275</t>
  </si>
  <si>
    <t>20006-1680</t>
  </si>
  <si>
    <t>Semela</t>
  </si>
  <si>
    <t>msemela@iwmf.org</t>
  </si>
  <si>
    <t>202-496-1992</t>
  </si>
  <si>
    <t>522022113</t>
  </si>
  <si>
    <t>FONKOZE USA</t>
  </si>
  <si>
    <t>SUITE 102</t>
  </si>
  <si>
    <t>Leigh</t>
  </si>
  <si>
    <t>lcarter@fonkoze.org</t>
  </si>
  <si>
    <t>202.628.9033</t>
  </si>
  <si>
    <t>521224690</t>
  </si>
  <si>
    <t>NRF FOUNDATION</t>
  </si>
  <si>
    <t>LIBERTY PLACE 325 7TH ST NW NO 1100</t>
  </si>
  <si>
    <t>20004-0000</t>
  </si>
  <si>
    <t>366206225</t>
  </si>
  <si>
    <t>LEAGUE OF AMERICAN WHEELMEN</t>
  </si>
  <si>
    <t>1612 K ST NW STE 510</t>
  </si>
  <si>
    <t>20006-2849</t>
  </si>
  <si>
    <t>DEVELOPMENT DIRECTOR</t>
  </si>
  <si>
    <t>LILI</t>
  </si>
  <si>
    <t>AFKHAMI</t>
  </si>
  <si>
    <t>lili@bikeleague.org</t>
  </si>
  <si>
    <t>202.822.1333</t>
  </si>
  <si>
    <t>521249353</t>
  </si>
  <si>
    <t>WASHINGTON OFFICE ON LATIN AMERICA</t>
  </si>
  <si>
    <t>1666 CONN AVE NW STE 400</t>
  </si>
  <si>
    <t>Kristina</t>
  </si>
  <si>
    <t>DeMain</t>
  </si>
  <si>
    <t>kdemain@wola.org</t>
  </si>
  <si>
    <t>(202) 797-2171</t>
  </si>
  <si>
    <t>541527848</t>
  </si>
  <si>
    <t>EQUIPMENT LEASING AND FINANCE FOUNDATION</t>
  </si>
  <si>
    <t>1825 K ST NW STE 900</t>
  </si>
  <si>
    <t>20006-1231</t>
  </si>
  <si>
    <t>Nienaber</t>
  </si>
  <si>
    <t>knienaber@leasefoundation.org</t>
  </si>
  <si>
    <t>(202) 238-3429</t>
  </si>
  <si>
    <t>237424418</t>
  </si>
  <si>
    <t>FOUNDTN OF AMER INST FOR CNSRVTN OF HISTORIC &amp; ATRISTIC WORKS</t>
  </si>
  <si>
    <t>1156 15TH ST NW STE 320</t>
  </si>
  <si>
    <t>20005-1714</t>
  </si>
  <si>
    <t>Institutional Advancement Director</t>
  </si>
  <si>
    <t>Pourchot</t>
  </si>
  <si>
    <t>epourchot@conservation-us.org</t>
  </si>
  <si>
    <t>202.661.8061</t>
  </si>
  <si>
    <t>521750875</t>
  </si>
  <si>
    <t>THE FREE IRAQ FOUNDATION</t>
  </si>
  <si>
    <t>1012 14TH ST NW STE 1110</t>
  </si>
  <si>
    <t>20005-3424</t>
  </si>
  <si>
    <t>SELWA</t>
  </si>
  <si>
    <t>GAILANI</t>
  </si>
  <si>
    <t>IRAQ@IRAQFOUNDATION.ORG</t>
  </si>
  <si>
    <t>202.347.4662</t>
  </si>
  <si>
    <t>201327513</t>
  </si>
  <si>
    <t>CENTER FOR YOUTH AND FAMILY INVESTMENTS</t>
  </si>
  <si>
    <t>120 Q STREET NE SUITE 300</t>
  </si>
  <si>
    <t>20002-2100</t>
  </si>
  <si>
    <t>522206826</t>
  </si>
  <si>
    <t>JAMES R HOFFA MEMORIAL SCHOLARSHIP FUND</t>
  </si>
  <si>
    <t>25 LOUISIANA AVE NW</t>
  </si>
  <si>
    <t>20001-2130</t>
  </si>
  <si>
    <t>620913689</t>
  </si>
  <si>
    <t>NATIONAL ASSEMBLY OF STATE ARTS AGENCIES</t>
  </si>
  <si>
    <t>1029 VERMONT AVE NW FRNT 2</t>
  </si>
  <si>
    <t>20005-3517</t>
  </si>
  <si>
    <t>laura.smith@nasaa-arts.org</t>
  </si>
  <si>
    <t>202-347-6352 x120</t>
  </si>
  <si>
    <t>521583134</t>
  </si>
  <si>
    <t>CONGRESS HEIGHTS TRAINING CENTER</t>
  </si>
  <si>
    <t>3215 MARTIN L KING AVE SE</t>
  </si>
  <si>
    <t>Ash’lai</t>
  </si>
  <si>
    <t>ashlai@chctdc.org</t>
  </si>
  <si>
    <t>202.563.5200</t>
  </si>
  <si>
    <t>911887623</t>
  </si>
  <si>
    <t>KIDSAVE INTERNATIONAL</t>
  </si>
  <si>
    <t>5185 MACARTHUR BLVD NW STE 108</t>
  </si>
  <si>
    <t>20016-3341</t>
  </si>
  <si>
    <t>President and Co-Founder</t>
  </si>
  <si>
    <t>Terry</t>
  </si>
  <si>
    <t>Baugh</t>
  </si>
  <si>
    <t>terry@kidsave.org</t>
  </si>
  <si>
    <t>202-503-3100</t>
  </si>
  <si>
    <t>522042014</t>
  </si>
  <si>
    <t>RUGMARK FOUNDATION USA</t>
  </si>
  <si>
    <t>2001 S ST NW STE 510</t>
  </si>
  <si>
    <t>20009-1158</t>
  </si>
  <si>
    <t>Nina@GoodWeave.org</t>
  </si>
  <si>
    <t>202-234-9050</t>
  </si>
  <si>
    <t>412075995</t>
  </si>
  <si>
    <t>DALIT FREEDOM FUND</t>
  </si>
  <si>
    <t>631 PENNSYLVANIA AVENUE SE SUIT</t>
  </si>
  <si>
    <t>20003-4399</t>
  </si>
  <si>
    <t>International President</t>
  </si>
  <si>
    <t>D'souza</t>
  </si>
  <si>
    <t>jdsouza@dalitnetwork.org</t>
  </si>
  <si>
    <t>757-233-9110</t>
  </si>
  <si>
    <t>362327263</t>
  </si>
  <si>
    <t>FEDERATION OF TAX ADMINISTRATORS</t>
  </si>
  <si>
    <t>444 N CAPITOL ST NW STE 348</t>
  </si>
  <si>
    <t>271138640</t>
  </si>
  <si>
    <t>DRUPALCON</t>
  </si>
  <si>
    <t>600 WATER STREET SW 309</t>
  </si>
  <si>
    <t>20024-5403</t>
  </si>
  <si>
    <t>Project Manager</t>
  </si>
  <si>
    <t>Tim</t>
  </si>
  <si>
    <t>Lehnen</t>
  </si>
  <si>
    <t>tim@association.drupal.org</t>
  </si>
  <si>
    <t>503-405-1159 x725</t>
  </si>
  <si>
    <t>510400233</t>
  </si>
  <si>
    <t>501CTECH</t>
  </si>
  <si>
    <t>2001 S ST NW STE 630</t>
  </si>
  <si>
    <t>Director of Development and Outreach</t>
  </si>
  <si>
    <t>Abigail</t>
  </si>
  <si>
    <t>Goliber</t>
  </si>
  <si>
    <t>agoliber@501ctech.org</t>
  </si>
  <si>
    <t>(202) 234-9670</t>
  </si>
  <si>
    <t>520908178</t>
  </si>
  <si>
    <t>NATIONAL BLACK CHILD DEVELOPMENT INSTITUTE</t>
  </si>
  <si>
    <t>1313 L ST NW STE 110</t>
  </si>
  <si>
    <t>20005-4139</t>
  </si>
  <si>
    <t>Tobeka</t>
  </si>
  <si>
    <t>Green</t>
  </si>
  <si>
    <t>moreinfo@nbcdi.org</t>
  </si>
  <si>
    <t>(202) 833-2220</t>
  </si>
  <si>
    <t>521594479</t>
  </si>
  <si>
    <t>J H P</t>
  </si>
  <si>
    <t>1526 PENN AVE SE</t>
  </si>
  <si>
    <t>20003-3116</t>
  </si>
  <si>
    <t>Lacy</t>
  </si>
  <si>
    <t>Fountain </t>
  </si>
  <si>
    <t>lfountain@jobshavepriority.org</t>
  </si>
  <si>
    <t>202.544.9096</t>
  </si>
  <si>
    <t>310794522</t>
  </si>
  <si>
    <t>INTERNATIONAL COMMUNICATION ASSN</t>
  </si>
  <si>
    <t>1500 21ST ST NW</t>
  </si>
  <si>
    <t>20036-1000</t>
  </si>
  <si>
    <t>912121566</t>
  </si>
  <si>
    <t>NATIONAL COALITION FOR ASIAN PACIFIC AMERICAN COMMUNITY DEV</t>
  </si>
  <si>
    <t>1628 16TH STREET NW 4TH FLOOR</t>
  </si>
  <si>
    <t>20009-3064</t>
  </si>
  <si>
    <t>Events and Fundraising Manager</t>
  </si>
  <si>
    <t>So Yeon</t>
  </si>
  <si>
    <t>Kang</t>
  </si>
  <si>
    <t>soyeon@nationalcapacd.org</t>
  </si>
  <si>
    <t>202-223-2442</t>
  </si>
  <si>
    <t>520880625</t>
  </si>
  <si>
    <t>CONSUMER FEDERATION OF AMERICA</t>
  </si>
  <si>
    <t>1620 I ST NW STE 200</t>
  </si>
  <si>
    <t>20006-4030</t>
  </si>
  <si>
    <t>Brobeck</t>
  </si>
  <si>
    <t>sbrobeck@consumerfed.org</t>
  </si>
  <si>
    <t>202-387-6121</t>
  </si>
  <si>
    <t>521714027</t>
  </si>
  <si>
    <t>THE DIABETES ACTION RESEARCH AND EDUCATION FOUNDATION</t>
  </si>
  <si>
    <t>426 C STREET NE</t>
  </si>
  <si>
    <t>20002-5839</t>
  </si>
  <si>
    <t>Dorothy</t>
  </si>
  <si>
    <t>Harriot</t>
  </si>
  <si>
    <t>DHarriot@diabetesaction.org</t>
  </si>
  <si>
    <t>202-333-4520</t>
  </si>
  <si>
    <t>521682441</t>
  </si>
  <si>
    <t>BANK INFORMATION CENTER</t>
  </si>
  <si>
    <t>1100 H ST NW STE 650</t>
  </si>
  <si>
    <t>20005-5496</t>
  </si>
  <si>
    <t>Alvin</t>
  </si>
  <si>
    <t>Carlos</t>
  </si>
  <si>
    <t>acarlos@bicusa.org</t>
  </si>
  <si>
    <t>(202) 624-0628</t>
  </si>
  <si>
    <t>541527192</t>
  </si>
  <si>
    <t>WOMEN IN GOVERNMENT FOUNDATION</t>
  </si>
  <si>
    <t>1319 F ST NW STE 710</t>
  </si>
  <si>
    <t>20004-1153</t>
  </si>
  <si>
    <t>522346414</t>
  </si>
  <si>
    <t>RAINY DAY FOUNDATION</t>
  </si>
  <si>
    <t>1808 CORCORAN ST NW</t>
  </si>
  <si>
    <t>20009-1608</t>
  </si>
  <si>
    <t>133031098</t>
  </si>
  <si>
    <t>NATIONAL YOUTH EMPLOYMENT COALITION</t>
  </si>
  <si>
    <t>1836 JEFFERSON PL NW</t>
  </si>
  <si>
    <t>20036-2505</t>
  </si>
  <si>
    <t>131776711</t>
  </si>
  <si>
    <t>NATIONAL IMMIGRATION FORUM</t>
  </si>
  <si>
    <t>50 F ST NW STE 300</t>
  </si>
  <si>
    <t>20001-1552</t>
  </si>
  <si>
    <t>DEVELOPMENT ASSOCIATE</t>
  </si>
  <si>
    <t>ZACH</t>
  </si>
  <si>
    <t>LEWIS</t>
  </si>
  <si>
    <t>zlewis@immigrationforum.org</t>
  </si>
  <si>
    <t>(202)347-0040</t>
  </si>
  <si>
    <t>521474935</t>
  </si>
  <si>
    <t>SAMARITAN INNS</t>
  </si>
  <si>
    <t>2523 14TH STREET NW</t>
  </si>
  <si>
    <t>20009-6952</t>
  </si>
  <si>
    <t>Larry</t>
  </si>
  <si>
    <t>Huff</t>
  </si>
  <si>
    <t>larry@samaritaninns.org</t>
  </si>
  <si>
    <t>(202)667-8831 x236</t>
  </si>
  <si>
    <t>536009405</t>
  </si>
  <si>
    <t>INTERNATIONAL STUDENT HOUSE</t>
  </si>
  <si>
    <t>1825 R ST NW</t>
  </si>
  <si>
    <t>20009-1603</t>
  </si>
  <si>
    <t>Development and Communications Associate</t>
  </si>
  <si>
    <t>Gale</t>
  </si>
  <si>
    <t>JGale@ishdc.org</t>
  </si>
  <si>
    <t>202-232-4007</t>
  </si>
  <si>
    <t>521600481</t>
  </si>
  <si>
    <t>CENTER FOR INDIVIDUAL RIGHTS</t>
  </si>
  <si>
    <t>1233 20TH ST NW STE 300</t>
  </si>
  <si>
    <t>20036-2374</t>
  </si>
  <si>
    <t>Pell</t>
  </si>
  <si>
    <t>pell@cir-usa.org</t>
  </si>
  <si>
    <t>202-833-8400</t>
  </si>
  <si>
    <t>133100197</t>
  </si>
  <si>
    <t>WORLD ENVIRONMENT CENTER</t>
  </si>
  <si>
    <t>734 15TH ST NW STE 720</t>
  </si>
  <si>
    <t>20005-1013</t>
  </si>
  <si>
    <t>237447365</t>
  </si>
  <si>
    <t>NATIONAL WILDLIFE REFUGE ASSOCIATION</t>
  </si>
  <si>
    <t>1250 CONN AVE NW STE 600</t>
  </si>
  <si>
    <t>20036-2651</t>
  </si>
  <si>
    <t>Director of Strategic Communications</t>
  </si>
  <si>
    <t>McGowan</t>
  </si>
  <si>
    <t>cmcgowan@refugeassociation.org</t>
  </si>
  <si>
    <t>802-505-0508</t>
  </si>
  <si>
    <t>742984884</t>
  </si>
  <si>
    <t>US MEXICO FOUNDATION</t>
  </si>
  <si>
    <t>700 12TH ST NW STE 1050</t>
  </si>
  <si>
    <t>20005-4004</t>
  </si>
  <si>
    <t>522094677</t>
  </si>
  <si>
    <t>ALLIANCE FOR GLOBAL JUSTICE</t>
  </si>
  <si>
    <t>1247 E ST SE</t>
  </si>
  <si>
    <t>20003-2221</t>
  </si>
  <si>
    <t>National Co-Coordinator</t>
  </si>
  <si>
    <t>Hoyt</t>
  </si>
  <si>
    <t>kathy@AFGJ.org</t>
  </si>
  <si>
    <t>202-540-8336</t>
  </si>
  <si>
    <t>526070337</t>
  </si>
  <si>
    <t>TUDOR PLACE FOUNDATION</t>
  </si>
  <si>
    <t>1644 31ST ST NW</t>
  </si>
  <si>
    <t>20007-2924</t>
  </si>
  <si>
    <t>Director of Development|</t>
  </si>
  <si>
    <t>Philip</t>
  </si>
  <si>
    <t>Liggett</t>
  </si>
  <si>
    <t>pliggett@tudorplace.org</t>
  </si>
  <si>
    <t>202.965.0400 ext.125</t>
  </si>
  <si>
    <t>237218916</t>
  </si>
  <si>
    <t>DEAF-REACH</t>
  </si>
  <si>
    <t>3521 12TH ST NE</t>
  </si>
  <si>
    <t>20017-2545</t>
  </si>
  <si>
    <t>browns@deaf-reach.org</t>
  </si>
  <si>
    <t>202-832-6681</t>
  </si>
  <si>
    <t>521263256</t>
  </si>
  <si>
    <t>MY SISTERS PLACE</t>
  </si>
  <si>
    <t>1436 U ST NW STE 303</t>
  </si>
  <si>
    <t>522320756</t>
  </si>
  <si>
    <t>ACCELERATE BRAIN CANCER CURE</t>
  </si>
  <si>
    <t>1718 M ST NW PMB 249</t>
  </si>
  <si>
    <t>Strategic Advancement Officer</t>
  </si>
  <si>
    <t>Cristina</t>
  </si>
  <si>
    <t>Bonner</t>
  </si>
  <si>
    <t>Cristina.Bonner@abc2.org</t>
  </si>
  <si>
    <t>202-419-3140</t>
  </si>
  <si>
    <t>521449368</t>
  </si>
  <si>
    <t>CENTER FOR IMMIGRATION STUDIES</t>
  </si>
  <si>
    <t>1629 K ST NW STE 600</t>
  </si>
  <si>
    <t>20006-1635</t>
  </si>
  <si>
    <t>Krikorian</t>
  </si>
  <si>
    <t>msk@cis.org</t>
  </si>
  <si>
    <t>(202) 466-8185</t>
  </si>
  <si>
    <t>231722119</t>
  </si>
  <si>
    <t>AMERICAN COLLEGE OF PREVENTIVE MEDICINE</t>
  </si>
  <si>
    <t>455 MASS AVE NW STE 200</t>
  </si>
  <si>
    <t>20001-2773</t>
  </si>
  <si>
    <t>Maureen</t>
  </si>
  <si>
    <t>Simmons</t>
  </si>
  <si>
    <t>msimmons@acpm.org</t>
  </si>
  <si>
    <t>202.466.2044 x120</t>
  </si>
  <si>
    <t>521062824</t>
  </si>
  <si>
    <t>FOUNDATIONS AND DONORS INTEREST IN CATHOLIC ACTIVITIES</t>
  </si>
  <si>
    <t>1350 CONN AVE NW STE 825</t>
  </si>
  <si>
    <t>20036-1741</t>
  </si>
  <si>
    <t>020702016</t>
  </si>
  <si>
    <t>LUTHERAN VOLUNTEER CORPS</t>
  </si>
  <si>
    <t>1226 VERMONT AVE NW</t>
  </si>
  <si>
    <t>20005-3615</t>
  </si>
  <si>
    <t>AMY</t>
  </si>
  <si>
    <t>SUTTER</t>
  </si>
  <si>
    <t>asutter@lutheranvolunteercorps.org</t>
  </si>
  <si>
    <t>612-280-3239</t>
  </si>
  <si>
    <t>520963138</t>
  </si>
  <si>
    <t>AMERICA THE BEAUTIFUL FUND</t>
  </si>
  <si>
    <t>2521 UNIVERSITY PL NW</t>
  </si>
  <si>
    <t>20009-4508</t>
  </si>
  <si>
    <t>521497461</t>
  </si>
  <si>
    <t>INTERNATIONAL LABOR RIGHTS FORUM</t>
  </si>
  <si>
    <t>1634 I ST NW STE 1001</t>
  </si>
  <si>
    <t>20006-4012</t>
  </si>
  <si>
    <t>Fundraising and Operations Assistant</t>
  </si>
  <si>
    <t>Marian</t>
  </si>
  <si>
    <t>Manapsal</t>
  </si>
  <si>
    <t>(202) 347-4100</t>
  </si>
  <si>
    <t>522336690</t>
  </si>
  <si>
    <t>PUBLIC KNOWLEDGE</t>
  </si>
  <si>
    <t>1818 N ST NW STE 410</t>
  </si>
  <si>
    <t>20036-2472</t>
  </si>
  <si>
    <t>Whitney</t>
  </si>
  <si>
    <t>Tompkins</t>
  </si>
  <si>
    <t>whitney@publicknowledge.org</t>
  </si>
  <si>
    <t>(202) 861-0020 x100</t>
  </si>
  <si>
    <t>521257712</t>
  </si>
  <si>
    <t>FRIENDS OF THE NATIONAL ARBORETUM</t>
  </si>
  <si>
    <t>3501 NEW YORK AVE NE</t>
  </si>
  <si>
    <t>20002-1958</t>
  </si>
  <si>
    <t>Development and Marketing Coordinator</t>
  </si>
  <si>
    <t>Rietkerk</t>
  </si>
  <si>
    <t>LRietkerk@fona.org</t>
  </si>
  <si>
    <t>(202) 544-8733</t>
  </si>
  <si>
    <t>521331552</t>
  </si>
  <si>
    <t>MIRIAMS KITCHEN</t>
  </si>
  <si>
    <t>2401 VIRGINIA AVE NW</t>
  </si>
  <si>
    <t>20037-2637</t>
  </si>
  <si>
    <t>Chief Development &amp; Communication Officer</t>
  </si>
  <si>
    <t>Sara</t>
  </si>
  <si>
    <t>Gibson</t>
  </si>
  <si>
    <t>sara@miriamskitchen.org</t>
  </si>
  <si>
    <t>(202) 452-8926 x 228</t>
  </si>
  <si>
    <t>521218832</t>
  </si>
  <si>
    <t>NATIONAL BLACK CAUCUS OF STATE LEGISLATORS</t>
  </si>
  <si>
    <t>444 NORTH CAPITAL STREET NW ROOM NO</t>
  </si>
  <si>
    <t>522035104</t>
  </si>
  <si>
    <t>FRIENDS OF CHOICE IN URBAN SCHOOLS</t>
  </si>
  <si>
    <t>1436 U ST NW STE 204</t>
  </si>
  <si>
    <t>20009-3989</t>
  </si>
  <si>
    <t>Development and External Affairs Coordinator</t>
  </si>
  <si>
    <t>Stine</t>
  </si>
  <si>
    <t>Svenningsen</t>
  </si>
  <si>
    <t>ssvenningsen@focusdc.org</t>
  </si>
  <si>
    <t>202.387.0405</t>
  </si>
  <si>
    <t>522153746</t>
  </si>
  <si>
    <t>CULTURAL TOURISM DC</t>
  </si>
  <si>
    <t>DEVELOPMENT AND GOVERNMENT RELATIONS</t>
  </si>
  <si>
    <t>Crowell</t>
  </si>
  <si>
    <t>ccrowell@culturaltourismdc.org</t>
  </si>
  <si>
    <t>(202)-661-7581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</si>
</sst>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>
      <sz val="12.0"/>
      <color rgb="FF000000"/>
      <name val="Calibri"/>
    </font>
    <font>
      <u/>
      <sz val="10.0"/>
      <color rgb="FF0000FF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49" xfId="0" applyFont="1" applyNumberFormat="1"/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2" fontId="3" numFmtId="49" xfId="0" applyBorder="1" applyFill="1" applyFont="1" applyNumberFormat="1"/>
    <xf borderId="0" fillId="2" fontId="3" numFmtId="0" xfId="0" applyBorder="1" applyFont="1"/>
    <xf borderId="0" fillId="2" fontId="3" numFmtId="164" xfId="0" applyBorder="1" applyFont="1" applyNumberFormat="1"/>
    <xf borderId="0" fillId="2" fontId="4" numFmtId="0" xfId="0" applyBorder="1" applyFont="1"/>
    <xf borderId="0" fillId="2" fontId="2" numFmtId="0" xfId="0" applyBorder="1" applyFont="1"/>
    <xf borderId="0" fillId="0" fontId="3" numFmtId="49" xfId="0" applyBorder="1" applyFont="1" applyNumberFormat="1"/>
    <xf borderId="0" fillId="0" fontId="3" numFmtId="0" xfId="0" applyBorder="1" applyFont="1"/>
    <xf borderId="0" fillId="0" fontId="3" numFmtId="164" xfId="0" applyBorder="1" applyFont="1" applyNumberFormat="1"/>
    <xf borderId="0" fillId="0" fontId="2" numFmtId="0" xfId="0" applyBorder="1" applyFont="1"/>
    <xf borderId="0" fillId="2" fontId="3" numFmtId="49" xfId="0" applyFont="1" applyNumberFormat="1"/>
    <xf borderId="0" fillId="2" fontId="3" numFmtId="0" xfId="0" applyFont="1"/>
    <xf borderId="0" fillId="2" fontId="3" numFmtId="164" xfId="0" applyFont="1" applyNumberFormat="1"/>
    <xf borderId="0" fillId="2" fontId="5" numFmtId="0" xfId="0" applyFont="1"/>
    <xf borderId="0" fillId="2" fontId="2" numFmtId="0" xfId="0" applyFont="1"/>
    <xf borderId="0" fillId="0" fontId="3" numFmtId="49" xfId="0" applyFont="1" applyNumberFormat="1"/>
    <xf borderId="0" fillId="0" fontId="3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washingtonballet.org/" TargetMode="External"/><Relationship Id="rId194" Type="http://schemas.openxmlformats.org/officeDocument/2006/relationships/hyperlink" Target="http://all4ed.org/" TargetMode="External"/><Relationship Id="rId193" Type="http://schemas.openxmlformats.org/officeDocument/2006/relationships/hyperlink" Target="http://www.thearc.org/page.aspx?pid=2530" TargetMode="External"/><Relationship Id="rId192" Type="http://schemas.openxmlformats.org/officeDocument/2006/relationships/hyperlink" Target="http://www.wtef.org/" TargetMode="External"/><Relationship Id="rId191" Type="http://schemas.openxmlformats.org/officeDocument/2006/relationships/hyperlink" Target="http://www.hsi.org/" TargetMode="External"/><Relationship Id="rId187" Type="http://schemas.openxmlformats.org/officeDocument/2006/relationships/hyperlink" Target="http://www.vitalvoices.org/" TargetMode="External"/><Relationship Id="rId186" Type="http://schemas.openxmlformats.org/officeDocument/2006/relationships/hyperlink" Target="http://www.publicintegrity.org/" TargetMode="External"/><Relationship Id="rId185" Type="http://schemas.openxmlformats.org/officeDocument/2006/relationships/hyperlink" Target="http://www.seaburyresources.org/" TargetMode="External"/><Relationship Id="rId184" Type="http://schemas.openxmlformats.org/officeDocument/2006/relationships/hyperlink" Target="http://csrl.org/" TargetMode="External"/><Relationship Id="rId189" Type="http://schemas.openxmlformats.org/officeDocument/2006/relationships/hyperlink" Target="http://www.publicjustice.net/" TargetMode="External"/><Relationship Id="rId188" Type="http://schemas.openxmlformats.org/officeDocument/2006/relationships/hyperlink" Target="http://www.plannedparenthood.org/health-center/district-of-columbia/washington/20036/downtown-center-3273-90230" TargetMode="External"/><Relationship Id="rId183" Type="http://schemas.openxmlformats.org/officeDocument/2006/relationships/hyperlink" Target="http://www.ffhl.org/" TargetMode="External"/><Relationship Id="rId182" Type="http://schemas.openxmlformats.org/officeDocument/2006/relationships/hyperlink" Target="http://worldjusticeproject.org/" TargetMode="External"/><Relationship Id="rId181" Type="http://schemas.openxmlformats.org/officeDocument/2006/relationships/hyperlink" Target="http://rfkcenter.org/" TargetMode="External"/><Relationship Id="rId180" Type="http://schemas.openxmlformats.org/officeDocument/2006/relationships/hyperlink" Target="http://scottishrite.org/development/foundations/scottish-rite-foundation/" TargetMode="External"/><Relationship Id="rId176" Type="http://schemas.openxmlformats.org/officeDocument/2006/relationships/hyperlink" Target="http://www.nastad.org/" TargetMode="External"/><Relationship Id="rId297" Type="http://schemas.openxmlformats.org/officeDocument/2006/relationships/hyperlink" Target="http://www.woollymammoth.net/" TargetMode="External"/><Relationship Id="rId175" Type="http://schemas.openxmlformats.org/officeDocument/2006/relationships/hyperlink" Target="http://www.chci.org/" TargetMode="External"/><Relationship Id="rId296" Type="http://schemas.openxmlformats.org/officeDocument/2006/relationships/hyperlink" Target="http://www.workingamerica.org/educationfund" TargetMode="External"/><Relationship Id="rId174" Type="http://schemas.openxmlformats.org/officeDocument/2006/relationships/hyperlink" Target="http://www.fairus.org/" TargetMode="External"/><Relationship Id="rId295" Type="http://schemas.openxmlformats.org/officeDocument/2006/relationships/hyperlink" Target="http://www.appletreeinstitute.org/" TargetMode="External"/><Relationship Id="rId173" Type="http://schemas.openxmlformats.org/officeDocument/2006/relationships/hyperlink" Target="http://www.americaspromise.org/" TargetMode="External"/><Relationship Id="rId294" Type="http://schemas.openxmlformats.org/officeDocument/2006/relationships/hyperlink" Target="http://www.dsef.org/" TargetMode="External"/><Relationship Id="rId179" Type="http://schemas.openxmlformats.org/officeDocument/2006/relationships/hyperlink" Target="http://www.kennedy-center.org/education/vsa/" TargetMode="External"/><Relationship Id="rId178" Type="http://schemas.openxmlformats.org/officeDocument/2006/relationships/hyperlink" Target="http://www.washingtondcjcc.org/" TargetMode="External"/><Relationship Id="rId299" Type="http://schemas.openxmlformats.org/officeDocument/2006/relationships/hyperlink" Target="http://islandpress.org/" TargetMode="External"/><Relationship Id="rId177" Type="http://schemas.openxmlformats.org/officeDocument/2006/relationships/hyperlink" Target="http://www.foodandfriends.org/site/pp.asp?c=ckLSI8NNIdJ2G&amp;b=7565475" TargetMode="External"/><Relationship Id="rId298" Type="http://schemas.openxmlformats.org/officeDocument/2006/relationships/hyperlink" Target="http://www.sudanreliefund.com/" TargetMode="External"/><Relationship Id="rId198" Type="http://schemas.openxmlformats.org/officeDocument/2006/relationships/hyperlink" Target="http://www.actionaidusa.org/" TargetMode="External"/><Relationship Id="rId197" Type="http://schemas.openxmlformats.org/officeDocument/2006/relationships/hyperlink" Target="http://www.ncai.org/" TargetMode="External"/><Relationship Id="rId196" Type="http://schemas.openxmlformats.org/officeDocument/2006/relationships/hyperlink" Target="http://www.sibleyfoundation.org/" TargetMode="External"/><Relationship Id="rId195" Type="http://schemas.openxmlformats.org/officeDocument/2006/relationships/hyperlink" Target="http://www.houseofruth.org/" TargetMode="External"/><Relationship Id="rId199" Type="http://schemas.openxmlformats.org/officeDocument/2006/relationships/hyperlink" Target="http://www.actionaidusa.org/" TargetMode="External"/><Relationship Id="rId150" Type="http://schemas.openxmlformats.org/officeDocument/2006/relationships/hyperlink" Target="http://www.laogai.org/" TargetMode="External"/><Relationship Id="rId271" Type="http://schemas.openxmlformats.org/officeDocument/2006/relationships/hyperlink" Target="http://oceanfdn.org/" TargetMode="External"/><Relationship Id="rId392" Type="http://schemas.openxmlformats.org/officeDocument/2006/relationships/hyperlink" Target="http://www.centerforfoodsafety.org/" TargetMode="External"/><Relationship Id="rId270" Type="http://schemas.openxmlformats.org/officeDocument/2006/relationships/hyperlink" Target="http://www.memri.org/" TargetMode="External"/><Relationship Id="rId391" Type="http://schemas.openxmlformats.org/officeDocument/2006/relationships/hyperlink" Target="http://monkinstitute.org/" TargetMode="External"/><Relationship Id="rId390" Type="http://schemas.openxmlformats.org/officeDocument/2006/relationships/hyperlink" Target="http://www.results.org/" TargetMode="External"/><Relationship Id="rId1" Type="http://schemas.openxmlformats.org/officeDocument/2006/relationships/hyperlink" Target="http://www.redcross.org/" TargetMode="External"/><Relationship Id="rId2" Type="http://schemas.openxmlformats.org/officeDocument/2006/relationships/hyperlink" Target="http://www.uncf.org/" TargetMode="External"/><Relationship Id="rId3" Type="http://schemas.openxmlformats.org/officeDocument/2006/relationships/hyperlink" Target="http://www.si.edu/" TargetMode="External"/><Relationship Id="rId149" Type="http://schemas.openxmlformats.org/officeDocument/2006/relationships/hyperlink" Target="http://www.hrc.org/" TargetMode="External"/><Relationship Id="rId4" Type="http://schemas.openxmlformats.org/officeDocument/2006/relationships/hyperlink" Target="http://www.nationalgeographic.com/" TargetMode="External"/><Relationship Id="rId148" Type="http://schemas.openxmlformats.org/officeDocument/2006/relationships/hyperlink" Target="http://www.nccinc.org/" TargetMode="External"/><Relationship Id="rId269" Type="http://schemas.openxmlformats.org/officeDocument/2006/relationships/hyperlink" Target="http://www.civilrights.org/about/edfund/" TargetMode="External"/><Relationship Id="rId9" Type="http://schemas.openxmlformats.org/officeDocument/2006/relationships/hyperlink" Target="http://www.worldwildlife.org/" TargetMode="External"/><Relationship Id="rId143" Type="http://schemas.openxmlformats.org/officeDocument/2006/relationships/hyperlink" Target="http://www.usmexicofound.org/" TargetMode="External"/><Relationship Id="rId264" Type="http://schemas.openxmlformats.org/officeDocument/2006/relationships/hyperlink" Target="http://iel.org/" TargetMode="External"/><Relationship Id="rId385" Type="http://schemas.openxmlformats.org/officeDocument/2006/relationships/hyperlink" Target="http://www.bradycampaign.org/" TargetMode="External"/><Relationship Id="rId142" Type="http://schemas.openxmlformats.org/officeDocument/2006/relationships/hyperlink" Target="http://www.communitychange.org/" TargetMode="External"/><Relationship Id="rId263" Type="http://schemas.openxmlformats.org/officeDocument/2006/relationships/hyperlink" Target="http://listeningandspokenlanguage.org/" TargetMode="External"/><Relationship Id="rId384" Type="http://schemas.openxmlformats.org/officeDocument/2006/relationships/hyperlink" Target="http://www.cfact.org/" TargetMode="External"/><Relationship Id="rId141" Type="http://schemas.openxmlformats.org/officeDocument/2006/relationships/hyperlink" Target="http://www.aam-us.org/home" TargetMode="External"/><Relationship Id="rId262" Type="http://schemas.openxmlformats.org/officeDocument/2006/relationships/hyperlink" Target="http://www.eli.org/" TargetMode="External"/><Relationship Id="rId383" Type="http://schemas.openxmlformats.org/officeDocument/2006/relationships/hyperlink" Target="http://lwv.org/" TargetMode="External"/><Relationship Id="rId140" Type="http://schemas.openxmlformats.org/officeDocument/2006/relationships/hyperlink" Target="http://www.dccentralkitchen.org/" TargetMode="External"/><Relationship Id="rId261" Type="http://schemas.openxmlformats.org/officeDocument/2006/relationships/hyperlink" Target="https://cei.org/" TargetMode="External"/><Relationship Id="rId382" Type="http://schemas.openxmlformats.org/officeDocument/2006/relationships/hyperlink" Target="https://www.freetheslaves.net/" TargetMode="External"/><Relationship Id="rId5" Type="http://schemas.openxmlformats.org/officeDocument/2006/relationships/hyperlink" Target="http://www.npr.org/" TargetMode="External"/><Relationship Id="rId147" Type="http://schemas.openxmlformats.org/officeDocument/2006/relationships/hyperlink" Target="http://www.greendoor.org/" TargetMode="External"/><Relationship Id="rId268" Type="http://schemas.openxmlformats.org/officeDocument/2006/relationships/hyperlink" Target="http://www.americanforests.org/" TargetMode="External"/><Relationship Id="rId389" Type="http://schemas.openxmlformats.org/officeDocument/2006/relationships/hyperlink" Target="http://mundoverdepcs.org/" TargetMode="External"/><Relationship Id="rId6" Type="http://schemas.openxmlformats.org/officeDocument/2006/relationships/hyperlink" Target="http://www.kennedy-center.org/index.cfm" TargetMode="External"/><Relationship Id="rId146" Type="http://schemas.openxmlformats.org/officeDocument/2006/relationships/hyperlink" Target="http://www.lupus.org/" TargetMode="External"/><Relationship Id="rId267" Type="http://schemas.openxmlformats.org/officeDocument/2006/relationships/hyperlink" Target="http://fcnl.org/about/edfund/" TargetMode="External"/><Relationship Id="rId388" Type="http://schemas.openxmlformats.org/officeDocument/2006/relationships/hyperlink" Target="http://www.beaconhousedc.org/" TargetMode="External"/><Relationship Id="rId7" Type="http://schemas.openxmlformats.org/officeDocument/2006/relationships/hyperlink" Target="http://www.humanesociety.org/" TargetMode="External"/><Relationship Id="rId145" Type="http://schemas.openxmlformats.org/officeDocument/2006/relationships/hyperlink" Target="http://www.warl.org/" TargetMode="External"/><Relationship Id="rId266" Type="http://schemas.openxmlformats.org/officeDocument/2006/relationships/hyperlink" Target="http://www.covenanthousedc.org/" TargetMode="External"/><Relationship Id="rId387" Type="http://schemas.openxmlformats.org/officeDocument/2006/relationships/hyperlink" Target="http://www.nstreetvillage.org/" TargetMode="External"/><Relationship Id="rId8" Type="http://schemas.openxmlformats.org/officeDocument/2006/relationships/hyperlink" Target="http://www.unfoundation.org/" TargetMode="External"/><Relationship Id="rId144" Type="http://schemas.openxmlformats.org/officeDocument/2006/relationships/hyperlink" Target="http://www.partners.net/partners/default.asp" TargetMode="External"/><Relationship Id="rId265" Type="http://schemas.openxmlformats.org/officeDocument/2006/relationships/hyperlink" Target="http://scottishrite.org/development/foundations/house-of-the-temple-foundation/" TargetMode="External"/><Relationship Id="rId386" Type="http://schemas.openxmlformats.org/officeDocument/2006/relationships/hyperlink" Target="http://efe.org/" TargetMode="External"/><Relationship Id="rId260" Type="http://schemas.openxmlformats.org/officeDocument/2006/relationships/hyperlink" Target="http://www.homecarepartners.org/" TargetMode="External"/><Relationship Id="rId381" Type="http://schemas.openxmlformats.org/officeDocument/2006/relationships/hyperlink" Target="http://ptfund.org/" TargetMode="External"/><Relationship Id="rId380" Type="http://schemas.openxmlformats.org/officeDocument/2006/relationships/hyperlink" Target="http://www.naral.org/" TargetMode="External"/><Relationship Id="rId139" Type="http://schemas.openxmlformats.org/officeDocument/2006/relationships/hyperlink" Target="http://www.niaf.org/" TargetMode="External"/><Relationship Id="rId138" Type="http://schemas.openxmlformats.org/officeDocument/2006/relationships/hyperlink" Target="http://foodandwaterwatch.org/" TargetMode="External"/><Relationship Id="rId259" Type="http://schemas.openxmlformats.org/officeDocument/2006/relationships/hyperlink" Target="http://www.youthinc-usa.org/" TargetMode="External"/><Relationship Id="rId137" Type="http://schemas.openxmlformats.org/officeDocument/2006/relationships/hyperlink" Target="http://www.fordstheatre.org/" TargetMode="External"/><Relationship Id="rId258" Type="http://schemas.openxmlformats.org/officeDocument/2006/relationships/hyperlink" Target="http://www.nationalmssociety.org/Chapters/DCW" TargetMode="External"/><Relationship Id="rId379" Type="http://schemas.openxmlformats.org/officeDocument/2006/relationships/hyperlink" Target="http://museum.gwu.edu/" TargetMode="External"/><Relationship Id="rId132" Type="http://schemas.openxmlformats.org/officeDocument/2006/relationships/hyperlink" Target="http://www.diabeteswellness.net/" TargetMode="External"/><Relationship Id="rId253" Type="http://schemas.openxmlformats.org/officeDocument/2006/relationships/hyperlink" Target="http://www.foe.org/" TargetMode="External"/><Relationship Id="rId374" Type="http://schemas.openxmlformats.org/officeDocument/2006/relationships/hyperlink" Target="http://www.seaburyresources.org/index.html" TargetMode="External"/><Relationship Id="rId131" Type="http://schemas.openxmlformats.org/officeDocument/2006/relationships/hyperlink" Target="https://www.independentsector.org/" TargetMode="External"/><Relationship Id="rId252" Type="http://schemas.openxmlformats.org/officeDocument/2006/relationships/hyperlink" Target="http://www.dccanceranswers.org/" TargetMode="External"/><Relationship Id="rId373" Type="http://schemas.openxmlformats.org/officeDocument/2006/relationships/hyperlink" Target="http://www.mcclendoncenter.org/" TargetMode="External"/><Relationship Id="rId130" Type="http://schemas.openxmlformats.org/officeDocument/2006/relationships/hyperlink" Target="http://www.ase.org/" TargetMode="External"/><Relationship Id="rId251" Type="http://schemas.openxmlformats.org/officeDocument/2006/relationships/hyperlink" Target="https://www.studiotheatre.org/" TargetMode="External"/><Relationship Id="rId372" Type="http://schemas.openxmlformats.org/officeDocument/2006/relationships/hyperlink" Target="http://www.biblicalarchaeology.org/" TargetMode="External"/><Relationship Id="rId250" Type="http://schemas.openxmlformats.org/officeDocument/2006/relationships/hyperlink" Target="http://christhouse.org/" TargetMode="External"/><Relationship Id="rId371" Type="http://schemas.openxmlformats.org/officeDocument/2006/relationships/hyperlink" Target="http://whiteribbonalliance.org/" TargetMode="External"/><Relationship Id="rId136" Type="http://schemas.openxmlformats.org/officeDocument/2006/relationships/hyperlink" Target="http://www.aacap.org/" TargetMode="External"/><Relationship Id="rId257" Type="http://schemas.openxmlformats.org/officeDocument/2006/relationships/hyperlink" Target="https://cdt.org/" TargetMode="External"/><Relationship Id="rId378" Type="http://schemas.openxmlformats.org/officeDocument/2006/relationships/hyperlink" Target="http://350.org/" TargetMode="External"/><Relationship Id="rId135" Type="http://schemas.openxmlformats.org/officeDocument/2006/relationships/hyperlink" Target="http://www.pfaw.org/" TargetMode="External"/><Relationship Id="rId256" Type="http://schemas.openxmlformats.org/officeDocument/2006/relationships/hyperlink" Target="http://www.catholiccharitiesdc.org/" TargetMode="External"/><Relationship Id="rId377" Type="http://schemas.openxmlformats.org/officeDocument/2006/relationships/hyperlink" Target="http://www.bettermarkets.com/" TargetMode="External"/><Relationship Id="rId134" Type="http://schemas.openxmlformats.org/officeDocument/2006/relationships/hyperlink" Target="http://www.greenpeacefund.org/" TargetMode="External"/><Relationship Id="rId255" Type="http://schemas.openxmlformats.org/officeDocument/2006/relationships/hyperlink" Target="http://www.navymemorial.org/" TargetMode="External"/><Relationship Id="rId376" Type="http://schemas.openxmlformats.org/officeDocument/2006/relationships/hyperlink" Target="http://environmentalintegrity.org/" TargetMode="External"/><Relationship Id="rId133" Type="http://schemas.openxmlformats.org/officeDocument/2006/relationships/hyperlink" Target="http://nmwa.org/" TargetMode="External"/><Relationship Id="rId254" Type="http://schemas.openxmlformats.org/officeDocument/2006/relationships/hyperlink" Target="http://www.lungcanceralliance.org/" TargetMode="External"/><Relationship Id="rId375" Type="http://schemas.openxmlformats.org/officeDocument/2006/relationships/hyperlink" Target="http://www.probonoinst.org/" TargetMode="External"/><Relationship Id="rId172" Type="http://schemas.openxmlformats.org/officeDocument/2006/relationships/hyperlink" Target="http://globalhumanrights.org/" TargetMode="External"/><Relationship Id="rId293" Type="http://schemas.openxmlformats.org/officeDocument/2006/relationships/hyperlink" Target="https://www.supportkind.org/en/" TargetMode="External"/><Relationship Id="rId171" Type="http://schemas.openxmlformats.org/officeDocument/2006/relationships/hyperlink" Target="http://www.dceducationfund.org/" TargetMode="External"/><Relationship Id="rId292" Type="http://schemas.openxmlformats.org/officeDocument/2006/relationships/hyperlink" Target="http://endgenocide.org/" TargetMode="External"/><Relationship Id="rId170" Type="http://schemas.openxmlformats.org/officeDocument/2006/relationships/hyperlink" Target="http://www.bread.org/" TargetMode="External"/><Relationship Id="rId291" Type="http://schemas.openxmlformats.org/officeDocument/2006/relationships/hyperlink" Target="http://www.ssusc.org/" TargetMode="External"/><Relationship Id="rId290" Type="http://schemas.openxmlformats.org/officeDocument/2006/relationships/hyperlink" Target="http://www.advancingequality.org/" TargetMode="External"/><Relationship Id="rId165" Type="http://schemas.openxmlformats.org/officeDocument/2006/relationships/hyperlink" Target="http://www.globalfundforchildren.org/" TargetMode="External"/><Relationship Id="rId286" Type="http://schemas.openxmlformats.org/officeDocument/2006/relationships/hyperlink" Target="http://dcplfoundation.org/" TargetMode="External"/><Relationship Id="rId164" Type="http://schemas.openxmlformats.org/officeDocument/2006/relationships/hyperlink" Target="http://www.freedomworks.org/" TargetMode="External"/><Relationship Id="rId285" Type="http://schemas.openxmlformats.org/officeDocument/2006/relationships/hyperlink" Target="http://www.partnersglobal.org/" TargetMode="External"/><Relationship Id="rId163" Type="http://schemas.openxmlformats.org/officeDocument/2006/relationships/hyperlink" Target="http://sashabruce.org/" TargetMode="External"/><Relationship Id="rId284" Type="http://schemas.openxmlformats.org/officeDocument/2006/relationships/hyperlink" Target="http://zerocancer.org/" TargetMode="External"/><Relationship Id="rId162" Type="http://schemas.openxmlformats.org/officeDocument/2006/relationships/hyperlink" Target="http://www.magamerica.org/" TargetMode="External"/><Relationship Id="rId283" Type="http://schemas.openxmlformats.org/officeDocument/2006/relationships/hyperlink" Target="http://www.commoncause.org/" TargetMode="External"/><Relationship Id="rId169" Type="http://schemas.openxmlformats.org/officeDocument/2006/relationships/hyperlink" Target="http://www.walterkaitz.org/" TargetMode="External"/><Relationship Id="rId168" Type="http://schemas.openxmlformats.org/officeDocument/2006/relationships/hyperlink" Target="http://www.hudson.org/" TargetMode="External"/><Relationship Id="rId289" Type="http://schemas.openxmlformats.org/officeDocument/2006/relationships/hyperlink" Target="http://www.afj.org/" TargetMode="External"/><Relationship Id="rId167" Type="http://schemas.openxmlformats.org/officeDocument/2006/relationships/hyperlink" Target="http://mediamatters.org/" TargetMode="External"/><Relationship Id="rId288" Type="http://schemas.openxmlformats.org/officeDocument/2006/relationships/hyperlink" Target="http://www.refintl.org/" TargetMode="External"/><Relationship Id="rId166" Type="http://schemas.openxmlformats.org/officeDocument/2006/relationships/hyperlink" Target="http://www.aaainc.org/" TargetMode="External"/><Relationship Id="rId287" Type="http://schemas.openxmlformats.org/officeDocument/2006/relationships/hyperlink" Target="http://jstreet.org/" TargetMode="External"/><Relationship Id="rId161" Type="http://schemas.openxmlformats.org/officeDocument/2006/relationships/hyperlink" Target="https://www.ahlef.org/" TargetMode="External"/><Relationship Id="rId282" Type="http://schemas.openxmlformats.org/officeDocument/2006/relationships/hyperlink" Target="http://www.sos-usa.org/" TargetMode="External"/><Relationship Id="rId160" Type="http://schemas.openxmlformats.org/officeDocument/2006/relationships/hyperlink" Target="http://www.cbcfinc.org/" TargetMode="External"/><Relationship Id="rId281" Type="http://schemas.openxmlformats.org/officeDocument/2006/relationships/hyperlink" Target="http://sojo.net/" TargetMode="External"/><Relationship Id="rId280" Type="http://schemas.openxmlformats.org/officeDocument/2006/relationships/hyperlink" Target="http://www.rmhcdc.org/" TargetMode="External"/><Relationship Id="rId159" Type="http://schemas.openxmlformats.org/officeDocument/2006/relationships/hyperlink" Target="https://www.atlasnetwork.org/" TargetMode="External"/><Relationship Id="rId154" Type="http://schemas.openxmlformats.org/officeDocument/2006/relationships/hyperlink" Target="http://communityofhopedc.org/" TargetMode="External"/><Relationship Id="rId275" Type="http://schemas.openxmlformats.org/officeDocument/2006/relationships/hyperlink" Target="https://www.gwul.org/" TargetMode="External"/><Relationship Id="rId396" Type="http://schemas.openxmlformats.org/officeDocument/2006/relationships/hyperlink" Target="http://woodleyhouse.org/" TargetMode="External"/><Relationship Id="rId153" Type="http://schemas.openxmlformats.org/officeDocument/2006/relationships/hyperlink" Target="http://www.centronia.org/" TargetMode="External"/><Relationship Id="rId274" Type="http://schemas.openxmlformats.org/officeDocument/2006/relationships/hyperlink" Target="http://www.advocatesforyouth.org/" TargetMode="External"/><Relationship Id="rId395" Type="http://schemas.openxmlformats.org/officeDocument/2006/relationships/hyperlink" Target="http://israelcc.org/" TargetMode="External"/><Relationship Id="rId152" Type="http://schemas.openxmlformats.org/officeDocument/2006/relationships/hyperlink" Target="http://www.icfj.org/" TargetMode="External"/><Relationship Id="rId273" Type="http://schemas.openxmlformats.org/officeDocument/2006/relationships/hyperlink" Target="http://www.advocatesforyouth.org/" TargetMode="External"/><Relationship Id="rId394" Type="http://schemas.openxmlformats.org/officeDocument/2006/relationships/hyperlink" Target="http://www.atlasarts.org/" TargetMode="External"/><Relationship Id="rId151" Type="http://schemas.openxmlformats.org/officeDocument/2006/relationships/hyperlink" Target="http://www.bgcgw.org/" TargetMode="External"/><Relationship Id="rId272" Type="http://schemas.openxmlformats.org/officeDocument/2006/relationships/hyperlink" Target="http://www.mannadc.org/template/index.cfm" TargetMode="External"/><Relationship Id="rId393" Type="http://schemas.openxmlformats.org/officeDocument/2006/relationships/hyperlink" Target="http://www.farmworkerjustice.org/" TargetMode="External"/><Relationship Id="rId158" Type="http://schemas.openxmlformats.org/officeDocument/2006/relationships/hyperlink" Target="http://www.lawyerscommittee.org/" TargetMode="External"/><Relationship Id="rId279" Type="http://schemas.openxmlformats.org/officeDocument/2006/relationships/hyperlink" Target="http://www.endhomelessness.org/" TargetMode="External"/><Relationship Id="rId157" Type="http://schemas.openxmlformats.org/officeDocument/2006/relationships/hyperlink" Target="http://marthastable.org/" TargetMode="External"/><Relationship Id="rId278" Type="http://schemas.openxmlformats.org/officeDocument/2006/relationships/hyperlink" Target="http://www.catholicsforchoice.org/" TargetMode="External"/><Relationship Id="rId399" Type="http://schemas.openxmlformats.org/officeDocument/2006/relationships/hyperlink" Target="http://www.afterschoolalliance.org/" TargetMode="External"/><Relationship Id="rId156" Type="http://schemas.openxmlformats.org/officeDocument/2006/relationships/hyperlink" Target="http://www.thetaskforce.org/" TargetMode="External"/><Relationship Id="rId277" Type="http://schemas.openxmlformats.org/officeDocument/2006/relationships/hyperlink" Target="https://www.pbk.org/home/index.aspx" TargetMode="External"/><Relationship Id="rId398" Type="http://schemas.openxmlformats.org/officeDocument/2006/relationships/hyperlink" Target="http://www.seedfoundation.com/" TargetMode="External"/><Relationship Id="rId155" Type="http://schemas.openxmlformats.org/officeDocument/2006/relationships/hyperlink" Target="http://www.nbm.org/" TargetMode="External"/><Relationship Id="rId276" Type="http://schemas.openxmlformats.org/officeDocument/2006/relationships/hyperlink" Target="http://www.taps.org/" TargetMode="External"/><Relationship Id="rId397" Type="http://schemas.openxmlformats.org/officeDocument/2006/relationships/hyperlink" Target="http://oilembargo40.org/" TargetMode="External"/><Relationship Id="rId40" Type="http://schemas.openxmlformats.org/officeDocument/2006/relationships/hyperlink" Target="http://www.crisisgroup.org/" TargetMode="External"/><Relationship Id="rId42" Type="http://schemas.openxmlformats.org/officeDocument/2006/relationships/hyperlink" Target="http://www.ymcadc.org/index.cfm" TargetMode="External"/><Relationship Id="rId41" Type="http://schemas.openxmlformats.org/officeDocument/2006/relationships/hyperlink" Target="http://www.childrensresearchinstitute.org/" TargetMode="External"/><Relationship Id="rId44" Type="http://schemas.openxmlformats.org/officeDocument/2006/relationships/hyperlink" Target="http://www.wilsoncenter.org/" TargetMode="External"/><Relationship Id="rId43" Type="http://schemas.openxmlformats.org/officeDocument/2006/relationships/hyperlink" Target="http://www.hillel.org/" TargetMode="External"/><Relationship Id="rId46" Type="http://schemas.openxmlformats.org/officeDocument/2006/relationships/hyperlink" Target="http://familiesusa.org/" TargetMode="External"/><Relationship Id="rId45" Type="http://schemas.openxmlformats.org/officeDocument/2006/relationships/hyperlink" Target="http://childrensnational.org/" TargetMode="External"/><Relationship Id="rId48" Type="http://schemas.openxmlformats.org/officeDocument/2006/relationships/hyperlink" Target="https://www.forestfoundation.org/" TargetMode="External"/><Relationship Id="rId47" Type="http://schemas.openxmlformats.org/officeDocument/2006/relationships/hyperlink" Target="http://communityconnectionsdc.org/" TargetMode="External"/><Relationship Id="rId49" Type="http://schemas.openxmlformats.org/officeDocument/2006/relationships/hyperlink" Target="https://www.freedomhouse.org/" TargetMode="External"/><Relationship Id="rId31" Type="http://schemas.openxmlformats.org/officeDocument/2006/relationships/hyperlink" Target="http://www.finca.org/" TargetMode="External"/><Relationship Id="rId30" Type="http://schemas.openxmlformats.org/officeDocument/2006/relationships/hyperlink" Target="http://www.irex.org/" TargetMode="External"/><Relationship Id="rId33" Type="http://schemas.openxmlformats.org/officeDocument/2006/relationships/hyperlink" Target="http://www.acog.org/" TargetMode="External"/><Relationship Id="rId32" Type="http://schemas.openxmlformats.org/officeDocument/2006/relationships/hyperlink" Target="http://www.capitalareafoodbank.org/" TargetMode="External"/><Relationship Id="rId35" Type="http://schemas.openxmlformats.org/officeDocument/2006/relationships/hyperlink" Target="http://www.awf.org/" TargetMode="External"/><Relationship Id="rId34" Type="http://schemas.openxmlformats.org/officeDocument/2006/relationships/hyperlink" Target="http://uli.org/" TargetMode="External"/><Relationship Id="rId37" Type="http://schemas.openxmlformats.org/officeDocument/2006/relationships/hyperlink" Target="http://www.wri.org/" TargetMode="External"/><Relationship Id="rId36" Type="http://schemas.openxmlformats.org/officeDocument/2006/relationships/hyperlink" Target="http://www.ellingtonschool.org/ellington-fund/" TargetMode="External"/><Relationship Id="rId39" Type="http://schemas.openxmlformats.org/officeDocument/2006/relationships/hyperlink" Target="http://foundation.uli.org/" TargetMode="External"/><Relationship Id="rId38" Type="http://schemas.openxmlformats.org/officeDocument/2006/relationships/hyperlink" Target="http://readingisfundamental.org/" TargetMode="External"/><Relationship Id="rId20" Type="http://schemas.openxmlformats.org/officeDocument/2006/relationships/hyperlink" Target="http://www.nti.org/" TargetMode="External"/><Relationship Id="rId22" Type="http://schemas.openxmlformats.org/officeDocument/2006/relationships/hyperlink" Target="http://www.pva.org/site/c.ajIRK9NJLcJ2E/b.6305401/k.27D1/Paralyzed_Veterans_of_America.htm" TargetMode="External"/><Relationship Id="rId21" Type="http://schemas.openxmlformats.org/officeDocument/2006/relationships/hyperlink" Target="http://www.ned.org/" TargetMode="External"/><Relationship Id="rId24" Type="http://schemas.openxmlformats.org/officeDocument/2006/relationships/hyperlink" Target="http://www.firstbook.org/" TargetMode="External"/><Relationship Id="rId23" Type="http://schemas.openxmlformats.org/officeDocument/2006/relationships/hyperlink" Target="http://www.specialolympics.org/" TargetMode="External"/><Relationship Id="rId409" Type="http://schemas.openxmlformats.org/officeDocument/2006/relationships/hyperlink" Target="http://www.washlaw.org/" TargetMode="External"/><Relationship Id="rId404" Type="http://schemas.openxmlformats.org/officeDocument/2006/relationships/hyperlink" Target="http://www.ccalliance.org/" TargetMode="External"/><Relationship Id="rId403" Type="http://schemas.openxmlformats.org/officeDocument/2006/relationships/hyperlink" Target="http://www.nasi.org/" TargetMode="External"/><Relationship Id="rId402" Type="http://schemas.openxmlformats.org/officeDocument/2006/relationships/hyperlink" Target="http://americasvoice.org/" TargetMode="External"/><Relationship Id="rId401" Type="http://schemas.openxmlformats.org/officeDocument/2006/relationships/hyperlink" Target="http://www.christchilddc.org/" TargetMode="External"/><Relationship Id="rId408" Type="http://schemas.openxmlformats.org/officeDocument/2006/relationships/hyperlink" Target="http://www.eesi.org/" TargetMode="External"/><Relationship Id="rId407" Type="http://schemas.openxmlformats.org/officeDocument/2006/relationships/hyperlink" Target="http://www.womenheart.org/" TargetMode="External"/><Relationship Id="rId406" Type="http://schemas.openxmlformats.org/officeDocument/2006/relationships/hyperlink" Target="http://www.constitutionproject.org/" TargetMode="External"/><Relationship Id="rId405" Type="http://schemas.openxmlformats.org/officeDocument/2006/relationships/hyperlink" Target="http://www.usactioneducationfund.org/" TargetMode="External"/><Relationship Id="rId26" Type="http://schemas.openxmlformats.org/officeDocument/2006/relationships/hyperlink" Target="http://csis.org/" TargetMode="External"/><Relationship Id="rId25" Type="http://schemas.openxmlformats.org/officeDocument/2006/relationships/hyperlink" Target="http://www.rferl.org/" TargetMode="External"/><Relationship Id="rId28" Type="http://schemas.openxmlformats.org/officeDocument/2006/relationships/hyperlink" Target="http://www.africare.org/" TargetMode="External"/><Relationship Id="rId27" Type="http://schemas.openxmlformats.org/officeDocument/2006/relationships/hyperlink" Target="http://www.aspeninstitute.org/" TargetMode="External"/><Relationship Id="rId400" Type="http://schemas.openxmlformats.org/officeDocument/2006/relationships/hyperlink" Target="http://www.becketfund.org/" TargetMode="External"/><Relationship Id="rId29" Type="http://schemas.openxmlformats.org/officeDocument/2006/relationships/hyperlink" Target="http://www.iri.org/" TargetMode="External"/><Relationship Id="rId11" Type="http://schemas.openxmlformats.org/officeDocument/2006/relationships/hyperlink" Target="http://www.gmfus.org/" TargetMode="External"/><Relationship Id="rId10" Type="http://schemas.openxmlformats.org/officeDocument/2006/relationships/hyperlink" Target="http://www.nfwf.org/Pages/default.aspx" TargetMode="External"/><Relationship Id="rId13" Type="http://schemas.openxmlformats.org/officeDocument/2006/relationships/hyperlink" Target="http://thecommunityfoundation.org/" TargetMode="External"/><Relationship Id="rId12" Type="http://schemas.openxmlformats.org/officeDocument/2006/relationships/hyperlink" Target="http://www.pactworld.org/" TargetMode="External"/><Relationship Id="rId15" Type="http://schemas.openxmlformats.org/officeDocument/2006/relationships/hyperlink" Target="http://www.brookings.edu/" TargetMode="External"/><Relationship Id="rId14" Type="http://schemas.openxmlformats.org/officeDocument/2006/relationships/hyperlink" Target="http://www.acdivoca.org/" TargetMode="External"/><Relationship Id="rId17" Type="http://schemas.openxmlformats.org/officeDocument/2006/relationships/hyperlink" Target="http://www.aarp.org/" TargetMode="External"/><Relationship Id="rId16" Type="http://schemas.openxmlformats.org/officeDocument/2006/relationships/hyperlink" Target="http://www.pedaids.org/" TargetMode="External"/><Relationship Id="rId19" Type="http://schemas.openxmlformats.org/officeDocument/2006/relationships/hyperlink" Target="https://www.ndi.org/" TargetMode="External"/><Relationship Id="rId18" Type="http://schemas.openxmlformats.org/officeDocument/2006/relationships/hyperlink" Target="http://www.heritage.org/" TargetMode="External"/><Relationship Id="rId84" Type="http://schemas.openxmlformats.org/officeDocument/2006/relationships/hyperlink" Target="http://www.globalgiving.org/" TargetMode="External"/><Relationship Id="rId83" Type="http://schemas.openxmlformats.org/officeDocument/2006/relationships/hyperlink" Target="https://www.aidsunited.org/" TargetMode="External"/><Relationship Id="rId86" Type="http://schemas.openxmlformats.org/officeDocument/2006/relationships/hyperlink" Target="http://www.foresthillsdc.org/" TargetMode="External"/><Relationship Id="rId85" Type="http://schemas.openxmlformats.org/officeDocument/2006/relationships/hyperlink" Target="https://www.au.org/" TargetMode="External"/><Relationship Id="rId88" Type="http://schemas.openxmlformats.org/officeDocument/2006/relationships/hyperlink" Target="http://www.sabin.org/" TargetMode="External"/><Relationship Id="rId87" Type="http://schemas.openxmlformats.org/officeDocument/2006/relationships/hyperlink" Target="http://bbyo.org/" TargetMode="External"/><Relationship Id="rId89" Type="http://schemas.openxmlformats.org/officeDocument/2006/relationships/hyperlink" Target="http://www.americanhumane.org/" TargetMode="External"/><Relationship Id="rId80" Type="http://schemas.openxmlformats.org/officeDocument/2006/relationships/hyperlink" Target="http://www.pcrm.org/" TargetMode="External"/><Relationship Id="rId82" Type="http://schemas.openxmlformats.org/officeDocument/2006/relationships/hyperlink" Target="http://some.org/" TargetMode="External"/><Relationship Id="rId81" Type="http://schemas.openxmlformats.org/officeDocument/2006/relationships/hyperlink" Target="https://www.sfcg.org/" TargetMode="External"/><Relationship Id="rId73" Type="http://schemas.openxmlformats.org/officeDocument/2006/relationships/hyperlink" Target="http://www.ncba-aged.org/" TargetMode="External"/><Relationship Id="rId72" Type="http://schemas.openxmlformats.org/officeDocument/2006/relationships/hyperlink" Target="http://www.wis.edu/" TargetMode="External"/><Relationship Id="rId75" Type="http://schemas.openxmlformats.org/officeDocument/2006/relationships/hyperlink" Target="http://www.nccinc.org/" TargetMode="External"/><Relationship Id="rId74" Type="http://schemas.openxmlformats.org/officeDocument/2006/relationships/hyperlink" Target="http://www.whha.org/" TargetMode="External"/><Relationship Id="rId77" Type="http://schemas.openxmlformats.org/officeDocument/2006/relationships/hyperlink" Target="http://www.aicr.org/" TargetMode="External"/><Relationship Id="rId76" Type="http://schemas.openxmlformats.org/officeDocument/2006/relationships/hyperlink" Target="http://www.judicialwatch.org/" TargetMode="External"/><Relationship Id="rId79" Type="http://schemas.openxmlformats.org/officeDocument/2006/relationships/hyperlink" Target="http://www.childrensdefense.org/" TargetMode="External"/><Relationship Id="rId78" Type="http://schemas.openxmlformats.org/officeDocument/2006/relationships/hyperlink" Target="http://www.thememorialfoundation.org/" TargetMode="External"/><Relationship Id="rId71" Type="http://schemas.openxmlformats.org/officeDocument/2006/relationships/hyperlink" Target="https://armydistaff.org/" TargetMode="External"/><Relationship Id="rId70" Type="http://schemas.openxmlformats.org/officeDocument/2006/relationships/hyperlink" Target="http://gavicampaign.org/" TargetMode="External"/><Relationship Id="rId62" Type="http://schemas.openxmlformats.org/officeDocument/2006/relationships/hyperlink" Target="https://www.ijm.org/" TargetMode="External"/><Relationship Id="rId61" Type="http://schemas.openxmlformats.org/officeDocument/2006/relationships/hyperlink" Target="http://thenationalcampaign.org/" TargetMode="External"/><Relationship Id="rId64" Type="http://schemas.openxmlformats.org/officeDocument/2006/relationships/hyperlink" Target="http://www.defenders.org/" TargetMode="External"/><Relationship Id="rId63" Type="http://schemas.openxmlformats.org/officeDocument/2006/relationships/hyperlink" Target="http://www.arenastage.org/" TargetMode="External"/><Relationship Id="rId66" Type="http://schemas.openxmlformats.org/officeDocument/2006/relationships/hyperlink" Target="http://www.nleomf.com/" TargetMode="External"/><Relationship Id="rId65" Type="http://schemas.openxmlformats.org/officeDocument/2006/relationships/hyperlink" Target="http://www.nif.org/?site=true&amp;" TargetMode="External"/><Relationship Id="rId68" Type="http://schemas.openxmlformats.org/officeDocument/2006/relationships/hyperlink" Target="http://www.ussoccerfoundation.org/" TargetMode="External"/><Relationship Id="rId67" Type="http://schemas.openxmlformats.org/officeDocument/2006/relationships/hyperlink" Target="http://wilderness.org/" TargetMode="External"/><Relationship Id="rId60" Type="http://schemas.openxmlformats.org/officeDocument/2006/relationships/hyperlink" Target="http://www.meridian.org/" TargetMode="External"/><Relationship Id="rId69" Type="http://schemas.openxmlformats.org/officeDocument/2006/relationships/hyperlink" Target="http://www.womenforwomen.org/" TargetMode="External"/><Relationship Id="rId51" Type="http://schemas.openxmlformats.org/officeDocument/2006/relationships/hyperlink" Target="http://www.anera.org/" TargetMode="External"/><Relationship Id="rId50" Type="http://schemas.openxmlformats.org/officeDocument/2006/relationships/hyperlink" Target="http://wfpusa.org/" TargetMode="External"/><Relationship Id="rId53" Type="http://schemas.openxmlformats.org/officeDocument/2006/relationships/hyperlink" Target="https://www.nokidhungry.org/" TargetMode="External"/><Relationship Id="rId52" Type="http://schemas.openxmlformats.org/officeDocument/2006/relationships/hyperlink" Target="http://www.upo.org/" TargetMode="External"/><Relationship Id="rId55" Type="http://schemas.openxmlformats.org/officeDocument/2006/relationships/hyperlink" Target="http://www.dcgoodwill.org/" TargetMode="External"/><Relationship Id="rId54" Type="http://schemas.openxmlformats.org/officeDocument/2006/relationships/hyperlink" Target="http://www.zerotothree.org/" TargetMode="External"/><Relationship Id="rId57" Type="http://schemas.openxmlformats.org/officeDocument/2006/relationships/hyperlink" Target="http://www.maryscenter.org/" TargetMode="External"/><Relationship Id="rId56" Type="http://schemas.openxmlformats.org/officeDocument/2006/relationships/hyperlink" Target="http://www.cato.org/" TargetMode="External"/><Relationship Id="rId59" Type="http://schemas.openxmlformats.org/officeDocument/2006/relationships/hyperlink" Target="https://www.americanprogress.org/" TargetMode="External"/><Relationship Id="rId58" Type="http://schemas.openxmlformats.org/officeDocument/2006/relationships/hyperlink" Target="http://www.hillel.org/" TargetMode="External"/><Relationship Id="rId107" Type="http://schemas.openxmlformats.org/officeDocument/2006/relationships/hyperlink" Target="http://www.oceanconservancy.org/" TargetMode="External"/><Relationship Id="rId228" Type="http://schemas.openxmlformats.org/officeDocument/2006/relationships/hyperlink" Target="http://www.turkishculturalfoundation.org/" TargetMode="External"/><Relationship Id="rId349" Type="http://schemas.openxmlformats.org/officeDocument/2006/relationships/hyperlink" Target="http://www.fauna-flora.org/" TargetMode="External"/><Relationship Id="rId106" Type="http://schemas.openxmlformats.org/officeDocument/2006/relationships/hyperlink" Target="http://www.twc.edu/" TargetMode="External"/><Relationship Id="rId227" Type="http://schemas.openxmlformats.org/officeDocument/2006/relationships/hyperlink" Target="http://www.breadforthecity.org/" TargetMode="External"/><Relationship Id="rId348" Type="http://schemas.openxmlformats.org/officeDocument/2006/relationships/hyperlink" Target="http://www.polarisproject.org/" TargetMode="External"/><Relationship Id="rId105" Type="http://schemas.openxmlformats.org/officeDocument/2006/relationships/hyperlink" Target="http://www.hrsonline.org/" TargetMode="External"/><Relationship Id="rId226" Type="http://schemas.openxmlformats.org/officeDocument/2006/relationships/hyperlink" Target="http://www.lcvef.org/" TargetMode="External"/><Relationship Id="rId347" Type="http://schemas.openxmlformats.org/officeDocument/2006/relationships/hyperlink" Target="http://www.danceusa.org/" TargetMode="External"/><Relationship Id="rId468" Type="http://schemas.openxmlformats.org/officeDocument/2006/relationships/drawing" Target="../drawings/worksheetdrawing1.xml"/><Relationship Id="rId104" Type="http://schemas.openxmlformats.org/officeDocument/2006/relationships/hyperlink" Target="http://www.shakespearetheatre.org/" TargetMode="External"/><Relationship Id="rId225" Type="http://schemas.openxmlformats.org/officeDocument/2006/relationships/hyperlink" Target="http://www.cwfa.org/" TargetMode="External"/><Relationship Id="rId346" Type="http://schemas.openxmlformats.org/officeDocument/2006/relationships/hyperlink" Target="http://self.org/" TargetMode="External"/><Relationship Id="rId467" Type="http://schemas.openxmlformats.org/officeDocument/2006/relationships/hyperlink" Target="http://www.culturaltourismdc.org/portal/" TargetMode="External"/><Relationship Id="rId109" Type="http://schemas.openxmlformats.org/officeDocument/2006/relationships/hyperlink" Target="http://www.grameenfoundation.org/" TargetMode="External"/><Relationship Id="rId108" Type="http://schemas.openxmlformats.org/officeDocument/2006/relationships/hyperlink" Target="http://www.eurasia.org/" TargetMode="External"/><Relationship Id="rId229" Type="http://schemas.openxmlformats.org/officeDocument/2006/relationships/hyperlink" Target="http://www.saintjohn.org/" TargetMode="External"/><Relationship Id="rId220" Type="http://schemas.openxmlformats.org/officeDocument/2006/relationships/hyperlink" Target="http://www.youngmarines.com/" TargetMode="External"/><Relationship Id="rId341" Type="http://schemas.openxmlformats.org/officeDocument/2006/relationships/hyperlink" Target="http://www.alaskawild.org/" TargetMode="External"/><Relationship Id="rId462" Type="http://schemas.openxmlformats.org/officeDocument/2006/relationships/hyperlink" Target="http://www.laborrights.org/" TargetMode="External"/><Relationship Id="rId340" Type="http://schemas.openxmlformats.org/officeDocument/2006/relationships/hyperlink" Target="http://www.trcp.org/" TargetMode="External"/><Relationship Id="rId461" Type="http://schemas.openxmlformats.org/officeDocument/2006/relationships/hyperlink" Target="http://www.lutheranvolunteercorps.org/template/index.cfm" TargetMode="External"/><Relationship Id="rId460" Type="http://schemas.openxmlformats.org/officeDocument/2006/relationships/hyperlink" Target="http://www.acpm.org/" TargetMode="External"/><Relationship Id="rId103" Type="http://schemas.openxmlformats.org/officeDocument/2006/relationships/hyperlink" Target="https://lafoundation.org/" TargetMode="External"/><Relationship Id="rId224" Type="http://schemas.openxmlformats.org/officeDocument/2006/relationships/hyperlink" Target="http://www.mideasti.org/" TargetMode="External"/><Relationship Id="rId345" Type="http://schemas.openxmlformats.org/officeDocument/2006/relationships/hyperlink" Target="http://www.worldwatch.org/" TargetMode="External"/><Relationship Id="rId466" Type="http://schemas.openxmlformats.org/officeDocument/2006/relationships/hyperlink" Target="http://www.focusdc.org/" TargetMode="External"/><Relationship Id="rId102" Type="http://schemas.openxmlformats.org/officeDocument/2006/relationships/hyperlink" Target="http://www.tobaccofreekids.org/" TargetMode="External"/><Relationship Id="rId223" Type="http://schemas.openxmlformats.org/officeDocument/2006/relationships/hyperlink" Target="http://allianceforschoolchoice.org/" TargetMode="External"/><Relationship Id="rId344" Type="http://schemas.openxmlformats.org/officeDocument/2006/relationships/hyperlink" Target="http://apa.org/apf/" TargetMode="External"/><Relationship Id="rId465" Type="http://schemas.openxmlformats.org/officeDocument/2006/relationships/hyperlink" Target="http://www.miriamskitchen.org/" TargetMode="External"/><Relationship Id="rId101" Type="http://schemas.openxmlformats.org/officeDocument/2006/relationships/hyperlink" Target="http://www.cipe.org/" TargetMode="External"/><Relationship Id="rId222" Type="http://schemas.openxmlformats.org/officeDocument/2006/relationships/hyperlink" Target="http://www.washingtonyuying.org/" TargetMode="External"/><Relationship Id="rId343" Type="http://schemas.openxmlformats.org/officeDocument/2006/relationships/hyperlink" Target="http://www.brightbeginningsinc.org/" TargetMode="External"/><Relationship Id="rId464" Type="http://schemas.openxmlformats.org/officeDocument/2006/relationships/hyperlink" Target="http://www.fona.org/" TargetMode="External"/><Relationship Id="rId100" Type="http://schemas.openxmlformats.org/officeDocument/2006/relationships/hyperlink" Target="http://climaterealityproject.org/" TargetMode="External"/><Relationship Id="rId221" Type="http://schemas.openxmlformats.org/officeDocument/2006/relationships/hyperlink" Target="http://www.nationalpartnership.org/" TargetMode="External"/><Relationship Id="rId342" Type="http://schemas.openxmlformats.org/officeDocument/2006/relationships/hyperlink" Target="https://www.choralarts.org/" TargetMode="External"/><Relationship Id="rId463" Type="http://schemas.openxmlformats.org/officeDocument/2006/relationships/hyperlink" Target="https://www.publicknowledge.org/" TargetMode="External"/><Relationship Id="rId217" Type="http://schemas.openxmlformats.org/officeDocument/2006/relationships/hyperlink" Target="http://www.hriresearch.org/" TargetMode="External"/><Relationship Id="rId338" Type="http://schemas.openxmlformats.org/officeDocument/2006/relationships/hyperlink" Target="http://www.jwi.org/" TargetMode="External"/><Relationship Id="rId459" Type="http://schemas.openxmlformats.org/officeDocument/2006/relationships/hyperlink" Target="http://www.cis.org/" TargetMode="External"/><Relationship Id="rId216" Type="http://schemas.openxmlformats.org/officeDocument/2006/relationships/hyperlink" Target="http://www.bens.org/" TargetMode="External"/><Relationship Id="rId337" Type="http://schemas.openxmlformats.org/officeDocument/2006/relationships/hyperlink" Target="http://www.populationconnection.org/site/PageServer" TargetMode="External"/><Relationship Id="rId458" Type="http://schemas.openxmlformats.org/officeDocument/2006/relationships/hyperlink" Target="http://abc2.org/" TargetMode="External"/><Relationship Id="rId215" Type="http://schemas.openxmlformats.org/officeDocument/2006/relationships/hyperlink" Target="http://www.boystown.org/locations/washington-dc" TargetMode="External"/><Relationship Id="rId336" Type="http://schemas.openxmlformats.org/officeDocument/2006/relationships/hyperlink" Target="http://www2.gwu.edu/~nsarchiv/" TargetMode="External"/><Relationship Id="rId457" Type="http://schemas.openxmlformats.org/officeDocument/2006/relationships/hyperlink" Target="http://www.deaf-reach.org/" TargetMode="External"/><Relationship Id="rId214" Type="http://schemas.openxmlformats.org/officeDocument/2006/relationships/hyperlink" Target="http://frac.org/" TargetMode="External"/><Relationship Id="rId335" Type="http://schemas.openxmlformats.org/officeDocument/2006/relationships/hyperlink" Target="http://www.thedialogue.org/" TargetMode="External"/><Relationship Id="rId456" Type="http://schemas.openxmlformats.org/officeDocument/2006/relationships/hyperlink" Target="http://www.tudorplace.org/" TargetMode="External"/><Relationship Id="rId219" Type="http://schemas.openxmlformats.org/officeDocument/2006/relationships/hyperlink" Target="http://jointcenter.org/" TargetMode="External"/><Relationship Id="rId218" Type="http://schemas.openxmlformats.org/officeDocument/2006/relationships/hyperlink" Target="http://support.washhumane.org/site/PageServer" TargetMode="External"/><Relationship Id="rId339" Type="http://schemas.openxmlformats.org/officeDocument/2006/relationships/hyperlink" Target="http://www.psr.org/" TargetMode="External"/><Relationship Id="rId330" Type="http://schemas.openxmlformats.org/officeDocument/2006/relationships/hyperlink" Target="http://www.savetibet.org/" TargetMode="External"/><Relationship Id="rId451" Type="http://schemas.openxmlformats.org/officeDocument/2006/relationships/hyperlink" Target="http://ishdc.org/" TargetMode="External"/><Relationship Id="rId450" Type="http://schemas.openxmlformats.org/officeDocument/2006/relationships/hyperlink" Target="http://www.samaritaninns.org/" TargetMode="External"/><Relationship Id="rId213" Type="http://schemas.openxmlformats.org/officeDocument/2006/relationships/hyperlink" Target="http://www.lcdp.org/" TargetMode="External"/><Relationship Id="rId334" Type="http://schemas.openxmlformats.org/officeDocument/2006/relationships/hyperlink" Target="http://www.greenamerica.org/" TargetMode="External"/><Relationship Id="rId455" Type="http://schemas.openxmlformats.org/officeDocument/2006/relationships/hyperlink" Target="http://afgj.org/" TargetMode="External"/><Relationship Id="rId212" Type="http://schemas.openxmlformats.org/officeDocument/2006/relationships/hyperlink" Target="http://www.heartofamerica.org/" TargetMode="External"/><Relationship Id="rId333" Type="http://schemas.openxmlformats.org/officeDocument/2006/relationships/hyperlink" Target="http://www.arcdc.net/" TargetMode="External"/><Relationship Id="rId454" Type="http://schemas.openxmlformats.org/officeDocument/2006/relationships/hyperlink" Target="http://www.usmexicofound.org/" TargetMode="External"/><Relationship Id="rId211" Type="http://schemas.openxmlformats.org/officeDocument/2006/relationships/hyperlink" Target="https://awionline.org/" TargetMode="External"/><Relationship Id="rId332" Type="http://schemas.openxmlformats.org/officeDocument/2006/relationships/hyperlink" Target="http://www.hungercenter.org/" TargetMode="External"/><Relationship Id="rId453" Type="http://schemas.openxmlformats.org/officeDocument/2006/relationships/hyperlink" Target="http://refugeassociation.org/" TargetMode="External"/><Relationship Id="rId210" Type="http://schemas.openxmlformats.org/officeDocument/2006/relationships/hyperlink" Target="http://www.smartgrowthamerica.org/" TargetMode="External"/><Relationship Id="rId331" Type="http://schemas.openxmlformats.org/officeDocument/2006/relationships/hyperlink" Target="http://chsfsc.org/" TargetMode="External"/><Relationship Id="rId452" Type="http://schemas.openxmlformats.org/officeDocument/2006/relationships/hyperlink" Target="https://www.cir-usa.org/" TargetMode="External"/><Relationship Id="rId370" Type="http://schemas.openxmlformats.org/officeDocument/2006/relationships/hyperlink" Target="http://americaabroadmedia.org/" TargetMode="External"/><Relationship Id="rId129" Type="http://schemas.openxmlformats.org/officeDocument/2006/relationships/hyperlink" Target="http://aas.org/" TargetMode="External"/><Relationship Id="rId128" Type="http://schemas.openxmlformats.org/officeDocument/2006/relationships/hyperlink" Target="http://vegaalliance.org/" TargetMode="External"/><Relationship Id="rId249" Type="http://schemas.openxmlformats.org/officeDocument/2006/relationships/hyperlink" Target="http://www.washingtonhospitality.org/" TargetMode="External"/><Relationship Id="rId127" Type="http://schemas.openxmlformats.org/officeDocument/2006/relationships/hyperlink" Target="http://rebuildingtogether.org/" TargetMode="External"/><Relationship Id="rId248" Type="http://schemas.openxmlformats.org/officeDocument/2006/relationships/hyperlink" Target="http://www.cwla.org/" TargetMode="External"/><Relationship Id="rId369" Type="http://schemas.openxmlformats.org/officeDocument/2006/relationships/hyperlink" Target="http://seaburyresources.org/" TargetMode="External"/><Relationship Id="rId126" Type="http://schemas.openxmlformats.org/officeDocument/2006/relationships/hyperlink" Target="http://www.icrw.org/" TargetMode="External"/><Relationship Id="rId247" Type="http://schemas.openxmlformats.org/officeDocument/2006/relationships/hyperlink" Target="http://neworganizingeducation.com/" TargetMode="External"/><Relationship Id="rId368" Type="http://schemas.openxmlformats.org/officeDocument/2006/relationships/hyperlink" Target="http://fas.org/" TargetMode="External"/><Relationship Id="rId121" Type="http://schemas.openxmlformats.org/officeDocument/2006/relationships/hyperlink" Target="http://www.prb.org/" TargetMode="External"/><Relationship Id="rId242" Type="http://schemas.openxmlformats.org/officeDocument/2006/relationships/hyperlink" Target="http://ucp.org/" TargetMode="External"/><Relationship Id="rId363" Type="http://schemas.openxmlformats.org/officeDocument/2006/relationships/hyperlink" Target="http://www.liftcommunities.org/" TargetMode="External"/><Relationship Id="rId120" Type="http://schemas.openxmlformats.org/officeDocument/2006/relationships/hyperlink" Target="http://familymattersdc.org/" TargetMode="External"/><Relationship Id="rId241" Type="http://schemas.openxmlformats.org/officeDocument/2006/relationships/hyperlink" Target="http://www.ewg.org/" TargetMode="External"/><Relationship Id="rId362" Type="http://schemas.openxmlformats.org/officeDocument/2006/relationships/hyperlink" Target="http://www.fightforchildren.org/" TargetMode="External"/><Relationship Id="rId240" Type="http://schemas.openxmlformats.org/officeDocument/2006/relationships/hyperlink" Target="http://www.breastcancerdeadline2020.org/homepage.html" TargetMode="External"/><Relationship Id="rId361" Type="http://schemas.openxmlformats.org/officeDocument/2006/relationships/hyperlink" Target="http://metroteenaids.org/site/" TargetMode="External"/><Relationship Id="rId360" Type="http://schemas.openxmlformats.org/officeDocument/2006/relationships/hyperlink" Target="http://forumfyi.org/" TargetMode="External"/><Relationship Id="rId125" Type="http://schemas.openxmlformats.org/officeDocument/2006/relationships/hyperlink" Target="http://www.americanrivers.org/" TargetMode="External"/><Relationship Id="rId246" Type="http://schemas.openxmlformats.org/officeDocument/2006/relationships/hyperlink" Target="http://hispanicfund.org/" TargetMode="External"/><Relationship Id="rId367" Type="http://schemas.openxmlformats.org/officeDocument/2006/relationships/hyperlink" Target="http://www.yumadc.org/" TargetMode="External"/><Relationship Id="rId124" Type="http://schemas.openxmlformats.org/officeDocument/2006/relationships/hyperlink" Target="http://www.layc-dc.org/" TargetMode="External"/><Relationship Id="rId245" Type="http://schemas.openxmlformats.org/officeDocument/2006/relationships/hyperlink" Target="http://cfenterprises.org/" TargetMode="External"/><Relationship Id="rId366" Type="http://schemas.openxmlformats.org/officeDocument/2006/relationships/hyperlink" Target="http://www.peaceplayersintl.org/" TargetMode="External"/><Relationship Id="rId123" Type="http://schemas.openxmlformats.org/officeDocument/2006/relationships/hyperlink" Target="http://www.nwlc.org/" TargetMode="External"/><Relationship Id="rId244" Type="http://schemas.openxmlformats.org/officeDocument/2006/relationships/hyperlink" Target="http://www.nationalcherryblossomfestival.org/" TargetMode="External"/><Relationship Id="rId365" Type="http://schemas.openxmlformats.org/officeDocument/2006/relationships/hyperlink" Target="http://www.aqua.org/" TargetMode="External"/><Relationship Id="rId122" Type="http://schemas.openxmlformats.org/officeDocument/2006/relationships/hyperlink" Target="http://www.apiasf.org/index.html" TargetMode="External"/><Relationship Id="rId243" Type="http://schemas.openxmlformats.org/officeDocument/2006/relationships/hyperlink" Target="http://www.sixthandi.org/" TargetMode="External"/><Relationship Id="rId364" Type="http://schemas.openxmlformats.org/officeDocument/2006/relationships/hyperlink" Target="http://www.areinc.org/" TargetMode="External"/><Relationship Id="rId95" Type="http://schemas.openxmlformats.org/officeDocument/2006/relationships/hyperlink" Target="http://oceana.org/" TargetMode="External"/><Relationship Id="rId94" Type="http://schemas.openxmlformats.org/officeDocument/2006/relationships/hyperlink" Target="http://www.rff.org/Pages/default.aspx" TargetMode="External"/><Relationship Id="rId97" Type="http://schemas.openxmlformats.org/officeDocument/2006/relationships/hyperlink" Target="http://www.stoddardbaptisthome.com/" TargetMode="External"/><Relationship Id="rId96" Type="http://schemas.openxmlformats.org/officeDocument/2006/relationships/hyperlink" Target="http://www.archivesfoundation.org/" TargetMode="External"/><Relationship Id="rId99" Type="http://schemas.openxmlformats.org/officeDocument/2006/relationships/hyperlink" Target="http://www.youreyes.org/" TargetMode="External"/><Relationship Id="rId98" Type="http://schemas.openxmlformats.org/officeDocument/2006/relationships/hyperlink" Target="http://www.theisraelproject.org/" TargetMode="External"/><Relationship Id="rId91" Type="http://schemas.openxmlformats.org/officeDocument/2006/relationships/hyperlink" Target="http://kaboom.org/" TargetMode="External"/><Relationship Id="rId90" Type="http://schemas.openxmlformats.org/officeDocument/2006/relationships/hyperlink" Target="http://www.alsa.org/" TargetMode="External"/><Relationship Id="rId93" Type="http://schemas.openxmlformats.org/officeDocument/2006/relationships/hyperlink" Target="http://www.phillipscollection.org/" TargetMode="External"/><Relationship Id="rId92" Type="http://schemas.openxmlformats.org/officeDocument/2006/relationships/hyperlink" Target="http://nationalzoo.si.edu/default.cfm?ref=index.htm" TargetMode="External"/><Relationship Id="rId118" Type="http://schemas.openxmlformats.org/officeDocument/2006/relationships/hyperlink" Target="http://www.equaljusticeworks.org/" TargetMode="External"/><Relationship Id="rId239" Type="http://schemas.openxmlformats.org/officeDocument/2006/relationships/hyperlink" Target="http://www.cnas.org/" TargetMode="External"/><Relationship Id="rId117" Type="http://schemas.openxmlformats.org/officeDocument/2006/relationships/hyperlink" Target="http://www.dccap.org/" TargetMode="External"/><Relationship Id="rId238" Type="http://schemas.openxmlformats.org/officeDocument/2006/relationships/hyperlink" Target="http://www.ellingtonschool.org/" TargetMode="External"/><Relationship Id="rId359" Type="http://schemas.openxmlformats.org/officeDocument/2006/relationships/hyperlink" Target="http://www.theurbanalliance.org/" TargetMode="External"/><Relationship Id="rId116" Type="http://schemas.openxmlformats.org/officeDocument/2006/relationships/hyperlink" Target="http://www.collegesummit.org/" TargetMode="External"/><Relationship Id="rId237" Type="http://schemas.openxmlformats.org/officeDocument/2006/relationships/hyperlink" Target="https://armedforcesfoundation.org/" TargetMode="External"/><Relationship Id="rId358" Type="http://schemas.openxmlformats.org/officeDocument/2006/relationships/hyperlink" Target="http://www.cancersupportcommunity.org/" TargetMode="External"/><Relationship Id="rId115" Type="http://schemas.openxmlformats.org/officeDocument/2006/relationships/hyperlink" Target="http://www.stcoletta.org/" TargetMode="External"/><Relationship Id="rId236" Type="http://schemas.openxmlformats.org/officeDocument/2006/relationships/hyperlink" Target="http://www.seeforever.org/" TargetMode="External"/><Relationship Id="rId357" Type="http://schemas.openxmlformats.org/officeDocument/2006/relationships/hyperlink" Target="http://eia-global.org/" TargetMode="External"/><Relationship Id="rId119" Type="http://schemas.openxmlformats.org/officeDocument/2006/relationships/hyperlink" Target="http://www.nationalchildrensalliance.org/" TargetMode="External"/><Relationship Id="rId110" Type="http://schemas.openxmlformats.org/officeDocument/2006/relationships/hyperlink" Target="http://www.vvmf.org/" TargetMode="External"/><Relationship Id="rId231" Type="http://schemas.openxmlformats.org/officeDocument/2006/relationships/hyperlink" Target="http://www.bva.org/" TargetMode="External"/><Relationship Id="rId352" Type="http://schemas.openxmlformats.org/officeDocument/2006/relationships/hyperlink" Target="http://www.ebfsc.org/" TargetMode="External"/><Relationship Id="rId230" Type="http://schemas.openxmlformats.org/officeDocument/2006/relationships/hyperlink" Target="http://www.asaecenter.org/foundation2/" TargetMode="External"/><Relationship Id="rId351" Type="http://schemas.openxmlformats.org/officeDocument/2006/relationships/hyperlink" Target="http://lottcarey.publishpath.com/" TargetMode="External"/><Relationship Id="rId350" Type="http://schemas.openxmlformats.org/officeDocument/2006/relationships/hyperlink" Target="http://www.bnaibrith.org/" TargetMode="External"/><Relationship Id="rId114" Type="http://schemas.openxmlformats.org/officeDocument/2006/relationships/hyperlink" Target="http://www.ncrc.org/" TargetMode="External"/><Relationship Id="rId235" Type="http://schemas.openxmlformats.org/officeDocument/2006/relationships/hyperlink" Target="http://nof.org/" TargetMode="External"/><Relationship Id="rId356" Type="http://schemas.openxmlformats.org/officeDocument/2006/relationships/hyperlink" Target="http://www.dchabitat.org/" TargetMode="External"/><Relationship Id="rId113" Type="http://schemas.openxmlformats.org/officeDocument/2006/relationships/hyperlink" Target="http://www.washingtonperformingarts.org/" TargetMode="External"/><Relationship Id="rId234" Type="http://schemas.openxmlformats.org/officeDocument/2006/relationships/hyperlink" Target="http://www.clb.org/" TargetMode="External"/><Relationship Id="rId355" Type="http://schemas.openxmlformats.org/officeDocument/2006/relationships/hyperlink" Target="http://www.archfoundation.org/" TargetMode="External"/><Relationship Id="rId112" Type="http://schemas.openxmlformats.org/officeDocument/2006/relationships/hyperlink" Target="http://www.thurgoodmarshallfund.net/" TargetMode="External"/><Relationship Id="rId233" Type="http://schemas.openxmlformats.org/officeDocument/2006/relationships/hyperlink" Target="http://www.americansforthearts.org/" TargetMode="External"/><Relationship Id="rId354" Type="http://schemas.openxmlformats.org/officeDocument/2006/relationships/hyperlink" Target="http://www.resolv.org/" TargetMode="External"/><Relationship Id="rId111" Type="http://schemas.openxmlformats.org/officeDocument/2006/relationships/hyperlink" Target="http://www.cspinet.org/" TargetMode="External"/><Relationship Id="rId232" Type="http://schemas.openxmlformats.org/officeDocument/2006/relationships/hyperlink" Target="http://sunlightfoundation.com/" TargetMode="External"/><Relationship Id="rId353" Type="http://schemas.openxmlformats.org/officeDocument/2006/relationships/hyperlink" Target="http://www.myja.org/" TargetMode="External"/><Relationship Id="rId305" Type="http://schemas.openxmlformats.org/officeDocument/2006/relationships/hyperlink" Target="http://www.melanoma.org/" TargetMode="External"/><Relationship Id="rId426" Type="http://schemas.openxmlformats.org/officeDocument/2006/relationships/hyperlink" Target="http://www.wisconsinproject.org/" TargetMode="External"/><Relationship Id="rId304" Type="http://schemas.openxmlformats.org/officeDocument/2006/relationships/hyperlink" Target="http://www.bnaibrith.org/" TargetMode="External"/><Relationship Id="rId425" Type="http://schemas.openxmlformats.org/officeDocument/2006/relationships/hyperlink" Target="https://www.nationformarriage.org/main/ourwork/nom-education-fund" TargetMode="External"/><Relationship Id="rId303" Type="http://schemas.openxmlformats.org/officeDocument/2006/relationships/hyperlink" Target="http://www.geneticalliance.org/" TargetMode="External"/><Relationship Id="rId424" Type="http://schemas.openxmlformats.org/officeDocument/2006/relationships/hyperlink" Target="http://www.aannet.org/" TargetMode="External"/><Relationship Id="rId302" Type="http://schemas.openxmlformats.org/officeDocument/2006/relationships/hyperlink" Target="http://www.icbl.org/en-gb/home.aspx" TargetMode="External"/><Relationship Id="rId423" Type="http://schemas.openxmlformats.org/officeDocument/2006/relationships/hyperlink" Target="http://ourfuture.org/" TargetMode="External"/><Relationship Id="rId309" Type="http://schemas.openxmlformats.org/officeDocument/2006/relationships/hyperlink" Target="http://cornerstonedc.org/" TargetMode="External"/><Relationship Id="rId308" Type="http://schemas.openxmlformats.org/officeDocument/2006/relationships/hyperlink" Target="http://serpinstitute.org/" TargetMode="External"/><Relationship Id="rId429" Type="http://schemas.openxmlformats.org/officeDocument/2006/relationships/hyperlink" Target="http://www.iwmf.org/" TargetMode="External"/><Relationship Id="rId307" Type="http://schemas.openxmlformats.org/officeDocument/2006/relationships/hyperlink" Target="http://fsfsc.org/" TargetMode="External"/><Relationship Id="rId428" Type="http://schemas.openxmlformats.org/officeDocument/2006/relationships/hyperlink" Target="http://www.si.edu/SEEC" TargetMode="External"/><Relationship Id="rId306" Type="http://schemas.openxmlformats.org/officeDocument/2006/relationships/hyperlink" Target="http://www.erfsc.org/" TargetMode="External"/><Relationship Id="rId427" Type="http://schemas.openxmlformats.org/officeDocument/2006/relationships/hyperlink" Target="http://communityeducationgroup.org/" TargetMode="External"/><Relationship Id="rId301" Type="http://schemas.openxmlformats.org/officeDocument/2006/relationships/hyperlink" Target="http://americanactionforum.org/" TargetMode="External"/><Relationship Id="rId422" Type="http://schemas.openxmlformats.org/officeDocument/2006/relationships/hyperlink" Target="http://thewomensfoundation.org/" TargetMode="External"/><Relationship Id="rId300" Type="http://schemas.openxmlformats.org/officeDocument/2006/relationships/hyperlink" Target="http://www.cair.com/" TargetMode="External"/><Relationship Id="rId421" Type="http://schemas.openxmlformats.org/officeDocument/2006/relationships/hyperlink" Target="http://start.org/" TargetMode="External"/><Relationship Id="rId420" Type="http://schemas.openxmlformats.org/officeDocument/2006/relationships/hyperlink" Target="http://www.sportsmenslink.org/" TargetMode="External"/><Relationship Id="rId415" Type="http://schemas.openxmlformats.org/officeDocument/2006/relationships/hyperlink" Target="http://community.pflag.org/Page.aspx?pid=194&amp;srcid=-2" TargetMode="External"/><Relationship Id="rId414" Type="http://schemas.openxmlformats.org/officeDocument/2006/relationships/hyperlink" Target="http://www.larche-gwdc.org/" TargetMode="External"/><Relationship Id="rId413" Type="http://schemas.openxmlformats.org/officeDocument/2006/relationships/hyperlink" Target="http://cmbm.org/" TargetMode="External"/><Relationship Id="rId412" Type="http://schemas.openxmlformats.org/officeDocument/2006/relationships/hyperlink" Target="http://www.aicongress.org/" TargetMode="External"/><Relationship Id="rId419" Type="http://schemas.openxmlformats.org/officeDocument/2006/relationships/hyperlink" Target="http://njdc.info/" TargetMode="External"/><Relationship Id="rId418" Type="http://schemas.openxmlformats.org/officeDocument/2006/relationships/hyperlink" Target="http://www.whistleblower.org/" TargetMode="External"/><Relationship Id="rId417" Type="http://schemas.openxmlformats.org/officeDocument/2006/relationships/hyperlink" Target="http://www.justiceatstake.org/" TargetMode="External"/><Relationship Id="rId416" Type="http://schemas.openxmlformats.org/officeDocument/2006/relationships/hyperlink" Target="http://www.forworkingfamilies.org/" TargetMode="External"/><Relationship Id="rId411" Type="http://schemas.openxmlformats.org/officeDocument/2006/relationships/hyperlink" Target="http://www.nationalskillscoalition.org/" TargetMode="External"/><Relationship Id="rId410" Type="http://schemas.openxmlformats.org/officeDocument/2006/relationships/hyperlink" Target="http://prospect.org/" TargetMode="External"/><Relationship Id="rId206" Type="http://schemas.openxmlformats.org/officeDocument/2006/relationships/hyperlink" Target="http://www.ywca.org/site/c.cuIRJ7NTKrLaG/b.7515807/k.2737/YWCA__Eliminating_Racism_Empowering_Women.htm" TargetMode="External"/><Relationship Id="rId327" Type="http://schemas.openxmlformats.org/officeDocument/2006/relationships/hyperlink" Target="http://www.micasa-inc.org/" TargetMode="External"/><Relationship Id="rId448" Type="http://schemas.openxmlformats.org/officeDocument/2006/relationships/hyperlink" Target="http://www.bicusa.org/" TargetMode="External"/><Relationship Id="rId205" Type="http://schemas.openxmlformats.org/officeDocument/2006/relationships/hyperlink" Target="https://www.neafoundation.org/" TargetMode="External"/><Relationship Id="rId326" Type="http://schemas.openxmlformats.org/officeDocument/2006/relationships/hyperlink" Target="http://www.thearcdc.org/" TargetMode="External"/><Relationship Id="rId447" Type="http://schemas.openxmlformats.org/officeDocument/2006/relationships/hyperlink" Target="http://www.diabetesaction.org/site/PageServer?pagename=index" TargetMode="External"/><Relationship Id="rId204" Type="http://schemas.openxmlformats.org/officeDocument/2006/relationships/hyperlink" Target="http://populationaction.org/" TargetMode="External"/><Relationship Id="rId325" Type="http://schemas.openxmlformats.org/officeDocument/2006/relationships/hyperlink" Target="http://www.ciel.org/" TargetMode="External"/><Relationship Id="rId446" Type="http://schemas.openxmlformats.org/officeDocument/2006/relationships/hyperlink" Target="http://www.consumerfed.org/" TargetMode="External"/><Relationship Id="rId203" Type="http://schemas.openxmlformats.org/officeDocument/2006/relationships/hyperlink" Target="http://www.hswlt.org/" TargetMode="External"/><Relationship Id="rId324" Type="http://schemas.openxmlformats.org/officeDocument/2006/relationships/hyperlink" Target="http://www.jinsa.org/" TargetMode="External"/><Relationship Id="rId445" Type="http://schemas.openxmlformats.org/officeDocument/2006/relationships/hyperlink" Target="http://www.nationalcapacd.org/" TargetMode="External"/><Relationship Id="rId209" Type="http://schemas.openxmlformats.org/officeDocument/2006/relationships/hyperlink" Target="https://www.aaafoundation.org/" TargetMode="External"/><Relationship Id="rId208" Type="http://schemas.openxmlformats.org/officeDocument/2006/relationships/hyperlink" Target="http://www.publiccharters.org/" TargetMode="External"/><Relationship Id="rId329" Type="http://schemas.openxmlformats.org/officeDocument/2006/relationships/hyperlink" Target="http://www.nclnet.org/" TargetMode="External"/><Relationship Id="rId207" Type="http://schemas.openxmlformats.org/officeDocument/2006/relationships/hyperlink" Target="https://www.boardsource.org/eweb/startpage.aspx?site=bds2012" TargetMode="External"/><Relationship Id="rId328" Type="http://schemas.openxmlformats.org/officeDocument/2006/relationships/hyperlink" Target="http://instituteforenergyresearch.org/" TargetMode="External"/><Relationship Id="rId449" Type="http://schemas.openxmlformats.org/officeDocument/2006/relationships/hyperlink" Target="http://immigrationforum.org/" TargetMode="External"/><Relationship Id="rId440" Type="http://schemas.openxmlformats.org/officeDocument/2006/relationships/hyperlink" Target="http://www.dalitnetwork.org/go?/dfn/index" TargetMode="External"/><Relationship Id="rId202" Type="http://schemas.openxmlformats.org/officeDocument/2006/relationships/hyperlink" Target="http://dccfh.org/" TargetMode="External"/><Relationship Id="rId323" Type="http://schemas.openxmlformats.org/officeDocument/2006/relationships/hyperlink" Target="http://www.neefusa.org/" TargetMode="External"/><Relationship Id="rId444" Type="http://schemas.openxmlformats.org/officeDocument/2006/relationships/hyperlink" Target="http://www.jobshavepriority.org/" TargetMode="External"/><Relationship Id="rId201" Type="http://schemas.openxmlformats.org/officeDocument/2006/relationships/hyperlink" Target="http://www.railstotrails.org/" TargetMode="External"/><Relationship Id="rId322" Type="http://schemas.openxmlformats.org/officeDocument/2006/relationships/hyperlink" Target="http://www.cneonline.org/" TargetMode="External"/><Relationship Id="rId443" Type="http://schemas.openxmlformats.org/officeDocument/2006/relationships/hyperlink" Target="http://www.nbcdi.org/" TargetMode="External"/><Relationship Id="rId200" Type="http://schemas.openxmlformats.org/officeDocument/2006/relationships/hyperlink" Target="http://www.councilforastrongamerica.org/" TargetMode="External"/><Relationship Id="rId321" Type="http://schemas.openxmlformats.org/officeDocument/2006/relationships/hyperlink" Target="http://helpupa.org/" TargetMode="External"/><Relationship Id="rId442" Type="http://schemas.openxmlformats.org/officeDocument/2006/relationships/hyperlink" Target="http://www.501ctech.org/" TargetMode="External"/><Relationship Id="rId320" Type="http://schemas.openxmlformats.org/officeDocument/2006/relationships/hyperlink" Target="http://www.uschs.org/" TargetMode="External"/><Relationship Id="rId441" Type="http://schemas.openxmlformats.org/officeDocument/2006/relationships/hyperlink" Target="https://assoc.drupal.org/" TargetMode="External"/><Relationship Id="rId316" Type="http://schemas.openxmlformats.org/officeDocument/2006/relationships/hyperlink" Target="http://www.enrollamerica.org/" TargetMode="External"/><Relationship Id="rId437" Type="http://schemas.openxmlformats.org/officeDocument/2006/relationships/hyperlink" Target="http://chctdc.org/" TargetMode="External"/><Relationship Id="rId315" Type="http://schemas.openxmlformats.org/officeDocument/2006/relationships/hyperlink" Target="http://www.wlf.org/" TargetMode="External"/><Relationship Id="rId436" Type="http://schemas.openxmlformats.org/officeDocument/2006/relationships/hyperlink" Target="http://www.nasaa-arts.org/" TargetMode="External"/><Relationship Id="rId314" Type="http://schemas.openxmlformats.org/officeDocument/2006/relationships/hyperlink" Target="http://baeo.org/" TargetMode="External"/><Relationship Id="rId435" Type="http://schemas.openxmlformats.org/officeDocument/2006/relationships/hyperlink" Target="http://www.iraqfoundation.org/" TargetMode="External"/><Relationship Id="rId313" Type="http://schemas.openxmlformats.org/officeDocument/2006/relationships/hyperlink" Target="http://www.mountain.org/" TargetMode="External"/><Relationship Id="rId434" Type="http://schemas.openxmlformats.org/officeDocument/2006/relationships/hyperlink" Target="http://www.conservation-us.org/foundation" TargetMode="External"/><Relationship Id="rId319" Type="http://schemas.openxmlformats.org/officeDocument/2006/relationships/hyperlink" Target="http://www.ucpdc.org/" TargetMode="External"/><Relationship Id="rId318" Type="http://schemas.openxmlformats.org/officeDocument/2006/relationships/hyperlink" Target="http://www.cleanwaterfund.org/" TargetMode="External"/><Relationship Id="rId439" Type="http://schemas.openxmlformats.org/officeDocument/2006/relationships/hyperlink" Target="http://www.goodweave.org/home.php" TargetMode="External"/><Relationship Id="rId317" Type="http://schemas.openxmlformats.org/officeDocument/2006/relationships/hyperlink" Target="http://www.ercpcp.org/home0.aspx" TargetMode="External"/><Relationship Id="rId438" Type="http://schemas.openxmlformats.org/officeDocument/2006/relationships/hyperlink" Target="http://www.kidsave.org/" TargetMode="External"/><Relationship Id="rId312" Type="http://schemas.openxmlformats.org/officeDocument/2006/relationships/hyperlink" Target="http://www.rosemountcenter.com/" TargetMode="External"/><Relationship Id="rId433" Type="http://schemas.openxmlformats.org/officeDocument/2006/relationships/hyperlink" Target="http://www.leasefoundation.org/" TargetMode="External"/><Relationship Id="rId311" Type="http://schemas.openxmlformats.org/officeDocument/2006/relationships/hyperlink" Target="http://hillcenterdc.org/home/" TargetMode="External"/><Relationship Id="rId432" Type="http://schemas.openxmlformats.org/officeDocument/2006/relationships/hyperlink" Target="http://www.wola.org/" TargetMode="External"/><Relationship Id="rId310" Type="http://schemas.openxmlformats.org/officeDocument/2006/relationships/hyperlink" Target="http://rostropovich.org/" TargetMode="External"/><Relationship Id="rId431" Type="http://schemas.openxmlformats.org/officeDocument/2006/relationships/hyperlink" Target="http://www.bikeleague.org/" TargetMode="External"/><Relationship Id="rId430" Type="http://schemas.openxmlformats.org/officeDocument/2006/relationships/hyperlink" Target="http://www.fonkoz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3.43"/>
    <col customWidth="1" min="2" max="2" width="78.71"/>
    <col customWidth="1" min="3" max="4" width="13.43"/>
    <col customWidth="1" min="5" max="5" width="6.86"/>
    <col customWidth="1" min="6" max="6" width="13.43"/>
    <col customWidth="1" min="7" max="7" width="21.0"/>
    <col customWidth="1" min="8" max="8" width="98.86"/>
    <col customWidth="1" min="9" max="9" width="18.43"/>
    <col customWidth="1" min="10" max="15" width="13.43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7">
        <v>3.699665471E9</v>
      </c>
      <c r="H2" s="8" t="str">
        <f>HYPERLINK("http://www.redcross.org/","http://www.redcross.org/")</f>
        <v>http://www.redcross.org/</v>
      </c>
      <c r="I2" s="6" t="s">
        <v>20</v>
      </c>
      <c r="J2" s="9" t="s">
        <v>21</v>
      </c>
      <c r="K2" s="9" t="s">
        <v>22</v>
      </c>
      <c r="L2" s="9" t="s">
        <v>23</v>
      </c>
      <c r="M2" s="9"/>
      <c r="N2" s="9" t="s">
        <v>24</v>
      </c>
      <c r="O2" s="9" t="s">
        <v>25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5" t="s">
        <v>26</v>
      </c>
      <c r="B3" s="6" t="s">
        <v>27</v>
      </c>
      <c r="C3" s="6" t="s">
        <v>28</v>
      </c>
      <c r="D3" s="6" t="s">
        <v>17</v>
      </c>
      <c r="E3" s="6" t="s">
        <v>18</v>
      </c>
      <c r="F3" s="6" t="s">
        <v>29</v>
      </c>
      <c r="G3" s="7">
        <v>3.619658392E9</v>
      </c>
      <c r="H3" s="8" t="str">
        <f>HYPERLINK("http://www.uncf.org/","http://www.uncf.org/")</f>
        <v>http://www.uncf.org/</v>
      </c>
      <c r="I3" s="6" t="s">
        <v>20</v>
      </c>
      <c r="J3" s="9" t="s">
        <v>30</v>
      </c>
      <c r="K3" s="9" t="s">
        <v>31</v>
      </c>
      <c r="L3" s="9" t="s">
        <v>32</v>
      </c>
      <c r="M3" s="9" t="s">
        <v>33</v>
      </c>
      <c r="N3" s="9" t="s">
        <v>34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5" t="s">
        <v>35</v>
      </c>
      <c r="B4" s="6" t="s">
        <v>36</v>
      </c>
      <c r="C4" s="6" t="s">
        <v>37</v>
      </c>
      <c r="D4" s="6" t="s">
        <v>17</v>
      </c>
      <c r="E4" s="6" t="s">
        <v>18</v>
      </c>
      <c r="F4" s="6" t="s">
        <v>38</v>
      </c>
      <c r="G4" s="7">
        <v>1.936887084E9</v>
      </c>
      <c r="H4" s="8" t="str">
        <f>HYPERLINK("http://www.si.edu/","http://www.si.edu/")</f>
        <v>http://www.si.edu/</v>
      </c>
      <c r="I4" s="6" t="s">
        <v>20</v>
      </c>
      <c r="J4" s="9" t="s">
        <v>39</v>
      </c>
      <c r="K4" s="9" t="s">
        <v>40</v>
      </c>
      <c r="L4" s="9" t="s">
        <v>41</v>
      </c>
      <c r="M4" s="9" t="s">
        <v>42</v>
      </c>
      <c r="N4" s="9" t="s">
        <v>43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44</v>
      </c>
      <c r="B5" s="11" t="s">
        <v>45</v>
      </c>
      <c r="C5" s="11" t="s">
        <v>46</v>
      </c>
      <c r="D5" s="11" t="s">
        <v>17</v>
      </c>
      <c r="E5" s="11" t="s">
        <v>18</v>
      </c>
      <c r="F5" s="11" t="s">
        <v>47</v>
      </c>
      <c r="G5" s="12">
        <v>6.58691941E8</v>
      </c>
      <c r="H5" s="13"/>
      <c r="I5" s="1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5" t="s">
        <v>48</v>
      </c>
      <c r="B6" s="6" t="s">
        <v>49</v>
      </c>
      <c r="C6" s="6" t="s">
        <v>50</v>
      </c>
      <c r="D6" s="6" t="s">
        <v>17</v>
      </c>
      <c r="E6" s="6" t="s">
        <v>18</v>
      </c>
      <c r="F6" s="6" t="s">
        <v>51</v>
      </c>
      <c r="G6" s="7">
        <v>6.00315715E8</v>
      </c>
      <c r="H6" s="8" t="str">
        <f>HYPERLINK("http://www.nationalgeographic.com/","http://www.nationalgeographic.com/")</f>
        <v>http://www.nationalgeographic.com/</v>
      </c>
      <c r="I6" s="6" t="s">
        <v>20</v>
      </c>
      <c r="J6" s="9" t="s">
        <v>52</v>
      </c>
      <c r="K6" s="9" t="s">
        <v>53</v>
      </c>
      <c r="L6" s="9" t="s">
        <v>54</v>
      </c>
      <c r="M6" s="9" t="s">
        <v>55</v>
      </c>
      <c r="N6" s="9" t="s">
        <v>56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 t="s">
        <v>57</v>
      </c>
      <c r="B7" s="11" t="s">
        <v>58</v>
      </c>
      <c r="C7" s="11" t="s">
        <v>59</v>
      </c>
      <c r="D7" s="11" t="s">
        <v>17</v>
      </c>
      <c r="E7" s="11" t="s">
        <v>18</v>
      </c>
      <c r="F7" s="11" t="s">
        <v>60</v>
      </c>
      <c r="G7" s="12">
        <v>3.07497704E8</v>
      </c>
      <c r="H7" s="13"/>
      <c r="I7" s="11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5" t="s">
        <v>61</v>
      </c>
      <c r="B8" s="6" t="s">
        <v>62</v>
      </c>
      <c r="C8" s="6" t="s">
        <v>63</v>
      </c>
      <c r="D8" s="6" t="s">
        <v>17</v>
      </c>
      <c r="E8" s="6" t="s">
        <v>18</v>
      </c>
      <c r="F8" s="6" t="s">
        <v>64</v>
      </c>
      <c r="G8" s="7">
        <v>2.38424017E8</v>
      </c>
      <c r="H8" s="8" t="str">
        <f>HYPERLINK("http://www.npr.org/","http://www.npr.org/")</f>
        <v>http://www.npr.org/</v>
      </c>
      <c r="I8" s="6" t="s">
        <v>20</v>
      </c>
      <c r="J8" s="9" t="s">
        <v>65</v>
      </c>
      <c r="K8" s="9" t="s">
        <v>66</v>
      </c>
      <c r="L8" s="9" t="s">
        <v>67</v>
      </c>
      <c r="M8" s="9" t="s">
        <v>68</v>
      </c>
      <c r="N8" s="9" t="s">
        <v>69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5" t="s">
        <v>70</v>
      </c>
      <c r="B9" s="6" t="s">
        <v>71</v>
      </c>
      <c r="C9" s="6" t="s">
        <v>72</v>
      </c>
      <c r="D9" s="6" t="s">
        <v>17</v>
      </c>
      <c r="E9" s="6" t="s">
        <v>18</v>
      </c>
      <c r="F9" s="6" t="s">
        <v>73</v>
      </c>
      <c r="G9" s="7">
        <v>2.38300961E8</v>
      </c>
      <c r="H9" s="8" t="str">
        <f>HYPERLINK("http://www.kennedy-center.org/index.cfm","http://www.kennedy-center.org/index.cfm")</f>
        <v>http://www.kennedy-center.org/index.cfm</v>
      </c>
      <c r="I9" s="6" t="s">
        <v>20</v>
      </c>
      <c r="J9" s="9" t="s">
        <v>74</v>
      </c>
      <c r="K9" s="9" t="s">
        <v>75</v>
      </c>
      <c r="L9" s="9" t="s">
        <v>76</v>
      </c>
      <c r="M9" s="9" t="s">
        <v>77</v>
      </c>
      <c r="N9" s="9" t="s">
        <v>78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5" t="s">
        <v>79</v>
      </c>
      <c r="B10" s="6" t="s">
        <v>80</v>
      </c>
      <c r="C10" s="6" t="s">
        <v>81</v>
      </c>
      <c r="D10" s="6" t="s">
        <v>17</v>
      </c>
      <c r="E10" s="6" t="s">
        <v>18</v>
      </c>
      <c r="F10" s="6" t="s">
        <v>82</v>
      </c>
      <c r="G10" s="7">
        <v>2.33265E8</v>
      </c>
      <c r="H10" s="8" t="str">
        <f>HYPERLINK("http://www.humanesociety.org/","http://www.humanesociety.org/")</f>
        <v>http://www.humanesociety.org/</v>
      </c>
      <c r="I10" s="6" t="s">
        <v>20</v>
      </c>
      <c r="J10" s="9" t="s">
        <v>83</v>
      </c>
      <c r="K10" s="9" t="s">
        <v>84</v>
      </c>
      <c r="L10" s="9" t="s">
        <v>85</v>
      </c>
      <c r="M10" s="9" t="s">
        <v>86</v>
      </c>
      <c r="N10" s="9" t="s">
        <v>87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5" t="s">
        <v>88</v>
      </c>
      <c r="B11" s="6" t="s">
        <v>89</v>
      </c>
      <c r="C11" s="6" t="s">
        <v>90</v>
      </c>
      <c r="D11" s="6" t="s">
        <v>17</v>
      </c>
      <c r="E11" s="6" t="s">
        <v>18</v>
      </c>
      <c r="F11" s="6" t="s">
        <v>91</v>
      </c>
      <c r="G11" s="7">
        <v>2.1715852E8</v>
      </c>
      <c r="H11" s="8" t="str">
        <f>HYPERLINK("http://www.unfoundation.org/","http://www.unfoundation.org/")</f>
        <v>http://www.unfoundation.org/</v>
      </c>
      <c r="I11" s="6" t="s">
        <v>20</v>
      </c>
      <c r="J11" s="9" t="s">
        <v>92</v>
      </c>
      <c r="K11" s="9" t="s">
        <v>93</v>
      </c>
      <c r="L11" s="9" t="s">
        <v>94</v>
      </c>
      <c r="M11" s="9" t="s">
        <v>95</v>
      </c>
      <c r="N11" s="9" t="s">
        <v>96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 t="s">
        <v>97</v>
      </c>
      <c r="B12" s="6" t="s">
        <v>98</v>
      </c>
      <c r="C12" s="6" t="s">
        <v>99</v>
      </c>
      <c r="D12" s="6" t="s">
        <v>17</v>
      </c>
      <c r="E12" s="6" t="s">
        <v>18</v>
      </c>
      <c r="F12" s="6" t="s">
        <v>100</v>
      </c>
      <c r="G12" s="7">
        <v>2.13936451E8</v>
      </c>
      <c r="H12" s="8" t="str">
        <f>HYPERLINK("http://www.worldwildlife.org/","http://www.worldwildlife.org/")</f>
        <v>http://www.worldwildlife.org/</v>
      </c>
      <c r="I12" s="6" t="s">
        <v>20</v>
      </c>
      <c r="J12" s="9" t="s">
        <v>101</v>
      </c>
      <c r="K12" s="9" t="s">
        <v>102</v>
      </c>
      <c r="L12" s="9" t="s">
        <v>103</v>
      </c>
      <c r="M12" s="9" t="s">
        <v>104</v>
      </c>
      <c r="N12" s="9" t="s">
        <v>105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 t="s">
        <v>106</v>
      </c>
      <c r="B13" s="6" t="s">
        <v>107</v>
      </c>
      <c r="C13" s="6" t="s">
        <v>108</v>
      </c>
      <c r="D13" s="6" t="s">
        <v>17</v>
      </c>
      <c r="E13" s="6" t="s">
        <v>18</v>
      </c>
      <c r="F13" s="6" t="s">
        <v>109</v>
      </c>
      <c r="G13" s="7">
        <v>2.05826957E8</v>
      </c>
      <c r="H13" s="8" t="str">
        <f>HYPERLINK("http://www.nfwf.org/Pages/default.aspx","http://www.nfwf.org/Pages/default.aspx")</f>
        <v>http://www.nfwf.org/Pages/default.aspx</v>
      </c>
      <c r="I13" s="6" t="s">
        <v>20</v>
      </c>
      <c r="J13" s="9" t="s">
        <v>110</v>
      </c>
      <c r="K13" s="9" t="s">
        <v>111</v>
      </c>
      <c r="L13" s="9" t="s">
        <v>112</v>
      </c>
      <c r="M13" s="9" t="s">
        <v>113</v>
      </c>
      <c r="N13" s="9" t="s">
        <v>114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 t="s">
        <v>115</v>
      </c>
      <c r="B14" s="6" t="s">
        <v>116</v>
      </c>
      <c r="C14" s="6" t="s">
        <v>117</v>
      </c>
      <c r="D14" s="6" t="s">
        <v>17</v>
      </c>
      <c r="E14" s="6" t="s">
        <v>18</v>
      </c>
      <c r="F14" s="6" t="s">
        <v>118</v>
      </c>
      <c r="G14" s="7">
        <v>1.92390458E8</v>
      </c>
      <c r="H14" s="8" t="str">
        <f>HYPERLINK("http://www.gmfus.org/","http://www.gmfus.org/")</f>
        <v>http://www.gmfus.org/</v>
      </c>
      <c r="I14" s="6" t="s">
        <v>20</v>
      </c>
      <c r="J14" s="9" t="s">
        <v>119</v>
      </c>
      <c r="K14" s="9" t="s">
        <v>120</v>
      </c>
      <c r="L14" s="9" t="s">
        <v>121</v>
      </c>
      <c r="M14" s="9" t="s">
        <v>122</v>
      </c>
      <c r="N14" s="9" t="s">
        <v>123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 t="s">
        <v>124</v>
      </c>
      <c r="B15" s="6" t="s">
        <v>125</v>
      </c>
      <c r="C15" s="6" t="s">
        <v>126</v>
      </c>
      <c r="D15" s="6" t="s">
        <v>17</v>
      </c>
      <c r="E15" s="6" t="s">
        <v>18</v>
      </c>
      <c r="F15" s="6" t="s">
        <v>127</v>
      </c>
      <c r="G15" s="7">
        <v>1.90764968E8</v>
      </c>
      <c r="H15" s="8" t="str">
        <f>HYPERLINK("http://www.pactworld.org/","http://www.pactworld.org/")</f>
        <v>http://www.pactworld.org/</v>
      </c>
      <c r="I15" s="6" t="s">
        <v>20</v>
      </c>
      <c r="J15" s="9" t="s">
        <v>128</v>
      </c>
      <c r="K15" s="9" t="s">
        <v>129</v>
      </c>
      <c r="L15" s="9" t="s">
        <v>130</v>
      </c>
      <c r="M15" s="9" t="s">
        <v>131</v>
      </c>
      <c r="N15" s="9" t="s">
        <v>132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 t="s">
        <v>133</v>
      </c>
      <c r="B16" s="6" t="s">
        <v>134</v>
      </c>
      <c r="C16" s="6" t="s">
        <v>135</v>
      </c>
      <c r="D16" s="6" t="s">
        <v>17</v>
      </c>
      <c r="E16" s="6" t="s">
        <v>18</v>
      </c>
      <c r="F16" s="6" t="s">
        <v>136</v>
      </c>
      <c r="G16" s="7">
        <v>1.83112167E8</v>
      </c>
      <c r="H16" s="8" t="str">
        <f>HYPERLINK("http://thecommunityfoundation.org/","http://thecommunityfoundation.org/")</f>
        <v>http://thecommunityfoundation.org/</v>
      </c>
      <c r="I16" s="6" t="s">
        <v>20</v>
      </c>
      <c r="J16" s="9" t="s">
        <v>137</v>
      </c>
      <c r="K16" s="9" t="s">
        <v>138</v>
      </c>
      <c r="L16" s="9" t="s">
        <v>139</v>
      </c>
      <c r="M16" s="9" t="s">
        <v>140</v>
      </c>
      <c r="N16" s="9" t="s">
        <v>141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 t="s">
        <v>142</v>
      </c>
      <c r="B17" s="11" t="s">
        <v>143</v>
      </c>
      <c r="C17" s="11" t="s">
        <v>144</v>
      </c>
      <c r="D17" s="11" t="s">
        <v>17</v>
      </c>
      <c r="E17" s="11" t="s">
        <v>18</v>
      </c>
      <c r="F17" s="11" t="s">
        <v>145</v>
      </c>
      <c r="G17" s="12">
        <v>1.73235867E8</v>
      </c>
      <c r="H17" s="13"/>
      <c r="I17" s="11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5" t="s">
        <v>146</v>
      </c>
      <c r="B18" s="6" t="s">
        <v>147</v>
      </c>
      <c r="C18" s="6" t="s">
        <v>148</v>
      </c>
      <c r="D18" s="6" t="s">
        <v>17</v>
      </c>
      <c r="E18" s="6" t="s">
        <v>18</v>
      </c>
      <c r="F18" s="6" t="s">
        <v>149</v>
      </c>
      <c r="G18" s="7">
        <v>1.66574242E8</v>
      </c>
      <c r="H18" s="8" t="str">
        <f>HYPERLINK("http://www.acdivoca.org/","http://www.acdivoca.org/")</f>
        <v>http://www.acdivoca.org/</v>
      </c>
      <c r="I18" s="6" t="s">
        <v>20</v>
      </c>
      <c r="J18" s="9" t="s">
        <v>150</v>
      </c>
      <c r="K18" s="9" t="s">
        <v>53</v>
      </c>
      <c r="L18" s="9" t="s">
        <v>151</v>
      </c>
      <c r="M18" s="9" t="s">
        <v>152</v>
      </c>
      <c r="N18" s="9" t="s">
        <v>153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 t="s">
        <v>154</v>
      </c>
      <c r="B19" s="6" t="s">
        <v>155</v>
      </c>
      <c r="C19" s="6" t="s">
        <v>156</v>
      </c>
      <c r="D19" s="6" t="s">
        <v>17</v>
      </c>
      <c r="E19" s="6" t="s">
        <v>18</v>
      </c>
      <c r="F19" s="6" t="s">
        <v>157</v>
      </c>
      <c r="G19" s="7">
        <v>1.66492999E8</v>
      </c>
      <c r="H19" s="8" t="str">
        <f>HYPERLINK("http://www.brookings.edu/","http://www.brookings.edu/")</f>
        <v>http://www.brookings.edu/</v>
      </c>
      <c r="I19" s="6" t="s">
        <v>20</v>
      </c>
      <c r="J19" s="9" t="s">
        <v>158</v>
      </c>
      <c r="K19" s="9" t="s">
        <v>159</v>
      </c>
      <c r="L19" s="9" t="s">
        <v>160</v>
      </c>
      <c r="M19" s="9" t="s">
        <v>161</v>
      </c>
      <c r="N19" s="9" t="s">
        <v>162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 t="s">
        <v>163</v>
      </c>
      <c r="B20" s="6" t="s">
        <v>164</v>
      </c>
      <c r="C20" s="6" t="s">
        <v>165</v>
      </c>
      <c r="D20" s="6" t="s">
        <v>17</v>
      </c>
      <c r="E20" s="6" t="s">
        <v>18</v>
      </c>
      <c r="F20" s="6" t="s">
        <v>166</v>
      </c>
      <c r="G20" s="7">
        <v>1.64291269E8</v>
      </c>
      <c r="H20" s="8" t="str">
        <f>HYPERLINK("http://www.pedaids.org/","http://www.pedaids.org/")</f>
        <v>http://www.pedaids.org/</v>
      </c>
      <c r="I20" s="6" t="s">
        <v>20</v>
      </c>
      <c r="J20" s="9" t="s">
        <v>167</v>
      </c>
      <c r="K20" s="9" t="s">
        <v>168</v>
      </c>
      <c r="L20" s="9" t="s">
        <v>169</v>
      </c>
      <c r="M20" s="9" t="s">
        <v>170</v>
      </c>
      <c r="N20" s="9" t="s">
        <v>171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 t="s">
        <v>172</v>
      </c>
      <c r="B21" s="6" t="s">
        <v>173</v>
      </c>
      <c r="C21" s="6" t="s">
        <v>174</v>
      </c>
      <c r="D21" s="6" t="s">
        <v>17</v>
      </c>
      <c r="E21" s="6" t="s">
        <v>18</v>
      </c>
      <c r="F21" s="6" t="s">
        <v>175</v>
      </c>
      <c r="G21" s="7">
        <v>1.64082839E8</v>
      </c>
      <c r="H21" s="8" t="str">
        <f>HYPERLINK("http://www.aarp.org/","http://www.aarp.org/")</f>
        <v>http://www.aarp.org/</v>
      </c>
      <c r="I21" s="6" t="s">
        <v>20</v>
      </c>
      <c r="J21" s="9" t="s">
        <v>176</v>
      </c>
      <c r="K21" s="9" t="s">
        <v>177</v>
      </c>
      <c r="L21" s="9" t="s">
        <v>178</v>
      </c>
      <c r="M21" s="9" t="s">
        <v>179</v>
      </c>
      <c r="N21" s="9" t="s">
        <v>180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 t="s">
        <v>181</v>
      </c>
      <c r="B22" s="11" t="s">
        <v>182</v>
      </c>
      <c r="C22" s="11" t="s">
        <v>183</v>
      </c>
      <c r="D22" s="11" t="s">
        <v>17</v>
      </c>
      <c r="E22" s="11" t="s">
        <v>18</v>
      </c>
      <c r="F22" s="11" t="s">
        <v>184</v>
      </c>
      <c r="G22" s="12">
        <v>1.53829535E8</v>
      </c>
      <c r="H22" s="13"/>
      <c r="I22" s="1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0" t="s">
        <v>185</v>
      </c>
      <c r="B23" s="11" t="s">
        <v>186</v>
      </c>
      <c r="C23" s="11" t="s">
        <v>187</v>
      </c>
      <c r="D23" s="11" t="s">
        <v>17</v>
      </c>
      <c r="E23" s="11" t="s">
        <v>18</v>
      </c>
      <c r="F23" s="11" t="s">
        <v>188</v>
      </c>
      <c r="G23" s="12">
        <v>1.51566492E8</v>
      </c>
      <c r="H23" s="13"/>
      <c r="I23" s="11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5" t="s">
        <v>189</v>
      </c>
      <c r="B24" s="6" t="s">
        <v>190</v>
      </c>
      <c r="C24" s="6" t="s">
        <v>191</v>
      </c>
      <c r="D24" s="6" t="s">
        <v>17</v>
      </c>
      <c r="E24" s="6" t="s">
        <v>18</v>
      </c>
      <c r="F24" s="6" t="s">
        <v>192</v>
      </c>
      <c r="G24" s="7">
        <v>1.50274063E8</v>
      </c>
      <c r="H24" s="8" t="str">
        <f>HYPERLINK("http://www.heritage.org/","http://www.heritage.org/")</f>
        <v>http://www.heritage.org/</v>
      </c>
      <c r="I24" s="6" t="s">
        <v>20</v>
      </c>
      <c r="J24" s="9" t="s">
        <v>193</v>
      </c>
      <c r="K24" s="9" t="s">
        <v>194</v>
      </c>
      <c r="L24" s="9" t="s">
        <v>195</v>
      </c>
      <c r="M24" s="9" t="s">
        <v>196</v>
      </c>
      <c r="N24" s="9" t="s">
        <v>197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 t="s">
        <v>198</v>
      </c>
      <c r="B25" s="6" t="s">
        <v>199</v>
      </c>
      <c r="C25" s="6" t="s">
        <v>200</v>
      </c>
      <c r="D25" s="6" t="s">
        <v>17</v>
      </c>
      <c r="E25" s="6" t="s">
        <v>18</v>
      </c>
      <c r="F25" s="6" t="s">
        <v>29</v>
      </c>
      <c r="G25" s="7">
        <v>1.4974832E8</v>
      </c>
      <c r="H25" s="8" t="str">
        <f>HYPERLINK("https://www.ndi.org/","https://www.ndi.org/")</f>
        <v>https://www.ndi.org/</v>
      </c>
      <c r="I25" s="6" t="s">
        <v>20</v>
      </c>
      <c r="J25" s="9" t="s">
        <v>201</v>
      </c>
      <c r="K25" s="9" t="s">
        <v>202</v>
      </c>
      <c r="L25" s="9" t="s">
        <v>203</v>
      </c>
      <c r="M25" s="9" t="s">
        <v>204</v>
      </c>
      <c r="N25" s="9" t="s">
        <v>205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 t="s">
        <v>206</v>
      </c>
      <c r="B26" s="6" t="s">
        <v>207</v>
      </c>
      <c r="C26" s="6" t="s">
        <v>208</v>
      </c>
      <c r="D26" s="6" t="s">
        <v>17</v>
      </c>
      <c r="E26" s="6" t="s">
        <v>18</v>
      </c>
      <c r="F26" s="6" t="s">
        <v>209</v>
      </c>
      <c r="G26" s="7">
        <v>1.44469474E8</v>
      </c>
      <c r="H26" s="8" t="str">
        <f>HYPERLINK("http://www.nti.org/","http://www.nti.org/")</f>
        <v>http://www.nti.org/</v>
      </c>
      <c r="I26" s="6" t="s">
        <v>20</v>
      </c>
      <c r="J26" s="9" t="s">
        <v>210</v>
      </c>
      <c r="K26" s="9" t="s">
        <v>211</v>
      </c>
      <c r="L26" s="9" t="s">
        <v>212</v>
      </c>
      <c r="M26" s="9" t="s">
        <v>213</v>
      </c>
      <c r="N26" s="9" t="s">
        <v>214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 t="s">
        <v>215</v>
      </c>
      <c r="B27" s="11" t="s">
        <v>216</v>
      </c>
      <c r="C27" s="11" t="s">
        <v>217</v>
      </c>
      <c r="D27" s="11" t="s">
        <v>17</v>
      </c>
      <c r="E27" s="11" t="s">
        <v>18</v>
      </c>
      <c r="F27" s="11" t="s">
        <v>218</v>
      </c>
      <c r="G27" s="12">
        <v>1.4051052E8</v>
      </c>
      <c r="H27" s="13"/>
      <c r="I27" s="11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5" t="s">
        <v>219</v>
      </c>
      <c r="B28" s="6" t="s">
        <v>220</v>
      </c>
      <c r="C28" s="6" t="s">
        <v>221</v>
      </c>
      <c r="D28" s="6" t="s">
        <v>17</v>
      </c>
      <c r="E28" s="6" t="s">
        <v>18</v>
      </c>
      <c r="F28" s="6" t="s">
        <v>222</v>
      </c>
      <c r="G28" s="7">
        <v>1.35753583E8</v>
      </c>
      <c r="H28" s="8" t="str">
        <f>HYPERLINK("http://www.ned.org/","http://www.ned.org/")</f>
        <v>http://www.ned.org/</v>
      </c>
      <c r="I28" s="6" t="s">
        <v>20</v>
      </c>
      <c r="J28" s="9" t="s">
        <v>223</v>
      </c>
      <c r="K28" s="9" t="s">
        <v>224</v>
      </c>
      <c r="L28" s="9" t="s">
        <v>225</v>
      </c>
      <c r="M28" s="9" t="s">
        <v>226</v>
      </c>
      <c r="N28" s="9" t="s">
        <v>227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 t="s">
        <v>228</v>
      </c>
      <c r="B29" s="11" t="s">
        <v>229</v>
      </c>
      <c r="C29" s="11" t="s">
        <v>230</v>
      </c>
      <c r="D29" s="11" t="s">
        <v>17</v>
      </c>
      <c r="E29" s="11" t="s">
        <v>18</v>
      </c>
      <c r="F29" s="11" t="s">
        <v>231</v>
      </c>
      <c r="G29" s="12">
        <v>1.25919745E8</v>
      </c>
      <c r="H29" s="13"/>
      <c r="I29" s="11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5" t="s">
        <v>232</v>
      </c>
      <c r="B30" s="6" t="s">
        <v>233</v>
      </c>
      <c r="C30" s="6" t="s">
        <v>234</v>
      </c>
      <c r="D30" s="6" t="s">
        <v>17</v>
      </c>
      <c r="E30" s="6" t="s">
        <v>18</v>
      </c>
      <c r="F30" s="6" t="s">
        <v>235</v>
      </c>
      <c r="G30" s="7">
        <v>1.25730325E8</v>
      </c>
      <c r="H30" s="8" t="str">
        <f>HYPERLINK("http://www.pva.org/site/c.ajIRK9NJLcJ2E/b.6305401/k.27D1/Paralyzed_Veterans_of_America.htm","http://www.pva.org/site/c.ajIRK9NJLcJ2E/b.6305401/k.27D1/Paralyzed_Veterans_of_America.htm")</f>
        <v>http://www.pva.org/site/c.ajIRK9NJLcJ2E/b.6305401/k.27D1/Paralyzed_Veterans_of_America.htm</v>
      </c>
      <c r="I30" s="6" t="s">
        <v>20</v>
      </c>
      <c r="J30" s="9" t="s">
        <v>236</v>
      </c>
      <c r="K30" s="9" t="s">
        <v>237</v>
      </c>
      <c r="L30" s="9" t="s">
        <v>238</v>
      </c>
      <c r="M30" s="9" t="s">
        <v>239</v>
      </c>
      <c r="N30" s="9" t="s">
        <v>240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 t="s">
        <v>241</v>
      </c>
      <c r="B31" s="6" t="s">
        <v>242</v>
      </c>
      <c r="C31" s="6" t="s">
        <v>243</v>
      </c>
      <c r="D31" s="6" t="s">
        <v>17</v>
      </c>
      <c r="E31" s="6" t="s">
        <v>18</v>
      </c>
      <c r="F31" s="6" t="s">
        <v>218</v>
      </c>
      <c r="G31" s="7">
        <v>1.01620114E8</v>
      </c>
      <c r="H31" s="8" t="str">
        <f>HYPERLINK("http://www.specialolympics.org/","http://www.specialolympics.org/")</f>
        <v>http://www.specialolympics.org/</v>
      </c>
      <c r="I31" s="6" t="s">
        <v>20</v>
      </c>
      <c r="J31" s="9" t="s">
        <v>21</v>
      </c>
      <c r="K31" s="9" t="s">
        <v>244</v>
      </c>
      <c r="L31" s="9" t="s">
        <v>245</v>
      </c>
      <c r="M31" s="9" t="s">
        <v>246</v>
      </c>
      <c r="N31" s="9" t="s">
        <v>247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 t="s">
        <v>248</v>
      </c>
      <c r="B32" s="6" t="s">
        <v>249</v>
      </c>
      <c r="C32" s="6" t="s">
        <v>250</v>
      </c>
      <c r="D32" s="6" t="s">
        <v>17</v>
      </c>
      <c r="E32" s="6" t="s">
        <v>18</v>
      </c>
      <c r="F32" s="6" t="s">
        <v>251</v>
      </c>
      <c r="G32" s="7">
        <v>9.9035661E7</v>
      </c>
      <c r="H32" s="8" t="str">
        <f>HYPERLINK("http://www.firstbook.org/","http://www.firstbook.org/")</f>
        <v>http://www.firstbook.org/</v>
      </c>
      <c r="I32" s="6" t="s">
        <v>20</v>
      </c>
      <c r="J32" s="9" t="s">
        <v>252</v>
      </c>
      <c r="K32" s="9" t="s">
        <v>253</v>
      </c>
      <c r="L32" s="9" t="s">
        <v>254</v>
      </c>
      <c r="M32" s="9" t="s">
        <v>255</v>
      </c>
      <c r="N32" s="9" t="s">
        <v>256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 t="s">
        <v>257</v>
      </c>
      <c r="B33" s="6" t="s">
        <v>258</v>
      </c>
      <c r="C33" s="6" t="s">
        <v>259</v>
      </c>
      <c r="D33" s="6" t="s">
        <v>17</v>
      </c>
      <c r="E33" s="6" t="s">
        <v>18</v>
      </c>
      <c r="F33" s="6" t="s">
        <v>218</v>
      </c>
      <c r="G33" s="7">
        <v>9.4475761E7</v>
      </c>
      <c r="H33" s="8" t="str">
        <f>HYPERLINK("http://www.rferl.org/","http://www.rferl.org/")</f>
        <v>http://www.rferl.org/</v>
      </c>
      <c r="I33" s="6" t="s">
        <v>20</v>
      </c>
      <c r="J33" s="9" t="s">
        <v>260</v>
      </c>
      <c r="K33" s="9" t="s">
        <v>261</v>
      </c>
      <c r="L33" s="9" t="s">
        <v>262</v>
      </c>
      <c r="M33" s="9" t="s">
        <v>263</v>
      </c>
      <c r="N33" s="9" t="s">
        <v>264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 t="s">
        <v>265</v>
      </c>
      <c r="B34" s="6" t="s">
        <v>266</v>
      </c>
      <c r="C34" s="6" t="s">
        <v>267</v>
      </c>
      <c r="D34" s="6" t="s">
        <v>17</v>
      </c>
      <c r="E34" s="6" t="s">
        <v>18</v>
      </c>
      <c r="F34" s="6" t="s">
        <v>268</v>
      </c>
      <c r="G34" s="7">
        <v>8.8822028E7</v>
      </c>
      <c r="H34" s="8" t="str">
        <f>HYPERLINK("http://csis.org/","http://csis.org/")</f>
        <v>http://csis.org/</v>
      </c>
      <c r="I34" s="6" t="s">
        <v>20</v>
      </c>
      <c r="J34" s="9" t="s">
        <v>269</v>
      </c>
      <c r="K34" s="9" t="s">
        <v>270</v>
      </c>
      <c r="L34" s="9" t="s">
        <v>271</v>
      </c>
      <c r="M34" s="9" t="s">
        <v>272</v>
      </c>
      <c r="N34" s="9" t="s">
        <v>273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0" t="s">
        <v>274</v>
      </c>
      <c r="B35" s="11" t="s">
        <v>275</v>
      </c>
      <c r="C35" s="11" t="s">
        <v>276</v>
      </c>
      <c r="D35" s="11" t="s">
        <v>17</v>
      </c>
      <c r="E35" s="11" t="s">
        <v>18</v>
      </c>
      <c r="F35" s="11" t="s">
        <v>277</v>
      </c>
      <c r="G35" s="12">
        <v>8.2714163E7</v>
      </c>
      <c r="H35" s="13"/>
      <c r="I35" s="11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5" t="s">
        <v>278</v>
      </c>
      <c r="B36" s="6" t="s">
        <v>279</v>
      </c>
      <c r="C36" s="6" t="s">
        <v>280</v>
      </c>
      <c r="D36" s="6" t="s">
        <v>17</v>
      </c>
      <c r="E36" s="6" t="s">
        <v>18</v>
      </c>
      <c r="F36" s="6" t="s">
        <v>281</v>
      </c>
      <c r="G36" s="7">
        <v>7.8716818E7</v>
      </c>
      <c r="H36" s="8" t="str">
        <f>HYPERLINK("http://www.aspeninstitute.org/","http://www.aspeninstitute.org/")</f>
        <v>http://www.aspeninstitute.org/</v>
      </c>
      <c r="I36" s="6" t="s">
        <v>20</v>
      </c>
      <c r="J36" s="9" t="s">
        <v>282</v>
      </c>
      <c r="K36" s="9" t="s">
        <v>283</v>
      </c>
      <c r="L36" s="9" t="s">
        <v>284</v>
      </c>
      <c r="M36" s="9" t="s">
        <v>285</v>
      </c>
      <c r="N36" s="9" t="s">
        <v>286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 t="s">
        <v>287</v>
      </c>
      <c r="B37" s="6" t="s">
        <v>288</v>
      </c>
      <c r="C37" s="6" t="s">
        <v>289</v>
      </c>
      <c r="D37" s="6" t="s">
        <v>17</v>
      </c>
      <c r="E37" s="6" t="s">
        <v>18</v>
      </c>
      <c r="F37" s="6" t="s">
        <v>290</v>
      </c>
      <c r="G37" s="7">
        <v>7.7628788E7</v>
      </c>
      <c r="H37" s="8" t="str">
        <f>HYPERLINK("http://www.africare.org/","http://www.africare.org/")</f>
        <v>http://www.africare.org/</v>
      </c>
      <c r="I37" s="6" t="s">
        <v>20</v>
      </c>
      <c r="J37" s="9" t="s">
        <v>291</v>
      </c>
      <c r="K37" s="9" t="s">
        <v>292</v>
      </c>
      <c r="L37" s="9" t="s">
        <v>293</v>
      </c>
      <c r="M37" s="9" t="s">
        <v>294</v>
      </c>
      <c r="N37" s="9" t="s">
        <v>295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 t="s">
        <v>296</v>
      </c>
      <c r="B38" s="11" t="s">
        <v>297</v>
      </c>
      <c r="C38" s="11" t="s">
        <v>298</v>
      </c>
      <c r="D38" s="11" t="s">
        <v>17</v>
      </c>
      <c r="E38" s="11" t="s">
        <v>18</v>
      </c>
      <c r="F38" s="11" t="s">
        <v>299</v>
      </c>
      <c r="G38" s="12">
        <v>7.6952932E7</v>
      </c>
      <c r="H38" s="13"/>
      <c r="I38" s="11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0" t="s">
        <v>300</v>
      </c>
      <c r="B39" s="11" t="s">
        <v>301</v>
      </c>
      <c r="C39" s="11" t="s">
        <v>302</v>
      </c>
      <c r="D39" s="11" t="s">
        <v>17</v>
      </c>
      <c r="E39" s="11" t="s">
        <v>18</v>
      </c>
      <c r="F39" s="11" t="s">
        <v>303</v>
      </c>
      <c r="G39" s="12">
        <v>7.6537443E7</v>
      </c>
      <c r="H39" s="13"/>
      <c r="I39" s="11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5" t="s">
        <v>304</v>
      </c>
      <c r="B40" s="6" t="s">
        <v>305</v>
      </c>
      <c r="C40" s="6" t="s">
        <v>306</v>
      </c>
      <c r="D40" s="6" t="s">
        <v>17</v>
      </c>
      <c r="E40" s="6" t="s">
        <v>18</v>
      </c>
      <c r="F40" s="6" t="s">
        <v>184</v>
      </c>
      <c r="G40" s="7">
        <v>7.5494554E7</v>
      </c>
      <c r="H40" s="8" t="str">
        <f>HYPERLINK("http://www.iri.org/","http://www.iri.org/")</f>
        <v>http://www.iri.org/</v>
      </c>
      <c r="I40" s="6" t="s">
        <v>20</v>
      </c>
      <c r="J40" s="9" t="s">
        <v>307</v>
      </c>
      <c r="K40" s="9" t="s">
        <v>308</v>
      </c>
      <c r="L40" s="9" t="s">
        <v>309</v>
      </c>
      <c r="M40" s="9" t="s">
        <v>310</v>
      </c>
      <c r="N40" s="9" t="s">
        <v>311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 t="s">
        <v>312</v>
      </c>
      <c r="B41" s="6" t="s">
        <v>313</v>
      </c>
      <c r="C41" s="6" t="s">
        <v>314</v>
      </c>
      <c r="D41" s="6" t="s">
        <v>17</v>
      </c>
      <c r="E41" s="6" t="s">
        <v>18</v>
      </c>
      <c r="F41" s="6" t="s">
        <v>315</v>
      </c>
      <c r="G41" s="7">
        <v>7.0258913E7</v>
      </c>
      <c r="H41" s="8" t="str">
        <f>HYPERLINK("http://www.irex.org/","http://www.irex.org/")</f>
        <v>http://www.irex.org/</v>
      </c>
      <c r="I41" s="6" t="s">
        <v>20</v>
      </c>
      <c r="J41" s="9" t="s">
        <v>316</v>
      </c>
      <c r="K41" s="9" t="s">
        <v>317</v>
      </c>
      <c r="L41" s="9" t="s">
        <v>318</v>
      </c>
      <c r="M41" s="9" t="s">
        <v>319</v>
      </c>
      <c r="N41" s="9" t="s">
        <v>320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 t="s">
        <v>321</v>
      </c>
      <c r="B42" s="6" t="s">
        <v>322</v>
      </c>
      <c r="C42" s="6" t="s">
        <v>323</v>
      </c>
      <c r="D42" s="6" t="s">
        <v>17</v>
      </c>
      <c r="E42" s="6" t="s">
        <v>18</v>
      </c>
      <c r="F42" s="6" t="s">
        <v>324</v>
      </c>
      <c r="G42" s="7">
        <v>6.191823E7</v>
      </c>
      <c r="H42" s="8" t="str">
        <f>HYPERLINK("http://www.finca.org/","http://www.finca.org/")</f>
        <v>http://www.finca.org/</v>
      </c>
      <c r="I42" s="6" t="s">
        <v>20</v>
      </c>
      <c r="J42" s="9" t="s">
        <v>325</v>
      </c>
      <c r="K42" s="9" t="s">
        <v>326</v>
      </c>
      <c r="L42" s="9" t="s">
        <v>327</v>
      </c>
      <c r="M42" s="9" t="s">
        <v>328</v>
      </c>
      <c r="N42" s="9" t="s">
        <v>329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 t="s">
        <v>330</v>
      </c>
      <c r="B43" s="6" t="s">
        <v>331</v>
      </c>
      <c r="C43" s="6" t="s">
        <v>332</v>
      </c>
      <c r="D43" s="6" t="s">
        <v>17</v>
      </c>
      <c r="E43" s="6" t="s">
        <v>18</v>
      </c>
      <c r="F43" s="6" t="s">
        <v>333</v>
      </c>
      <c r="G43" s="7">
        <v>6.1729038E7</v>
      </c>
      <c r="H43" s="8" t="str">
        <f>HYPERLINK("http://www.capitalareafoodbank.org/","http://www.capitalareafoodbank.org/")</f>
        <v>http://www.capitalareafoodbank.org/</v>
      </c>
      <c r="I43" s="6" t="s">
        <v>20</v>
      </c>
      <c r="J43" s="9" t="s">
        <v>334</v>
      </c>
      <c r="K43" s="9" t="s">
        <v>335</v>
      </c>
      <c r="L43" s="9" t="s">
        <v>336</v>
      </c>
      <c r="M43" s="9" t="s">
        <v>337</v>
      </c>
      <c r="N43" s="9" t="s">
        <v>338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 t="s">
        <v>339</v>
      </c>
      <c r="B44" s="6" t="s">
        <v>340</v>
      </c>
      <c r="C44" s="6" t="s">
        <v>341</v>
      </c>
      <c r="D44" s="6" t="s">
        <v>17</v>
      </c>
      <c r="E44" s="6" t="s">
        <v>18</v>
      </c>
      <c r="F44" s="6" t="s">
        <v>342</v>
      </c>
      <c r="G44" s="7">
        <v>5.8673137E7</v>
      </c>
      <c r="H44" s="8" t="str">
        <f>HYPERLINK("http://www.acog.org/","http://www.acog.org/")</f>
        <v>http://www.acog.org/</v>
      </c>
      <c r="I44" s="6" t="s">
        <v>20</v>
      </c>
      <c r="J44" s="9" t="s">
        <v>343</v>
      </c>
      <c r="K44" s="9" t="s">
        <v>344</v>
      </c>
      <c r="L44" s="9" t="s">
        <v>345</v>
      </c>
      <c r="M44" s="9" t="s">
        <v>346</v>
      </c>
      <c r="N44" s="9" t="s">
        <v>347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 t="s">
        <v>348</v>
      </c>
      <c r="B45" s="6" t="s">
        <v>349</v>
      </c>
      <c r="C45" s="6" t="s">
        <v>350</v>
      </c>
      <c r="D45" s="6" t="s">
        <v>17</v>
      </c>
      <c r="E45" s="6" t="s">
        <v>18</v>
      </c>
      <c r="F45" s="6" t="s">
        <v>351</v>
      </c>
      <c r="G45" s="7">
        <v>5.8407051E7</v>
      </c>
      <c r="H45" s="8" t="str">
        <f>HYPERLINK("http://uli.org/","http://uli.org/")</f>
        <v>http://uli.org/</v>
      </c>
      <c r="I45" s="6" t="s">
        <v>20</v>
      </c>
      <c r="J45" s="9" t="s">
        <v>352</v>
      </c>
      <c r="K45" s="9" t="s">
        <v>120</v>
      </c>
      <c r="L45" s="9" t="s">
        <v>353</v>
      </c>
      <c r="M45" s="9" t="s">
        <v>354</v>
      </c>
      <c r="N45" s="9" t="s">
        <v>355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 t="s">
        <v>356</v>
      </c>
      <c r="B46" s="6" t="s">
        <v>357</v>
      </c>
      <c r="C46" s="6" t="s">
        <v>358</v>
      </c>
      <c r="D46" s="6" t="s">
        <v>17</v>
      </c>
      <c r="E46" s="6" t="s">
        <v>18</v>
      </c>
      <c r="F46" s="6" t="s">
        <v>359</v>
      </c>
      <c r="G46" s="7">
        <v>5.7149463E7</v>
      </c>
      <c r="H46" s="8" t="str">
        <f>HYPERLINK("http://www.awf.org/","http://www.awf.org/")</f>
        <v>http://www.awf.org/</v>
      </c>
      <c r="I46" s="6" t="s">
        <v>20</v>
      </c>
      <c r="J46" s="9" t="s">
        <v>360</v>
      </c>
      <c r="K46" s="9" t="s">
        <v>361</v>
      </c>
      <c r="L46" s="9" t="s">
        <v>362</v>
      </c>
      <c r="M46" s="9" t="s">
        <v>363</v>
      </c>
      <c r="N46" s="9" t="s">
        <v>364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 t="s">
        <v>365</v>
      </c>
      <c r="B47" s="6" t="s">
        <v>366</v>
      </c>
      <c r="C47" s="6" t="s">
        <v>367</v>
      </c>
      <c r="D47" s="6" t="s">
        <v>17</v>
      </c>
      <c r="E47" s="6" t="s">
        <v>18</v>
      </c>
      <c r="F47" s="6" t="s">
        <v>368</v>
      </c>
      <c r="G47" s="7">
        <v>5.3115805E7</v>
      </c>
      <c r="H47" s="8" t="str">
        <f>HYPERLINK("http://www.ellingtonschool.org/ellington-fund/","http://www.ellingtonschool.org/ellington-fund/")</f>
        <v>http://www.ellingtonschool.org/ellington-fund/</v>
      </c>
      <c r="I47" s="6" t="s">
        <v>20</v>
      </c>
      <c r="J47" s="9" t="s">
        <v>21</v>
      </c>
      <c r="K47" s="9" t="s">
        <v>369</v>
      </c>
      <c r="L47" s="9" t="s">
        <v>370</v>
      </c>
      <c r="M47" s="9" t="s">
        <v>371</v>
      </c>
      <c r="N47" s="9" t="s">
        <v>372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 t="s">
        <v>373</v>
      </c>
      <c r="B48" s="6" t="s">
        <v>374</v>
      </c>
      <c r="C48" s="6" t="s">
        <v>375</v>
      </c>
      <c r="D48" s="6" t="s">
        <v>17</v>
      </c>
      <c r="E48" s="6" t="s">
        <v>18</v>
      </c>
      <c r="F48" s="6" t="s">
        <v>376</v>
      </c>
      <c r="G48" s="7">
        <v>5.0627595E7</v>
      </c>
      <c r="H48" s="8" t="str">
        <f>HYPERLINK("http://www.wri.org/","http://www.wri.org/")</f>
        <v>http://www.wri.org/</v>
      </c>
      <c r="I48" s="6" t="s">
        <v>20</v>
      </c>
      <c r="J48" s="9" t="s">
        <v>377</v>
      </c>
      <c r="K48" s="9" t="s">
        <v>378</v>
      </c>
      <c r="L48" s="9" t="s">
        <v>379</v>
      </c>
      <c r="M48" s="9" t="s">
        <v>380</v>
      </c>
      <c r="N48" s="9" t="s">
        <v>381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 t="s">
        <v>382</v>
      </c>
      <c r="B49" s="6" t="s">
        <v>383</v>
      </c>
      <c r="C49" s="6" t="s">
        <v>384</v>
      </c>
      <c r="D49" s="6" t="s">
        <v>17</v>
      </c>
      <c r="E49" s="6" t="s">
        <v>18</v>
      </c>
      <c r="F49" s="6" t="s">
        <v>385</v>
      </c>
      <c r="G49" s="7">
        <v>5.0236169E7</v>
      </c>
      <c r="H49" s="8" t="str">
        <f>HYPERLINK("http://readingisfundamental.org/","http://readingisfundamental.org/")</f>
        <v>http://readingisfundamental.org/</v>
      </c>
      <c r="I49" s="6" t="s">
        <v>20</v>
      </c>
      <c r="J49" s="9" t="s">
        <v>386</v>
      </c>
      <c r="K49" s="9" t="s">
        <v>387</v>
      </c>
      <c r="L49" s="9" t="s">
        <v>41</v>
      </c>
      <c r="M49" s="9" t="s">
        <v>388</v>
      </c>
      <c r="N49" s="9" t="s">
        <v>389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 t="s">
        <v>390</v>
      </c>
      <c r="B50" s="11" t="s">
        <v>391</v>
      </c>
      <c r="C50" s="11" t="s">
        <v>392</v>
      </c>
      <c r="D50" s="11" t="s">
        <v>17</v>
      </c>
      <c r="E50" s="11" t="s">
        <v>18</v>
      </c>
      <c r="F50" s="11" t="s">
        <v>393</v>
      </c>
      <c r="G50" s="12">
        <v>4.969169E7</v>
      </c>
      <c r="H50" s="13"/>
      <c r="I50" s="11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5" t="s">
        <v>394</v>
      </c>
      <c r="B51" s="6" t="s">
        <v>395</v>
      </c>
      <c r="C51" s="6" t="s">
        <v>396</v>
      </c>
      <c r="D51" s="6" t="s">
        <v>17</v>
      </c>
      <c r="E51" s="6" t="s">
        <v>18</v>
      </c>
      <c r="F51" s="6" t="s">
        <v>397</v>
      </c>
      <c r="G51" s="7">
        <v>4.9174383E7</v>
      </c>
      <c r="H51" s="8" t="str">
        <f>HYPERLINK("http://foundation.uli.org/","http://foundation.uli.org/")</f>
        <v>http://foundation.uli.org/</v>
      </c>
      <c r="I51" s="6" t="s">
        <v>20</v>
      </c>
      <c r="J51" s="9" t="s">
        <v>398</v>
      </c>
      <c r="K51" s="9" t="s">
        <v>399</v>
      </c>
      <c r="L51" s="9" t="s">
        <v>400</v>
      </c>
      <c r="M51" s="9" t="s">
        <v>401</v>
      </c>
      <c r="N51" s="9" t="s">
        <v>402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 t="s">
        <v>403</v>
      </c>
      <c r="B52" s="6" t="s">
        <v>404</v>
      </c>
      <c r="C52" s="6" t="s">
        <v>405</v>
      </c>
      <c r="D52" s="6" t="s">
        <v>17</v>
      </c>
      <c r="E52" s="6" t="s">
        <v>18</v>
      </c>
      <c r="F52" s="6" t="s">
        <v>406</v>
      </c>
      <c r="G52" s="7">
        <v>4.8842647E7</v>
      </c>
      <c r="H52" s="8" t="str">
        <f>HYPERLINK("http://www.crisisgroup.org/","http://www.crisisgroup.org/")</f>
        <v>http://www.crisisgroup.org/</v>
      </c>
      <c r="I52" s="6" t="s">
        <v>20</v>
      </c>
      <c r="J52" s="9" t="s">
        <v>316</v>
      </c>
      <c r="K52" s="9" t="s">
        <v>407</v>
      </c>
      <c r="L52" s="9" t="s">
        <v>408</v>
      </c>
      <c r="M52" s="9" t="s">
        <v>409</v>
      </c>
      <c r="N52" s="9" t="s">
        <v>410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 t="s">
        <v>411</v>
      </c>
      <c r="B53" s="11" t="s">
        <v>412</v>
      </c>
      <c r="C53" s="11" t="s">
        <v>413</v>
      </c>
      <c r="D53" s="11" t="s">
        <v>17</v>
      </c>
      <c r="E53" s="11" t="s">
        <v>18</v>
      </c>
      <c r="F53" s="11" t="s">
        <v>414</v>
      </c>
      <c r="G53" s="12">
        <v>4.8638185E7</v>
      </c>
      <c r="H53" s="13"/>
      <c r="I53" s="11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5" t="s">
        <v>415</v>
      </c>
      <c r="B54" s="6" t="s">
        <v>416</v>
      </c>
      <c r="C54" s="6" t="s">
        <v>417</v>
      </c>
      <c r="D54" s="6" t="s">
        <v>17</v>
      </c>
      <c r="E54" s="6" t="s">
        <v>18</v>
      </c>
      <c r="F54" s="6" t="s">
        <v>418</v>
      </c>
      <c r="G54" s="7">
        <v>4.8636497E7</v>
      </c>
      <c r="H54" s="8" t="str">
        <f>HYPERLINK("http://www.childrensresearchinstitute.org/","http://www.childrensresearchinstitute.org/")</f>
        <v>http://www.childrensresearchinstitute.org/</v>
      </c>
      <c r="I54" s="6" t="s">
        <v>20</v>
      </c>
      <c r="J54" s="9" t="s">
        <v>419</v>
      </c>
      <c r="K54" s="9" t="s">
        <v>420</v>
      </c>
      <c r="L54" s="9" t="s">
        <v>421</v>
      </c>
      <c r="M54" s="9" t="s">
        <v>422</v>
      </c>
      <c r="N54" s="9" t="s">
        <v>423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 t="s">
        <v>424</v>
      </c>
      <c r="B55" s="6" t="s">
        <v>425</v>
      </c>
      <c r="C55" s="6" t="s">
        <v>426</v>
      </c>
      <c r="D55" s="6" t="s">
        <v>17</v>
      </c>
      <c r="E55" s="6" t="s">
        <v>18</v>
      </c>
      <c r="F55" s="6" t="s">
        <v>427</v>
      </c>
      <c r="G55" s="7">
        <v>4.8577349E7</v>
      </c>
      <c r="H55" s="8" t="str">
        <f>HYPERLINK("http://www.ymcadc.org/index.cfm","http://www.ymcadc.org/index.cfm")</f>
        <v>http://www.ymcadc.org/index.cfm</v>
      </c>
      <c r="I55" s="6" t="s">
        <v>20</v>
      </c>
      <c r="J55" s="9" t="s">
        <v>428</v>
      </c>
      <c r="K55" s="9" t="s">
        <v>429</v>
      </c>
      <c r="L55" s="9" t="s">
        <v>430</v>
      </c>
      <c r="M55" s="9" t="s">
        <v>431</v>
      </c>
      <c r="N55" s="9" t="s">
        <v>432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 t="s">
        <v>433</v>
      </c>
      <c r="B56" s="11" t="s">
        <v>434</v>
      </c>
      <c r="C56" s="11" t="s">
        <v>435</v>
      </c>
      <c r="D56" s="11" t="s">
        <v>17</v>
      </c>
      <c r="E56" s="11" t="s">
        <v>18</v>
      </c>
      <c r="F56" s="11" t="s">
        <v>436</v>
      </c>
      <c r="G56" s="12">
        <v>4.8195979E7</v>
      </c>
      <c r="H56" s="13"/>
      <c r="I56" s="11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5" t="s">
        <v>437</v>
      </c>
      <c r="B57" s="6" t="s">
        <v>438</v>
      </c>
      <c r="C57" s="6" t="s">
        <v>439</v>
      </c>
      <c r="D57" s="6" t="s">
        <v>17</v>
      </c>
      <c r="E57" s="6" t="s">
        <v>18</v>
      </c>
      <c r="F57" s="6" t="s">
        <v>440</v>
      </c>
      <c r="G57" s="7">
        <v>4.763903E7</v>
      </c>
      <c r="H57" s="8" t="str">
        <f>HYPERLINK("http://www.hillel.org/","http://www.hillel.org/")</f>
        <v>http://www.hillel.org/</v>
      </c>
      <c r="I57" s="6" t="s">
        <v>20</v>
      </c>
      <c r="J57" s="9" t="s">
        <v>21</v>
      </c>
      <c r="K57" s="9" t="s">
        <v>441</v>
      </c>
      <c r="L57" s="9" t="s">
        <v>442</v>
      </c>
      <c r="M57" s="9" t="s">
        <v>443</v>
      </c>
      <c r="N57" s="9" t="s">
        <v>444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 t="s">
        <v>445</v>
      </c>
      <c r="B58" s="6" t="s">
        <v>446</v>
      </c>
      <c r="C58" s="6" t="s">
        <v>447</v>
      </c>
      <c r="D58" s="6" t="s">
        <v>17</v>
      </c>
      <c r="E58" s="6" t="s">
        <v>18</v>
      </c>
      <c r="F58" s="6" t="s">
        <v>448</v>
      </c>
      <c r="G58" s="7">
        <v>4.5415411E7</v>
      </c>
      <c r="H58" s="8" t="str">
        <f>HYPERLINK("http://www.wilsoncenter.org/","http://www.wilsoncenter.org/")</f>
        <v>http://www.wilsoncenter.org/</v>
      </c>
      <c r="I58" s="6" t="s">
        <v>20</v>
      </c>
      <c r="J58" s="9" t="s">
        <v>449</v>
      </c>
      <c r="K58" s="9" t="s">
        <v>450</v>
      </c>
      <c r="L58" s="9" t="s">
        <v>451</v>
      </c>
      <c r="M58" s="9" t="s">
        <v>452</v>
      </c>
      <c r="N58" s="9" t="s">
        <v>453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 t="s">
        <v>454</v>
      </c>
      <c r="B59" s="6" t="s">
        <v>455</v>
      </c>
      <c r="C59" s="6" t="s">
        <v>417</v>
      </c>
      <c r="D59" s="6" t="s">
        <v>17</v>
      </c>
      <c r="E59" s="6" t="s">
        <v>18</v>
      </c>
      <c r="F59" s="6" t="s">
        <v>418</v>
      </c>
      <c r="G59" s="7">
        <v>4.5388464E7</v>
      </c>
      <c r="H59" s="8" t="str">
        <f>HYPERLINK("http://childrensnational.org/","http://childrensnational.org/")</f>
        <v>http://childrensnational.org/</v>
      </c>
      <c r="I59" s="6" t="s">
        <v>20</v>
      </c>
      <c r="J59" s="9" t="s">
        <v>456</v>
      </c>
      <c r="K59" s="9" t="s">
        <v>102</v>
      </c>
      <c r="L59" s="9" t="s">
        <v>457</v>
      </c>
      <c r="M59" s="9" t="s">
        <v>458</v>
      </c>
      <c r="N59" s="9" t="s">
        <v>459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 t="s">
        <v>460</v>
      </c>
      <c r="B60" s="6" t="s">
        <v>461</v>
      </c>
      <c r="C60" s="6" t="s">
        <v>462</v>
      </c>
      <c r="D60" s="6" t="s">
        <v>17</v>
      </c>
      <c r="E60" s="6" t="s">
        <v>18</v>
      </c>
      <c r="F60" s="6" t="s">
        <v>463</v>
      </c>
      <c r="G60" s="7">
        <v>4.5322903E7</v>
      </c>
      <c r="H60" s="8" t="str">
        <f>HYPERLINK("http://familiesusa.org/","http://familiesusa.org/")</f>
        <v>http://familiesusa.org/</v>
      </c>
      <c r="I60" s="6" t="s">
        <v>20</v>
      </c>
      <c r="J60" s="9" t="s">
        <v>464</v>
      </c>
      <c r="K60" s="9" t="s">
        <v>465</v>
      </c>
      <c r="L60" s="9" t="s">
        <v>466</v>
      </c>
      <c r="M60" s="9" t="s">
        <v>467</v>
      </c>
      <c r="N60" s="9" t="s">
        <v>468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 t="s">
        <v>469</v>
      </c>
      <c r="B61" s="6" t="s">
        <v>470</v>
      </c>
      <c r="C61" s="6" t="s">
        <v>471</v>
      </c>
      <c r="D61" s="6" t="s">
        <v>17</v>
      </c>
      <c r="E61" s="6" t="s">
        <v>18</v>
      </c>
      <c r="F61" s="6" t="s">
        <v>472</v>
      </c>
      <c r="G61" s="7">
        <v>4.4550681E7</v>
      </c>
      <c r="H61" s="8" t="str">
        <f>HYPERLINK("http://communityconnectionsdc.org/","http://communityconnectionsdc.org/")</f>
        <v>http://communityconnectionsdc.org/</v>
      </c>
      <c r="I61" s="6" t="s">
        <v>20</v>
      </c>
      <c r="J61" s="9" t="s">
        <v>473</v>
      </c>
      <c r="K61" s="9" t="s">
        <v>474</v>
      </c>
      <c r="L61" s="9" t="s">
        <v>475</v>
      </c>
      <c r="M61" s="9" t="s">
        <v>476</v>
      </c>
      <c r="N61" s="9" t="s">
        <v>477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 t="s">
        <v>478</v>
      </c>
      <c r="B62" s="6" t="s">
        <v>479</v>
      </c>
      <c r="C62" s="6" t="s">
        <v>480</v>
      </c>
      <c r="D62" s="6" t="s">
        <v>17</v>
      </c>
      <c r="E62" s="6" t="s">
        <v>18</v>
      </c>
      <c r="F62" s="6" t="s">
        <v>481</v>
      </c>
      <c r="G62" s="7">
        <v>4.3164592E7</v>
      </c>
      <c r="H62" s="8" t="str">
        <f>HYPERLINK("https://www.forestfoundation.org/","https://www.forestfoundation.org/")</f>
        <v>https://www.forestfoundation.org/</v>
      </c>
      <c r="I62" s="6" t="s">
        <v>20</v>
      </c>
      <c r="J62" s="9" t="s">
        <v>482</v>
      </c>
      <c r="K62" s="9" t="s">
        <v>483</v>
      </c>
      <c r="L62" s="9" t="s">
        <v>484</v>
      </c>
      <c r="M62" s="9" t="s">
        <v>485</v>
      </c>
      <c r="N62" s="9" t="s">
        <v>486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 t="s">
        <v>487</v>
      </c>
      <c r="B63" s="11" t="s">
        <v>488</v>
      </c>
      <c r="C63" s="11" t="s">
        <v>489</v>
      </c>
      <c r="D63" s="11" t="s">
        <v>17</v>
      </c>
      <c r="E63" s="11" t="s">
        <v>18</v>
      </c>
      <c r="F63" s="11" t="s">
        <v>490</v>
      </c>
      <c r="G63" s="12">
        <v>4.2468085E7</v>
      </c>
      <c r="H63" s="13"/>
      <c r="I63" s="11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0" t="s">
        <v>491</v>
      </c>
      <c r="B64" s="11" t="s">
        <v>492</v>
      </c>
      <c r="C64" s="11" t="s">
        <v>493</v>
      </c>
      <c r="D64" s="11" t="s">
        <v>17</v>
      </c>
      <c r="E64" s="11" t="s">
        <v>18</v>
      </c>
      <c r="F64" s="11" t="s">
        <v>494</v>
      </c>
      <c r="G64" s="12">
        <v>4.1773325E7</v>
      </c>
      <c r="H64" s="13"/>
      <c r="I64" s="11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5" t="s">
        <v>495</v>
      </c>
      <c r="B65" s="6" t="s">
        <v>496</v>
      </c>
      <c r="C65" s="6" t="s">
        <v>497</v>
      </c>
      <c r="D65" s="6" t="s">
        <v>17</v>
      </c>
      <c r="E65" s="6" t="s">
        <v>18</v>
      </c>
      <c r="F65" s="6" t="s">
        <v>498</v>
      </c>
      <c r="G65" s="7">
        <v>4.1490648E7</v>
      </c>
      <c r="H65" s="8" t="str">
        <f>HYPERLINK("https://www.freedomhouse.org/","https://www.freedomhouse.org/")</f>
        <v>https://www.freedomhouse.org/</v>
      </c>
      <c r="I65" s="6" t="s">
        <v>20</v>
      </c>
      <c r="J65" s="9" t="s">
        <v>74</v>
      </c>
      <c r="K65" s="9" t="s">
        <v>499</v>
      </c>
      <c r="L65" s="9" t="s">
        <v>500</v>
      </c>
      <c r="M65" s="9" t="s">
        <v>501</v>
      </c>
      <c r="N65" s="9" t="s">
        <v>502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 t="s">
        <v>503</v>
      </c>
      <c r="B66" s="11" t="s">
        <v>504</v>
      </c>
      <c r="C66" s="11" t="s">
        <v>505</v>
      </c>
      <c r="D66" s="11" t="s">
        <v>17</v>
      </c>
      <c r="E66" s="11" t="s">
        <v>18</v>
      </c>
      <c r="F66" s="11" t="s">
        <v>506</v>
      </c>
      <c r="G66" s="12">
        <v>4.0491159E7</v>
      </c>
      <c r="H66" s="13"/>
      <c r="I66" s="11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5" t="s">
        <v>507</v>
      </c>
      <c r="B67" s="6" t="s">
        <v>508</v>
      </c>
      <c r="C67" s="6" t="s">
        <v>509</v>
      </c>
      <c r="D67" s="6" t="s">
        <v>17</v>
      </c>
      <c r="E67" s="6" t="s">
        <v>18</v>
      </c>
      <c r="F67" s="6" t="s">
        <v>510</v>
      </c>
      <c r="G67" s="7">
        <v>3.977057E7</v>
      </c>
      <c r="H67" s="8" t="str">
        <f>HYPERLINK("http://wfpusa.org/","http://wfpusa.org/")</f>
        <v>http://wfpusa.org/</v>
      </c>
      <c r="I67" s="6" t="s">
        <v>20</v>
      </c>
      <c r="J67" s="9" t="s">
        <v>511</v>
      </c>
      <c r="K67" s="9" t="s">
        <v>512</v>
      </c>
      <c r="L67" s="9" t="s">
        <v>513</v>
      </c>
      <c r="M67" s="9" t="s">
        <v>514</v>
      </c>
      <c r="N67" s="9" t="s">
        <v>515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 t="s">
        <v>516</v>
      </c>
      <c r="B68" s="6" t="s">
        <v>517</v>
      </c>
      <c r="C68" s="6" t="s">
        <v>518</v>
      </c>
      <c r="D68" s="6" t="s">
        <v>17</v>
      </c>
      <c r="E68" s="6" t="s">
        <v>18</v>
      </c>
      <c r="F68" s="6" t="s">
        <v>519</v>
      </c>
      <c r="G68" s="7">
        <v>3.9419978E7</v>
      </c>
      <c r="H68" s="8" t="str">
        <f>HYPERLINK("http://www.anera.org/","http://www.anera.org/")</f>
        <v>http://www.anera.org/</v>
      </c>
      <c r="I68" s="6" t="s">
        <v>20</v>
      </c>
      <c r="J68" s="9" t="s">
        <v>520</v>
      </c>
      <c r="K68" s="9" t="s">
        <v>521</v>
      </c>
      <c r="L68" s="9" t="s">
        <v>522</v>
      </c>
      <c r="M68" s="9" t="s">
        <v>523</v>
      </c>
      <c r="N68" s="9" t="s">
        <v>524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 t="s">
        <v>525</v>
      </c>
      <c r="B69" s="6" t="s">
        <v>526</v>
      </c>
      <c r="C69" s="6" t="s">
        <v>527</v>
      </c>
      <c r="D69" s="6" t="s">
        <v>17</v>
      </c>
      <c r="E69" s="6" t="s">
        <v>18</v>
      </c>
      <c r="F69" s="6" t="s">
        <v>528</v>
      </c>
      <c r="G69" s="7">
        <v>3.8939614E7</v>
      </c>
      <c r="H69" s="8" t="str">
        <f>HYPERLINK("http://www.upo.org/","http://www.upo.org/")</f>
        <v>http://www.upo.org/</v>
      </c>
      <c r="I69" s="6" t="s">
        <v>20</v>
      </c>
      <c r="J69" s="9" t="s">
        <v>529</v>
      </c>
      <c r="K69" s="9" t="s">
        <v>530</v>
      </c>
      <c r="L69" s="9" t="s">
        <v>531</v>
      </c>
      <c r="M69" s="9" t="s">
        <v>532</v>
      </c>
      <c r="N69" s="9" t="s">
        <v>533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 t="s">
        <v>534</v>
      </c>
      <c r="B70" s="6" t="s">
        <v>535</v>
      </c>
      <c r="C70" s="6" t="s">
        <v>536</v>
      </c>
      <c r="D70" s="6" t="s">
        <v>17</v>
      </c>
      <c r="E70" s="6" t="s">
        <v>18</v>
      </c>
      <c r="F70" s="6" t="s">
        <v>537</v>
      </c>
      <c r="G70" s="7">
        <v>3.8621713E7</v>
      </c>
      <c r="H70" s="8" t="str">
        <f>HYPERLINK("https://www.nokidhungry.org/","https://www.nokidhungry.org/")</f>
        <v>https://www.nokidhungry.org/</v>
      </c>
      <c r="I70" s="6" t="s">
        <v>20</v>
      </c>
      <c r="J70" s="9" t="s">
        <v>21</v>
      </c>
      <c r="K70" s="9" t="s">
        <v>538</v>
      </c>
      <c r="L70" s="9" t="s">
        <v>539</v>
      </c>
      <c r="M70" s="9" t="s">
        <v>540</v>
      </c>
      <c r="N70" s="9" t="s">
        <v>541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 t="s">
        <v>542</v>
      </c>
      <c r="B71" s="6" t="s">
        <v>543</v>
      </c>
      <c r="C71" s="6" t="s">
        <v>544</v>
      </c>
      <c r="D71" s="6" t="s">
        <v>17</v>
      </c>
      <c r="E71" s="6" t="s">
        <v>18</v>
      </c>
      <c r="F71" s="6" t="s">
        <v>545</v>
      </c>
      <c r="G71" s="7">
        <v>3.7885969E7</v>
      </c>
      <c r="H71" s="8" t="str">
        <f>HYPERLINK("http://www.zerotothree.org/","http://www.zerotothree.org/")</f>
        <v>http://www.zerotothree.org/</v>
      </c>
      <c r="I71" s="6" t="s">
        <v>20</v>
      </c>
      <c r="J71" s="9" t="s">
        <v>456</v>
      </c>
      <c r="K71" s="9" t="s">
        <v>546</v>
      </c>
      <c r="L71" s="9" t="s">
        <v>547</v>
      </c>
      <c r="M71" s="9" t="s">
        <v>548</v>
      </c>
      <c r="N71" s="9" t="s">
        <v>549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 t="s">
        <v>550</v>
      </c>
      <c r="B72" s="11" t="s">
        <v>551</v>
      </c>
      <c r="C72" s="11" t="s">
        <v>552</v>
      </c>
      <c r="D72" s="11" t="s">
        <v>17</v>
      </c>
      <c r="E72" s="11" t="s">
        <v>18</v>
      </c>
      <c r="F72" s="11" t="s">
        <v>553</v>
      </c>
      <c r="G72" s="12">
        <v>3.7593252E7</v>
      </c>
      <c r="H72" s="13"/>
      <c r="I72" s="11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5" t="s">
        <v>554</v>
      </c>
      <c r="B73" s="6" t="s">
        <v>555</v>
      </c>
      <c r="C73" s="6" t="s">
        <v>556</v>
      </c>
      <c r="D73" s="6" t="s">
        <v>17</v>
      </c>
      <c r="E73" s="6" t="s">
        <v>18</v>
      </c>
      <c r="F73" s="6" t="s">
        <v>557</v>
      </c>
      <c r="G73" s="7">
        <v>3.7300862E7</v>
      </c>
      <c r="H73" s="8" t="str">
        <f>HYPERLINK("http://www.dcgoodwill.org/","http://www.dcgoodwill.org/")</f>
        <v>http://www.dcgoodwill.org/</v>
      </c>
      <c r="I73" s="6" t="s">
        <v>20</v>
      </c>
      <c r="J73" s="9" t="s">
        <v>30</v>
      </c>
      <c r="K73" s="9" t="s">
        <v>558</v>
      </c>
      <c r="L73" s="9" t="s">
        <v>559</v>
      </c>
      <c r="M73" s="9" t="s">
        <v>560</v>
      </c>
      <c r="N73" s="9" t="s">
        <v>561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 t="s">
        <v>562</v>
      </c>
      <c r="B74" s="11" t="s">
        <v>563</v>
      </c>
      <c r="C74" s="11" t="s">
        <v>564</v>
      </c>
      <c r="D74" s="11" t="s">
        <v>17</v>
      </c>
      <c r="E74" s="11" t="s">
        <v>18</v>
      </c>
      <c r="F74" s="11" t="s">
        <v>565</v>
      </c>
      <c r="G74" s="12">
        <v>3.6542348E7</v>
      </c>
      <c r="H74" s="13"/>
      <c r="I74" s="11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5" t="s">
        <v>566</v>
      </c>
      <c r="B75" s="6" t="s">
        <v>567</v>
      </c>
      <c r="C75" s="6" t="s">
        <v>568</v>
      </c>
      <c r="D75" s="6" t="s">
        <v>17</v>
      </c>
      <c r="E75" s="6" t="s">
        <v>18</v>
      </c>
      <c r="F75" s="6" t="s">
        <v>569</v>
      </c>
      <c r="G75" s="7">
        <v>3.6151944E7</v>
      </c>
      <c r="H75" s="8" t="str">
        <f>HYPERLINK("http://www.cato.org/","http://www.cato.org/")</f>
        <v>http://www.cato.org/</v>
      </c>
      <c r="I75" s="6" t="s">
        <v>20</v>
      </c>
      <c r="J75" s="9" t="s">
        <v>570</v>
      </c>
      <c r="K75" s="9" t="s">
        <v>571</v>
      </c>
      <c r="L75" s="9" t="s">
        <v>202</v>
      </c>
      <c r="M75" s="9" t="s">
        <v>572</v>
      </c>
      <c r="N75" s="9" t="s">
        <v>573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 t="s">
        <v>574</v>
      </c>
      <c r="B76" s="6" t="s">
        <v>575</v>
      </c>
      <c r="C76" s="6" t="s">
        <v>576</v>
      </c>
      <c r="D76" s="6" t="s">
        <v>17</v>
      </c>
      <c r="E76" s="6" t="s">
        <v>18</v>
      </c>
      <c r="F76" s="6" t="s">
        <v>577</v>
      </c>
      <c r="G76" s="7">
        <v>3.5976944E7</v>
      </c>
      <c r="H76" s="8" t="str">
        <f>HYPERLINK("http://www.maryscenter.org/","http://www.maryscenter.org/")</f>
        <v>http://www.maryscenter.org/</v>
      </c>
      <c r="I76" s="6" t="s">
        <v>20</v>
      </c>
      <c r="J76" s="9" t="s">
        <v>578</v>
      </c>
      <c r="K76" s="9" t="s">
        <v>579</v>
      </c>
      <c r="L76" s="9" t="s">
        <v>580</v>
      </c>
      <c r="M76" s="9" t="s">
        <v>581</v>
      </c>
      <c r="N76" s="9" t="s">
        <v>582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 t="s">
        <v>583</v>
      </c>
      <c r="B77" s="6" t="s">
        <v>584</v>
      </c>
      <c r="C77" s="6" t="s">
        <v>439</v>
      </c>
      <c r="D77" s="6" t="s">
        <v>17</v>
      </c>
      <c r="E77" s="6" t="s">
        <v>18</v>
      </c>
      <c r="F77" s="6" t="s">
        <v>440</v>
      </c>
      <c r="G77" s="7">
        <v>3.4909104E7</v>
      </c>
      <c r="H77" s="8" t="str">
        <f>HYPERLINK("http://www.hillel.org/","http://www.hillel.org/")</f>
        <v>http://www.hillel.org/</v>
      </c>
      <c r="I77" s="6" t="s">
        <v>20</v>
      </c>
      <c r="J77" s="9" t="s">
        <v>21</v>
      </c>
      <c r="K77" s="9" t="s">
        <v>441</v>
      </c>
      <c r="L77" s="9" t="s">
        <v>442</v>
      </c>
      <c r="M77" s="9" t="s">
        <v>443</v>
      </c>
      <c r="N77" s="9" t="s">
        <v>444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 t="s">
        <v>585</v>
      </c>
      <c r="B78" s="6" t="s">
        <v>586</v>
      </c>
      <c r="C78" s="6" t="s">
        <v>587</v>
      </c>
      <c r="D78" s="6" t="s">
        <v>17</v>
      </c>
      <c r="E78" s="6" t="s">
        <v>18</v>
      </c>
      <c r="F78" s="6" t="s">
        <v>588</v>
      </c>
      <c r="G78" s="7">
        <v>3.4830387E7</v>
      </c>
      <c r="H78" s="8" t="str">
        <f>HYPERLINK("https://www.americanprogress.org/","https://www.americanprogress.org/")</f>
        <v>https://www.americanprogress.org/</v>
      </c>
      <c r="I78" s="6" t="s">
        <v>20</v>
      </c>
      <c r="J78" s="9" t="s">
        <v>30</v>
      </c>
      <c r="K78" s="9" t="s">
        <v>589</v>
      </c>
      <c r="L78" s="9" t="s">
        <v>590</v>
      </c>
      <c r="M78" s="9" t="s">
        <v>591</v>
      </c>
      <c r="N78" s="9" t="s">
        <v>592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 t="s">
        <v>593</v>
      </c>
      <c r="B79" s="6" t="s">
        <v>594</v>
      </c>
      <c r="C79" s="6" t="s">
        <v>595</v>
      </c>
      <c r="D79" s="6" t="s">
        <v>17</v>
      </c>
      <c r="E79" s="6" t="s">
        <v>18</v>
      </c>
      <c r="F79" s="6" t="s">
        <v>596</v>
      </c>
      <c r="G79" s="7">
        <v>3.3507608E7</v>
      </c>
      <c r="H79" s="8" t="str">
        <f>HYPERLINK("http://www.meridian.org/","http://www.meridian.org/")</f>
        <v>http://www.meridian.org/</v>
      </c>
      <c r="I79" s="6" t="s">
        <v>20</v>
      </c>
      <c r="J79" s="9" t="s">
        <v>597</v>
      </c>
      <c r="K79" s="9" t="s">
        <v>598</v>
      </c>
      <c r="L79" s="9" t="s">
        <v>599</v>
      </c>
      <c r="M79" s="9" t="s">
        <v>600</v>
      </c>
      <c r="N79" s="9" t="s">
        <v>601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 t="s">
        <v>602</v>
      </c>
      <c r="B80" s="6" t="s">
        <v>603</v>
      </c>
      <c r="C80" s="6" t="s">
        <v>604</v>
      </c>
      <c r="D80" s="6" t="s">
        <v>17</v>
      </c>
      <c r="E80" s="6" t="s">
        <v>18</v>
      </c>
      <c r="F80" s="6" t="s">
        <v>605</v>
      </c>
      <c r="G80" s="7">
        <v>3.1869213E7</v>
      </c>
      <c r="H80" s="8" t="str">
        <f>HYPERLINK("http://thenationalcampaign.org/","http://thenationalcampaign.org/")</f>
        <v>http://thenationalcampaign.org/</v>
      </c>
      <c r="I80" s="6" t="s">
        <v>20</v>
      </c>
      <c r="J80" s="9" t="s">
        <v>606</v>
      </c>
      <c r="K80" s="9" t="s">
        <v>53</v>
      </c>
      <c r="L80" s="9" t="s">
        <v>607</v>
      </c>
      <c r="M80" s="9" t="s">
        <v>608</v>
      </c>
      <c r="N80" s="9" t="s">
        <v>609</v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 t="s">
        <v>610</v>
      </c>
      <c r="B81" s="6" t="s">
        <v>611</v>
      </c>
      <c r="C81" s="6" t="s">
        <v>612</v>
      </c>
      <c r="D81" s="6" t="s">
        <v>17</v>
      </c>
      <c r="E81" s="6" t="s">
        <v>18</v>
      </c>
      <c r="F81" s="6" t="s">
        <v>613</v>
      </c>
      <c r="G81" s="7">
        <v>3.1405891E7</v>
      </c>
      <c r="H81" s="8" t="str">
        <f>HYPERLINK("https://www.ijm.org/","https://www.ijm.org/")</f>
        <v>https://www.ijm.org/</v>
      </c>
      <c r="I81" s="6" t="s">
        <v>20</v>
      </c>
      <c r="J81" s="9" t="s">
        <v>614</v>
      </c>
      <c r="K81" s="9" t="s">
        <v>615</v>
      </c>
      <c r="L81" s="9" t="s">
        <v>616</v>
      </c>
      <c r="M81" s="9" t="s">
        <v>617</v>
      </c>
      <c r="N81" s="9" t="s">
        <v>618</v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 t="s">
        <v>619</v>
      </c>
      <c r="B82" s="11" t="s">
        <v>620</v>
      </c>
      <c r="C82" s="11" t="s">
        <v>621</v>
      </c>
      <c r="D82" s="11" t="s">
        <v>17</v>
      </c>
      <c r="E82" s="11" t="s">
        <v>18</v>
      </c>
      <c r="F82" s="11" t="s">
        <v>510</v>
      </c>
      <c r="G82" s="12">
        <v>3.1036661E7</v>
      </c>
      <c r="H82" s="13"/>
      <c r="I82" s="11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5" t="s">
        <v>622</v>
      </c>
      <c r="B83" s="6" t="s">
        <v>623</v>
      </c>
      <c r="C83" s="6" t="s">
        <v>624</v>
      </c>
      <c r="D83" s="6" t="s">
        <v>17</v>
      </c>
      <c r="E83" s="6" t="s">
        <v>18</v>
      </c>
      <c r="F83" s="6" t="s">
        <v>625</v>
      </c>
      <c r="G83" s="7">
        <v>3.070664E7</v>
      </c>
      <c r="H83" s="8" t="str">
        <f>HYPERLINK("http://www.arenastage.org/","http://www.arenastage.org/")</f>
        <v>http://www.arenastage.org/</v>
      </c>
      <c r="I83" s="6" t="s">
        <v>20</v>
      </c>
      <c r="J83" s="9" t="s">
        <v>626</v>
      </c>
      <c r="K83" s="9" t="s">
        <v>627</v>
      </c>
      <c r="L83" s="9" t="s">
        <v>628</v>
      </c>
      <c r="M83" s="9" t="s">
        <v>629</v>
      </c>
      <c r="N83" s="9" t="s">
        <v>630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 t="s">
        <v>631</v>
      </c>
      <c r="B84" s="6" t="s">
        <v>632</v>
      </c>
      <c r="C84" s="6" t="s">
        <v>633</v>
      </c>
      <c r="D84" s="6" t="s">
        <v>17</v>
      </c>
      <c r="E84" s="6" t="s">
        <v>18</v>
      </c>
      <c r="F84" s="6" t="s">
        <v>634</v>
      </c>
      <c r="G84" s="7">
        <v>3.0485558E7</v>
      </c>
      <c r="H84" s="8" t="str">
        <f>HYPERLINK("http://www.defenders.org/","http://www.defenders.org/")</f>
        <v>http://www.defenders.org/</v>
      </c>
      <c r="I84" s="6" t="s">
        <v>20</v>
      </c>
      <c r="J84" s="9" t="s">
        <v>150</v>
      </c>
      <c r="K84" s="9" t="s">
        <v>635</v>
      </c>
      <c r="L84" s="9" t="s">
        <v>41</v>
      </c>
      <c r="M84" s="9" t="s">
        <v>636</v>
      </c>
      <c r="N84" s="9" t="s">
        <v>637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 t="s">
        <v>638</v>
      </c>
      <c r="B85" s="6" t="s">
        <v>639</v>
      </c>
      <c r="C85" s="6" t="s">
        <v>640</v>
      </c>
      <c r="D85" s="6" t="s">
        <v>17</v>
      </c>
      <c r="E85" s="6" t="s">
        <v>18</v>
      </c>
      <c r="F85" s="6" t="s">
        <v>641</v>
      </c>
      <c r="G85" s="7">
        <v>3.0026436E7</v>
      </c>
      <c r="H85" s="8" t="str">
        <f>HYPERLINK("http://www.nif.org/?site=true&amp;","http://www.nif.org/?site=true&amp;")</f>
        <v>http://www.nif.org/?site=true&amp;</v>
      </c>
      <c r="I85" s="6" t="s">
        <v>20</v>
      </c>
      <c r="J85" s="9" t="s">
        <v>642</v>
      </c>
      <c r="K85" s="9" t="s">
        <v>643</v>
      </c>
      <c r="L85" s="9" t="s">
        <v>644</v>
      </c>
      <c r="M85" s="9" t="s">
        <v>645</v>
      </c>
      <c r="N85" s="9" t="s">
        <v>646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 t="s">
        <v>647</v>
      </c>
      <c r="B86" s="6" t="s">
        <v>648</v>
      </c>
      <c r="C86" s="6" t="s">
        <v>649</v>
      </c>
      <c r="D86" s="6" t="s">
        <v>17</v>
      </c>
      <c r="E86" s="6" t="s">
        <v>18</v>
      </c>
      <c r="F86" s="6" t="s">
        <v>650</v>
      </c>
      <c r="G86" s="7">
        <v>3.0003401E7</v>
      </c>
      <c r="H86" s="8" t="str">
        <f>HYPERLINK("http://www.nleomf.com/","http://www.nleomf.com/")</f>
        <v>http://www.nleomf.com/</v>
      </c>
      <c r="I86" s="6" t="s">
        <v>20</v>
      </c>
      <c r="J86" s="9" t="s">
        <v>21</v>
      </c>
      <c r="K86" s="9" t="s">
        <v>651</v>
      </c>
      <c r="L86" s="9" t="s">
        <v>652</v>
      </c>
      <c r="M86" s="9" t="s">
        <v>653</v>
      </c>
      <c r="N86" s="9" t="s">
        <v>654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0" t="s">
        <v>655</v>
      </c>
      <c r="B87" s="11" t="s">
        <v>656</v>
      </c>
      <c r="C87" s="11" t="s">
        <v>657</v>
      </c>
      <c r="D87" s="11" t="s">
        <v>17</v>
      </c>
      <c r="E87" s="11" t="s">
        <v>18</v>
      </c>
      <c r="F87" s="11" t="s">
        <v>658</v>
      </c>
      <c r="G87" s="12">
        <v>2.9821392E7</v>
      </c>
      <c r="H87" s="13"/>
      <c r="I87" s="11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5" t="s">
        <v>659</v>
      </c>
      <c r="B88" s="6" t="s">
        <v>660</v>
      </c>
      <c r="C88" s="6" t="s">
        <v>661</v>
      </c>
      <c r="D88" s="6" t="s">
        <v>17</v>
      </c>
      <c r="E88" s="6" t="s">
        <v>18</v>
      </c>
      <c r="F88" s="6" t="s">
        <v>662</v>
      </c>
      <c r="G88" s="7">
        <v>2.965764E7</v>
      </c>
      <c r="H88" s="8" t="str">
        <f>HYPERLINK("http://wilderness.org/","http://wilderness.org/")</f>
        <v>http://wilderness.org/</v>
      </c>
      <c r="I88" s="6" t="s">
        <v>20</v>
      </c>
      <c r="J88" s="9" t="s">
        <v>663</v>
      </c>
      <c r="K88" s="9" t="s">
        <v>664</v>
      </c>
      <c r="L88" s="9" t="s">
        <v>665</v>
      </c>
      <c r="M88" s="9" t="s">
        <v>666</v>
      </c>
      <c r="N88" s="9" t="s">
        <v>667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 t="s">
        <v>668</v>
      </c>
      <c r="B89" s="6" t="s">
        <v>669</v>
      </c>
      <c r="C89" s="6" t="s">
        <v>670</v>
      </c>
      <c r="D89" s="6" t="s">
        <v>17</v>
      </c>
      <c r="E89" s="6" t="s">
        <v>18</v>
      </c>
      <c r="F89" s="6" t="s">
        <v>671</v>
      </c>
      <c r="G89" s="7">
        <v>2.8949045E7</v>
      </c>
      <c r="H89" s="8" t="str">
        <f>HYPERLINK("http://www.ussoccerfoundation.org/","http://www.ussoccerfoundation.org/")</f>
        <v>http://www.ussoccerfoundation.org/</v>
      </c>
      <c r="I89" s="6" t="s">
        <v>20</v>
      </c>
      <c r="J89" s="9" t="s">
        <v>672</v>
      </c>
      <c r="K89" s="9" t="s">
        <v>673</v>
      </c>
      <c r="L89" s="9" t="s">
        <v>674</v>
      </c>
      <c r="M89" s="9" t="s">
        <v>675</v>
      </c>
      <c r="N89" s="9" t="s">
        <v>676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 t="s">
        <v>677</v>
      </c>
      <c r="B90" s="6" t="s">
        <v>678</v>
      </c>
      <c r="C90" s="6" t="s">
        <v>679</v>
      </c>
      <c r="D90" s="6" t="s">
        <v>17</v>
      </c>
      <c r="E90" s="6" t="s">
        <v>18</v>
      </c>
      <c r="F90" s="6" t="s">
        <v>680</v>
      </c>
      <c r="G90" s="7">
        <v>2.873334E7</v>
      </c>
      <c r="H90" s="8" t="str">
        <f>HYPERLINK("http://www.womenforwomen.org/","http://www.womenforwomen.org/")</f>
        <v>http://www.womenforwomen.org/</v>
      </c>
      <c r="I90" s="6" t="s">
        <v>20</v>
      </c>
      <c r="J90" s="9" t="s">
        <v>681</v>
      </c>
      <c r="K90" s="9" t="s">
        <v>682</v>
      </c>
      <c r="L90" s="9" t="s">
        <v>683</v>
      </c>
      <c r="M90" s="9" t="s">
        <v>684</v>
      </c>
      <c r="N90" s="9" t="s">
        <v>685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 t="s">
        <v>686</v>
      </c>
      <c r="B91" s="6" t="s">
        <v>687</v>
      </c>
      <c r="C91" s="6" t="s">
        <v>688</v>
      </c>
      <c r="D91" s="6" t="s">
        <v>17</v>
      </c>
      <c r="E91" s="6" t="s">
        <v>18</v>
      </c>
      <c r="F91" s="6" t="s">
        <v>689</v>
      </c>
      <c r="G91" s="7">
        <v>2.8512802E7</v>
      </c>
      <c r="H91" s="8" t="str">
        <f>HYPERLINK("http://gavicampaign.org/","http://gavicampaign.org/")</f>
        <v>http://gavicampaign.org/</v>
      </c>
      <c r="I91" s="6" t="s">
        <v>20</v>
      </c>
      <c r="J91" s="9" t="s">
        <v>690</v>
      </c>
      <c r="K91" s="9" t="s">
        <v>691</v>
      </c>
      <c r="L91" s="9" t="s">
        <v>692</v>
      </c>
      <c r="M91" s="9" t="s">
        <v>693</v>
      </c>
      <c r="N91" s="9" t="s">
        <v>694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 t="s">
        <v>695</v>
      </c>
      <c r="B92" s="6" t="s">
        <v>696</v>
      </c>
      <c r="C92" s="6" t="s">
        <v>697</v>
      </c>
      <c r="D92" s="6" t="s">
        <v>17</v>
      </c>
      <c r="E92" s="6" t="s">
        <v>18</v>
      </c>
      <c r="F92" s="6" t="s">
        <v>698</v>
      </c>
      <c r="G92" s="7">
        <v>2.8261175E7</v>
      </c>
      <c r="H92" s="8" t="str">
        <f>HYPERLINK("https://armydistaff.org/","https://armydistaff.org/")</f>
        <v>https://armydistaff.org/</v>
      </c>
      <c r="I92" s="6" t="s">
        <v>20</v>
      </c>
      <c r="J92" s="9" t="s">
        <v>699</v>
      </c>
      <c r="K92" s="9" t="s">
        <v>700</v>
      </c>
      <c r="L92" s="9" t="s">
        <v>701</v>
      </c>
      <c r="M92" s="9" t="s">
        <v>702</v>
      </c>
      <c r="N92" s="9" t="s">
        <v>703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 t="s">
        <v>704</v>
      </c>
      <c r="B93" s="6" t="s">
        <v>705</v>
      </c>
      <c r="C93" s="6" t="s">
        <v>706</v>
      </c>
      <c r="D93" s="6" t="s">
        <v>17</v>
      </c>
      <c r="E93" s="6" t="s">
        <v>18</v>
      </c>
      <c r="F93" s="6" t="s">
        <v>707</v>
      </c>
      <c r="G93" s="7">
        <v>2.8127706E7</v>
      </c>
      <c r="H93" s="8" t="str">
        <f>HYPERLINK("http://www.wis.edu/","http://www.wis.edu/")</f>
        <v>http://www.wis.edu/</v>
      </c>
      <c r="I93" s="6" t="s">
        <v>20</v>
      </c>
      <c r="J93" s="9" t="s">
        <v>708</v>
      </c>
      <c r="K93" s="9" t="s">
        <v>709</v>
      </c>
      <c r="L93" s="9" t="s">
        <v>710</v>
      </c>
      <c r="M93" s="9" t="s">
        <v>711</v>
      </c>
      <c r="N93" s="9" t="s">
        <v>712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 t="s">
        <v>713</v>
      </c>
      <c r="B94" s="6" t="s">
        <v>714</v>
      </c>
      <c r="C94" s="6" t="s">
        <v>715</v>
      </c>
      <c r="D94" s="6" t="s">
        <v>17</v>
      </c>
      <c r="E94" s="6" t="s">
        <v>18</v>
      </c>
      <c r="F94" s="6" t="s">
        <v>716</v>
      </c>
      <c r="G94" s="7">
        <v>2.7799226E7</v>
      </c>
      <c r="H94" s="8" t="str">
        <f>HYPERLINK("http://www.ncba-aged.org/","http://www.ncba-aged.org/")</f>
        <v>http://www.ncba-aged.org/</v>
      </c>
      <c r="I94" s="6" t="s">
        <v>20</v>
      </c>
      <c r="J94" s="9" t="s">
        <v>717</v>
      </c>
      <c r="K94" s="9" t="s">
        <v>718</v>
      </c>
      <c r="L94" s="9" t="s">
        <v>719</v>
      </c>
      <c r="M94" s="9" t="s">
        <v>720</v>
      </c>
      <c r="N94" s="9" t="s">
        <v>721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 t="s">
        <v>722</v>
      </c>
      <c r="B95" s="6" t="s">
        <v>723</v>
      </c>
      <c r="C95" s="6" t="s">
        <v>724</v>
      </c>
      <c r="D95" s="6" t="s">
        <v>17</v>
      </c>
      <c r="E95" s="6" t="s">
        <v>18</v>
      </c>
      <c r="F95" s="6" t="s">
        <v>510</v>
      </c>
      <c r="G95" s="7">
        <v>2.769344E7</v>
      </c>
      <c r="H95" s="8" t="str">
        <f>HYPERLINK("http://www.whha.org/","http://www.whha.org/")</f>
        <v>http://www.whha.org/</v>
      </c>
      <c r="I95" s="6" t="s">
        <v>20</v>
      </c>
      <c r="J95" s="9" t="s">
        <v>725</v>
      </c>
      <c r="K95" s="9" t="s">
        <v>726</v>
      </c>
      <c r="L95" s="9" t="s">
        <v>727</v>
      </c>
      <c r="M95" s="9" t="s">
        <v>728</v>
      </c>
      <c r="N95" s="9" t="s">
        <v>729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0" t="s">
        <v>730</v>
      </c>
      <c r="B96" s="11" t="s">
        <v>731</v>
      </c>
      <c r="C96" s="11" t="s">
        <v>732</v>
      </c>
      <c r="D96" s="11" t="s">
        <v>17</v>
      </c>
      <c r="E96" s="11" t="s">
        <v>18</v>
      </c>
      <c r="F96" s="11" t="s">
        <v>733</v>
      </c>
      <c r="G96" s="12">
        <v>2.72836E7</v>
      </c>
      <c r="H96" s="13"/>
      <c r="I96" s="11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5" t="s">
        <v>734</v>
      </c>
      <c r="B97" s="6" t="s">
        <v>735</v>
      </c>
      <c r="C97" s="6" t="s">
        <v>736</v>
      </c>
      <c r="D97" s="6" t="s">
        <v>17</v>
      </c>
      <c r="E97" s="6" t="s">
        <v>18</v>
      </c>
      <c r="F97" s="6" t="s">
        <v>737</v>
      </c>
      <c r="G97" s="7">
        <v>2.7050834E7</v>
      </c>
      <c r="H97" s="8" t="str">
        <f>HYPERLINK("http://www.nccinc.org/","http://www.nccinc.org/")</f>
        <v>http://www.nccinc.org/</v>
      </c>
      <c r="I97" s="6" t="s">
        <v>20</v>
      </c>
      <c r="J97" s="9" t="s">
        <v>738</v>
      </c>
      <c r="K97" s="9" t="s">
        <v>739</v>
      </c>
      <c r="L97" s="9" t="s">
        <v>740</v>
      </c>
      <c r="M97" s="9"/>
      <c r="N97" s="9" t="s">
        <v>741</v>
      </c>
      <c r="O97" s="9" t="s">
        <v>25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 t="s">
        <v>742</v>
      </c>
      <c r="B98" s="6" t="s">
        <v>743</v>
      </c>
      <c r="C98" s="6" t="s">
        <v>744</v>
      </c>
      <c r="D98" s="6" t="s">
        <v>17</v>
      </c>
      <c r="E98" s="6" t="s">
        <v>18</v>
      </c>
      <c r="F98" s="6" t="s">
        <v>745</v>
      </c>
      <c r="G98" s="7">
        <v>2.6415454E7</v>
      </c>
      <c r="H98" s="8" t="str">
        <f>HYPERLINK("http://www.judicialwatch.org/","http://www.judicialwatch.org/")</f>
        <v>http://www.judicialwatch.org/</v>
      </c>
      <c r="I98" s="6" t="s">
        <v>20</v>
      </c>
      <c r="J98" s="9" t="s">
        <v>456</v>
      </c>
      <c r="K98" s="9" t="s">
        <v>746</v>
      </c>
      <c r="L98" s="9" t="s">
        <v>747</v>
      </c>
      <c r="M98" s="9" t="s">
        <v>748</v>
      </c>
      <c r="N98" s="9" t="s">
        <v>749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 t="s">
        <v>750</v>
      </c>
      <c r="B99" s="11" t="s">
        <v>751</v>
      </c>
      <c r="C99" s="11" t="s">
        <v>752</v>
      </c>
      <c r="D99" s="11" t="s">
        <v>17</v>
      </c>
      <c r="E99" s="11" t="s">
        <v>18</v>
      </c>
      <c r="F99" s="11" t="s">
        <v>753</v>
      </c>
      <c r="G99" s="12">
        <v>2.5697341E7</v>
      </c>
      <c r="H99" s="13"/>
      <c r="I99" s="11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5" t="s">
        <v>754</v>
      </c>
      <c r="B100" s="6" t="s">
        <v>755</v>
      </c>
      <c r="C100" s="6" t="s">
        <v>756</v>
      </c>
      <c r="D100" s="6" t="s">
        <v>17</v>
      </c>
      <c r="E100" s="6" t="s">
        <v>18</v>
      </c>
      <c r="F100" s="6" t="s">
        <v>757</v>
      </c>
      <c r="G100" s="7">
        <v>2.5562218E7</v>
      </c>
      <c r="H100" s="8" t="str">
        <f>HYPERLINK("http://www.aicr.org/","http://www.aicr.org/")</f>
        <v>http://www.aicr.org/</v>
      </c>
      <c r="I100" s="6" t="s">
        <v>20</v>
      </c>
      <c r="J100" s="9" t="s">
        <v>482</v>
      </c>
      <c r="K100" s="9" t="s">
        <v>758</v>
      </c>
      <c r="L100" s="9" t="s">
        <v>759</v>
      </c>
      <c r="M100" s="9" t="s">
        <v>760</v>
      </c>
      <c r="N100" s="9" t="s">
        <v>761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 t="s">
        <v>762</v>
      </c>
      <c r="B101" s="6" t="s">
        <v>763</v>
      </c>
      <c r="C101" s="6" t="s">
        <v>764</v>
      </c>
      <c r="D101" s="6" t="s">
        <v>17</v>
      </c>
      <c r="E101" s="6" t="s">
        <v>18</v>
      </c>
      <c r="F101" s="6" t="s">
        <v>765</v>
      </c>
      <c r="G101" s="7">
        <v>2.5517468E7</v>
      </c>
      <c r="H101" s="8" t="str">
        <f>HYPERLINK("http://www.thememorialfoundation.org/","http://www.thememorialfoundation.org/")</f>
        <v>http://www.thememorialfoundation.org/</v>
      </c>
      <c r="I101" s="6" t="s">
        <v>20</v>
      </c>
      <c r="J101" s="9" t="s">
        <v>766</v>
      </c>
      <c r="K101" s="9" t="s">
        <v>441</v>
      </c>
      <c r="L101" s="9" t="s">
        <v>767</v>
      </c>
      <c r="M101" s="9" t="s">
        <v>768</v>
      </c>
      <c r="N101" s="9" t="s">
        <v>769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 t="s">
        <v>770</v>
      </c>
      <c r="B102" s="11" t="s">
        <v>771</v>
      </c>
      <c r="C102" s="11" t="s">
        <v>772</v>
      </c>
      <c r="D102" s="11" t="s">
        <v>17</v>
      </c>
      <c r="E102" s="11" t="s">
        <v>18</v>
      </c>
      <c r="F102" s="11" t="s">
        <v>773</v>
      </c>
      <c r="G102" s="12">
        <v>2.487193E7</v>
      </c>
      <c r="H102" s="13"/>
      <c r="I102" s="11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5" t="s">
        <v>774</v>
      </c>
      <c r="B103" s="6" t="s">
        <v>775</v>
      </c>
      <c r="C103" s="6" t="s">
        <v>776</v>
      </c>
      <c r="D103" s="6" t="s">
        <v>17</v>
      </c>
      <c r="E103" s="6" t="s">
        <v>18</v>
      </c>
      <c r="F103" s="6" t="s">
        <v>777</v>
      </c>
      <c r="G103" s="7">
        <v>2.4572735E7</v>
      </c>
      <c r="H103" s="8" t="str">
        <f>HYPERLINK("http://www.childrensdefense.org/","http://www.childrensdefense.org/")</f>
        <v>http://www.childrensdefense.org/</v>
      </c>
      <c r="I103" s="6" t="s">
        <v>20</v>
      </c>
      <c r="J103" s="9" t="s">
        <v>778</v>
      </c>
      <c r="K103" s="9" t="s">
        <v>779</v>
      </c>
      <c r="L103" s="9" t="s">
        <v>780</v>
      </c>
      <c r="M103" s="9" t="s">
        <v>781</v>
      </c>
      <c r="N103" s="9" t="s">
        <v>782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 t="s">
        <v>783</v>
      </c>
      <c r="B104" s="6" t="s">
        <v>784</v>
      </c>
      <c r="C104" s="6" t="s">
        <v>785</v>
      </c>
      <c r="D104" s="6" t="s">
        <v>17</v>
      </c>
      <c r="E104" s="6" t="s">
        <v>18</v>
      </c>
      <c r="F104" s="6" t="s">
        <v>786</v>
      </c>
      <c r="G104" s="7">
        <v>2.4348003E7</v>
      </c>
      <c r="H104" s="8" t="str">
        <f>HYPERLINK("http://www.pcrm.org/","http://www.pcrm.org/")</f>
        <v>http://www.pcrm.org/</v>
      </c>
      <c r="I104" s="6" t="s">
        <v>20</v>
      </c>
      <c r="J104" s="9" t="s">
        <v>482</v>
      </c>
      <c r="K104" s="9" t="s">
        <v>787</v>
      </c>
      <c r="L104" s="9" t="s">
        <v>788</v>
      </c>
      <c r="M104" s="9" t="s">
        <v>789</v>
      </c>
      <c r="N104" s="9" t="s">
        <v>790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0" t="s">
        <v>791</v>
      </c>
      <c r="B105" s="11" t="s">
        <v>792</v>
      </c>
      <c r="C105" s="11" t="s">
        <v>793</v>
      </c>
      <c r="D105" s="11" t="s">
        <v>17</v>
      </c>
      <c r="E105" s="11" t="s">
        <v>18</v>
      </c>
      <c r="F105" s="11" t="s">
        <v>490</v>
      </c>
      <c r="G105" s="12">
        <v>2.4273215E7</v>
      </c>
      <c r="H105" s="13"/>
      <c r="I105" s="11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0" t="s">
        <v>794</v>
      </c>
      <c r="B106" s="11" t="s">
        <v>795</v>
      </c>
      <c r="C106" s="11" t="s">
        <v>796</v>
      </c>
      <c r="D106" s="11" t="s">
        <v>17</v>
      </c>
      <c r="E106" s="11" t="s">
        <v>18</v>
      </c>
      <c r="F106" s="11" t="s">
        <v>60</v>
      </c>
      <c r="G106" s="12">
        <v>2.4089368E7</v>
      </c>
      <c r="H106" s="13"/>
      <c r="I106" s="11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5" t="s">
        <v>797</v>
      </c>
      <c r="B107" s="6" t="s">
        <v>798</v>
      </c>
      <c r="C107" s="6" t="s">
        <v>799</v>
      </c>
      <c r="D107" s="6" t="s">
        <v>17</v>
      </c>
      <c r="E107" s="6" t="s">
        <v>18</v>
      </c>
      <c r="F107" s="6" t="s">
        <v>800</v>
      </c>
      <c r="G107" s="7">
        <v>2.3869669E7</v>
      </c>
      <c r="H107" s="8" t="str">
        <f>HYPERLINK("https://www.sfcg.org/","https://www.sfcg.org/")</f>
        <v>https://www.sfcg.org/</v>
      </c>
      <c r="I107" s="6" t="s">
        <v>20</v>
      </c>
      <c r="J107" s="9" t="s">
        <v>801</v>
      </c>
      <c r="K107" s="9" t="s">
        <v>802</v>
      </c>
      <c r="L107" s="9" t="s">
        <v>803</v>
      </c>
      <c r="M107" s="9" t="s">
        <v>804</v>
      </c>
      <c r="N107" s="9" t="s">
        <v>805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 t="s">
        <v>806</v>
      </c>
      <c r="B108" s="6" t="s">
        <v>807</v>
      </c>
      <c r="C108" s="6" t="s">
        <v>808</v>
      </c>
      <c r="D108" s="6" t="s">
        <v>17</v>
      </c>
      <c r="E108" s="6" t="s">
        <v>18</v>
      </c>
      <c r="F108" s="6" t="s">
        <v>809</v>
      </c>
      <c r="G108" s="7">
        <v>2.3681357E7</v>
      </c>
      <c r="H108" s="8" t="str">
        <f>HYPERLINK("http://some.org/","http://some.org/")</f>
        <v>http://some.org/</v>
      </c>
      <c r="I108" s="6" t="s">
        <v>20</v>
      </c>
      <c r="J108" s="9" t="s">
        <v>21</v>
      </c>
      <c r="K108" s="9" t="s">
        <v>810</v>
      </c>
      <c r="L108" s="9" t="s">
        <v>811</v>
      </c>
      <c r="M108" s="9" t="s">
        <v>812</v>
      </c>
      <c r="N108" s="9" t="s">
        <v>813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 t="s">
        <v>814</v>
      </c>
      <c r="B109" s="6" t="s">
        <v>815</v>
      </c>
      <c r="C109" s="6" t="s">
        <v>816</v>
      </c>
      <c r="D109" s="6" t="s">
        <v>17</v>
      </c>
      <c r="E109" s="6" t="s">
        <v>18</v>
      </c>
      <c r="F109" s="6" t="s">
        <v>817</v>
      </c>
      <c r="G109" s="7">
        <v>2.3480728E7</v>
      </c>
      <c r="H109" s="8" t="str">
        <f>HYPERLINK("https://www.aidsunited.org/","https://www.aidsunited.org/")</f>
        <v>https://www.aidsunited.org/</v>
      </c>
      <c r="I109" s="6" t="s">
        <v>20</v>
      </c>
      <c r="J109" s="9" t="s">
        <v>818</v>
      </c>
      <c r="K109" s="9" t="s">
        <v>819</v>
      </c>
      <c r="L109" s="9" t="s">
        <v>820</v>
      </c>
      <c r="M109" s="9" t="s">
        <v>821</v>
      </c>
      <c r="N109" s="9" t="s">
        <v>822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0" t="s">
        <v>823</v>
      </c>
      <c r="B110" s="11" t="s">
        <v>824</v>
      </c>
      <c r="C110" s="11" t="s">
        <v>825</v>
      </c>
      <c r="D110" s="11" t="s">
        <v>17</v>
      </c>
      <c r="E110" s="11" t="s">
        <v>18</v>
      </c>
      <c r="F110" s="11" t="s">
        <v>826</v>
      </c>
      <c r="G110" s="12">
        <v>2.3300786E7</v>
      </c>
      <c r="H110" s="13"/>
      <c r="I110" s="11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5" t="s">
        <v>827</v>
      </c>
      <c r="B111" s="6" t="s">
        <v>828</v>
      </c>
      <c r="C111" s="6" t="s">
        <v>829</v>
      </c>
      <c r="D111" s="6" t="s">
        <v>17</v>
      </c>
      <c r="E111" s="6" t="s">
        <v>18</v>
      </c>
      <c r="F111" s="6" t="s">
        <v>830</v>
      </c>
      <c r="G111" s="7">
        <v>2.3026848E7</v>
      </c>
      <c r="H111" s="8" t="str">
        <f>HYPERLINK("http://www.globalgiving.org/","http://www.globalgiving.org/")</f>
        <v>http://www.globalgiving.org/</v>
      </c>
      <c r="I111" s="6" t="s">
        <v>20</v>
      </c>
      <c r="J111" s="9" t="s">
        <v>831</v>
      </c>
      <c r="K111" s="9" t="s">
        <v>832</v>
      </c>
      <c r="L111" s="9" t="s">
        <v>833</v>
      </c>
      <c r="M111" s="9" t="s">
        <v>834</v>
      </c>
      <c r="N111" s="9" t="s">
        <v>835</v>
      </c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 t="s">
        <v>836</v>
      </c>
      <c r="B112" s="6" t="s">
        <v>837</v>
      </c>
      <c r="C112" s="6" t="s">
        <v>838</v>
      </c>
      <c r="D112" s="6" t="s">
        <v>17</v>
      </c>
      <c r="E112" s="6" t="s">
        <v>18</v>
      </c>
      <c r="F112" s="6" t="s">
        <v>839</v>
      </c>
      <c r="G112" s="7">
        <v>2.2807698E7</v>
      </c>
      <c r="H112" s="8" t="str">
        <f>HYPERLINK("https://www.au.org/","https://www.au.org/")</f>
        <v>https://www.au.org/</v>
      </c>
      <c r="I112" s="6" t="s">
        <v>20</v>
      </c>
      <c r="J112" s="9" t="s">
        <v>570</v>
      </c>
      <c r="K112" s="9" t="s">
        <v>787</v>
      </c>
      <c r="L112" s="9" t="s">
        <v>840</v>
      </c>
      <c r="M112" s="9" t="s">
        <v>841</v>
      </c>
      <c r="N112" s="9" t="s">
        <v>842</v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 t="s">
        <v>843</v>
      </c>
      <c r="B113" s="6" t="s">
        <v>844</v>
      </c>
      <c r="C113" s="6" t="s">
        <v>845</v>
      </c>
      <c r="D113" s="6" t="s">
        <v>17</v>
      </c>
      <c r="E113" s="6" t="s">
        <v>18</v>
      </c>
      <c r="F113" s="6" t="s">
        <v>846</v>
      </c>
      <c r="G113" s="7">
        <v>2.2743718E7</v>
      </c>
      <c r="H113" s="8" t="str">
        <f>HYPERLINK("http://www.foresthillsdc.org/","http://www.foresthillsdc.org/")</f>
        <v>http://www.foresthillsdc.org/</v>
      </c>
      <c r="I113" s="6" t="s">
        <v>20</v>
      </c>
      <c r="J113" s="9" t="s">
        <v>847</v>
      </c>
      <c r="K113" s="9" t="s">
        <v>848</v>
      </c>
      <c r="L113" s="9" t="s">
        <v>849</v>
      </c>
      <c r="M113" s="9" t="s">
        <v>850</v>
      </c>
      <c r="N113" s="9" t="s">
        <v>851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 t="s">
        <v>852</v>
      </c>
      <c r="B114" s="6" t="s">
        <v>853</v>
      </c>
      <c r="C114" s="6" t="s">
        <v>854</v>
      </c>
      <c r="D114" s="6" t="s">
        <v>17</v>
      </c>
      <c r="E114" s="6" t="s">
        <v>18</v>
      </c>
      <c r="F114" s="6" t="s">
        <v>855</v>
      </c>
      <c r="G114" s="7">
        <v>2.264932E7</v>
      </c>
      <c r="H114" s="8" t="str">
        <f>HYPERLINK("http://bbyo.org/","http://bbyo.org/")</f>
        <v>http://bbyo.org/</v>
      </c>
      <c r="I114" s="6" t="s">
        <v>20</v>
      </c>
      <c r="J114" s="9" t="s">
        <v>856</v>
      </c>
      <c r="K114" s="9" t="s">
        <v>857</v>
      </c>
      <c r="L114" s="9" t="s">
        <v>858</v>
      </c>
      <c r="M114" s="9" t="s">
        <v>859</v>
      </c>
      <c r="N114" s="9" t="s">
        <v>860</v>
      </c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0" t="s">
        <v>861</v>
      </c>
      <c r="B115" s="11" t="s">
        <v>862</v>
      </c>
      <c r="C115" s="11" t="s">
        <v>863</v>
      </c>
      <c r="D115" s="11" t="s">
        <v>17</v>
      </c>
      <c r="E115" s="11" t="s">
        <v>18</v>
      </c>
      <c r="F115" s="11" t="s">
        <v>864</v>
      </c>
      <c r="G115" s="12">
        <v>2.2518849E7</v>
      </c>
      <c r="H115" s="13"/>
      <c r="I115" s="11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5" t="s">
        <v>865</v>
      </c>
      <c r="B116" s="6" t="s">
        <v>866</v>
      </c>
      <c r="C116" s="6" t="s">
        <v>867</v>
      </c>
      <c r="D116" s="6" t="s">
        <v>17</v>
      </c>
      <c r="E116" s="6" t="s">
        <v>18</v>
      </c>
      <c r="F116" s="6" t="s">
        <v>868</v>
      </c>
      <c r="G116" s="7">
        <v>2.2291681E7</v>
      </c>
      <c r="H116" s="8" t="str">
        <f>HYPERLINK("http://www.sabin.org/","http://www.sabin.org/")</f>
        <v>http://www.sabin.org/</v>
      </c>
      <c r="I116" s="6" t="s">
        <v>20</v>
      </c>
      <c r="J116" s="9" t="s">
        <v>869</v>
      </c>
      <c r="K116" s="9" t="s">
        <v>870</v>
      </c>
      <c r="L116" s="9" t="s">
        <v>871</v>
      </c>
      <c r="M116" s="9" t="s">
        <v>872</v>
      </c>
      <c r="N116" s="9" t="s">
        <v>873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 t="s">
        <v>874</v>
      </c>
      <c r="B117" s="6" t="s">
        <v>875</v>
      </c>
      <c r="C117" s="6" t="s">
        <v>876</v>
      </c>
      <c r="D117" s="6" t="s">
        <v>17</v>
      </c>
      <c r="E117" s="6" t="s">
        <v>18</v>
      </c>
      <c r="F117" s="6" t="s">
        <v>877</v>
      </c>
      <c r="G117" s="7">
        <v>2.1954895E7</v>
      </c>
      <c r="H117" s="8" t="str">
        <f>HYPERLINK("http://www.americanhumane.org/","http://www.americanhumane.org/")</f>
        <v>http://www.americanhumane.org/</v>
      </c>
      <c r="I117" s="6" t="s">
        <v>20</v>
      </c>
      <c r="J117" s="9" t="s">
        <v>847</v>
      </c>
      <c r="K117" s="9" t="s">
        <v>878</v>
      </c>
      <c r="L117" s="9" t="s">
        <v>879</v>
      </c>
      <c r="M117" s="9" t="s">
        <v>880</v>
      </c>
      <c r="N117" s="9" t="s">
        <v>881</v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 t="s">
        <v>882</v>
      </c>
      <c r="B118" s="6" t="s">
        <v>883</v>
      </c>
      <c r="C118" s="6" t="s">
        <v>884</v>
      </c>
      <c r="D118" s="6" t="s">
        <v>17</v>
      </c>
      <c r="E118" s="6" t="s">
        <v>18</v>
      </c>
      <c r="F118" s="6" t="s">
        <v>885</v>
      </c>
      <c r="G118" s="7">
        <v>2.1850929E7</v>
      </c>
      <c r="H118" s="8" t="str">
        <f>HYPERLINK("http://www.alsa.org/","http://www.alsa.org/")</f>
        <v>http://www.alsa.org/</v>
      </c>
      <c r="I118" s="6" t="s">
        <v>20</v>
      </c>
      <c r="J118" s="9" t="s">
        <v>886</v>
      </c>
      <c r="K118" s="9" t="s">
        <v>887</v>
      </c>
      <c r="L118" s="9" t="s">
        <v>888</v>
      </c>
      <c r="M118" s="9" t="s">
        <v>889</v>
      </c>
      <c r="N118" s="9" t="s">
        <v>890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 t="s">
        <v>891</v>
      </c>
      <c r="B119" s="6" t="s">
        <v>892</v>
      </c>
      <c r="C119" s="6" t="s">
        <v>893</v>
      </c>
      <c r="D119" s="6" t="s">
        <v>17</v>
      </c>
      <c r="E119" s="6" t="s">
        <v>18</v>
      </c>
      <c r="F119" s="6" t="s">
        <v>894</v>
      </c>
      <c r="G119" s="7">
        <v>2.1809521E7</v>
      </c>
      <c r="H119" s="8" t="str">
        <f>HYPERLINK("http://kaboom.org/","http://kaboom.org/")</f>
        <v>http://kaboom.org/</v>
      </c>
      <c r="I119" s="6" t="s">
        <v>20</v>
      </c>
      <c r="J119" s="9" t="s">
        <v>895</v>
      </c>
      <c r="K119" s="9" t="s">
        <v>896</v>
      </c>
      <c r="L119" s="9" t="s">
        <v>897</v>
      </c>
      <c r="M119" s="9" t="s">
        <v>898</v>
      </c>
      <c r="N119" s="9" t="s">
        <v>899</v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 t="s">
        <v>900</v>
      </c>
      <c r="B120" s="6" t="s">
        <v>901</v>
      </c>
      <c r="C120" s="6" t="s">
        <v>902</v>
      </c>
      <c r="D120" s="6" t="s">
        <v>17</v>
      </c>
      <c r="E120" s="6" t="s">
        <v>18</v>
      </c>
      <c r="F120" s="6" t="s">
        <v>903</v>
      </c>
      <c r="G120" s="7">
        <v>2.1662639E7</v>
      </c>
      <c r="H120" s="8" t="str">
        <f>HYPERLINK("http://nationalzoo.si.edu/default.cfm?ref=index.htm","http://nationalzoo.si.edu/default.cfm?ref=index.htm")</f>
        <v>http://nationalzoo.si.edu/default.cfm?ref=index.htm</v>
      </c>
      <c r="I120" s="6" t="s">
        <v>20</v>
      </c>
      <c r="J120" s="9" t="s">
        <v>904</v>
      </c>
      <c r="K120" s="9" t="s">
        <v>905</v>
      </c>
      <c r="L120" s="9" t="s">
        <v>906</v>
      </c>
      <c r="M120" s="9" t="s">
        <v>907</v>
      </c>
      <c r="N120" s="9" t="s">
        <v>908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 t="s">
        <v>909</v>
      </c>
      <c r="B121" s="6" t="s">
        <v>910</v>
      </c>
      <c r="C121" s="6" t="s">
        <v>911</v>
      </c>
      <c r="D121" s="6" t="s">
        <v>17</v>
      </c>
      <c r="E121" s="6" t="s">
        <v>18</v>
      </c>
      <c r="F121" s="6" t="s">
        <v>912</v>
      </c>
      <c r="G121" s="7">
        <v>2.1458392E7</v>
      </c>
      <c r="H121" s="8" t="str">
        <f>HYPERLINK("http://www.phillipscollection.org/","http://www.phillipscollection.org/")</f>
        <v>http://www.phillipscollection.org/</v>
      </c>
      <c r="I121" s="6" t="s">
        <v>20</v>
      </c>
      <c r="J121" s="9" t="s">
        <v>456</v>
      </c>
      <c r="K121" s="9" t="s">
        <v>913</v>
      </c>
      <c r="L121" s="9" t="s">
        <v>914</v>
      </c>
      <c r="M121" s="9" t="s">
        <v>915</v>
      </c>
      <c r="N121" s="9" t="s">
        <v>916</v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 t="s">
        <v>917</v>
      </c>
      <c r="B122" s="6" t="s">
        <v>918</v>
      </c>
      <c r="C122" s="6" t="s">
        <v>919</v>
      </c>
      <c r="D122" s="6" t="s">
        <v>17</v>
      </c>
      <c r="E122" s="6" t="s">
        <v>18</v>
      </c>
      <c r="F122" s="6" t="s">
        <v>920</v>
      </c>
      <c r="G122" s="7">
        <v>2.1135498E7</v>
      </c>
      <c r="H122" s="8" t="str">
        <f>HYPERLINK("http://www.rff.org/Pages/default.aspx","http://www.rff.org/Pages/default.aspx")</f>
        <v>http://www.rff.org/Pages/default.aspx</v>
      </c>
      <c r="I122" s="6" t="s">
        <v>20</v>
      </c>
      <c r="J122" s="9" t="s">
        <v>921</v>
      </c>
      <c r="K122" s="9" t="s">
        <v>922</v>
      </c>
      <c r="L122" s="9" t="s">
        <v>923</v>
      </c>
      <c r="M122" s="9" t="s">
        <v>924</v>
      </c>
      <c r="N122" s="9" t="s">
        <v>925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0" t="s">
        <v>926</v>
      </c>
      <c r="B123" s="11" t="s">
        <v>927</v>
      </c>
      <c r="C123" s="11" t="s">
        <v>928</v>
      </c>
      <c r="D123" s="11" t="s">
        <v>17</v>
      </c>
      <c r="E123" s="11" t="s">
        <v>18</v>
      </c>
      <c r="F123" s="11" t="s">
        <v>929</v>
      </c>
      <c r="G123" s="12">
        <v>2.0888666E7</v>
      </c>
      <c r="H123" s="13"/>
      <c r="I123" s="11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0" t="s">
        <v>930</v>
      </c>
      <c r="B124" s="11" t="s">
        <v>931</v>
      </c>
      <c r="C124" s="11" t="s">
        <v>932</v>
      </c>
      <c r="D124" s="11" t="s">
        <v>17</v>
      </c>
      <c r="E124" s="11" t="s">
        <v>18</v>
      </c>
      <c r="F124" s="11" t="s">
        <v>933</v>
      </c>
      <c r="G124" s="12">
        <v>2.0661694E7</v>
      </c>
      <c r="H124" s="13"/>
      <c r="I124" s="11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0" t="s">
        <v>934</v>
      </c>
      <c r="B125" s="11" t="s">
        <v>935</v>
      </c>
      <c r="C125" s="11" t="s">
        <v>936</v>
      </c>
      <c r="D125" s="11" t="s">
        <v>17</v>
      </c>
      <c r="E125" s="11" t="s">
        <v>18</v>
      </c>
      <c r="F125" s="11" t="s">
        <v>91</v>
      </c>
      <c r="G125" s="12">
        <v>2.0626384E7</v>
      </c>
      <c r="H125" s="13"/>
      <c r="I125" s="11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5" t="s">
        <v>937</v>
      </c>
      <c r="B126" s="6" t="s">
        <v>938</v>
      </c>
      <c r="C126" s="6" t="s">
        <v>939</v>
      </c>
      <c r="D126" s="6" t="s">
        <v>17</v>
      </c>
      <c r="E126" s="6" t="s">
        <v>18</v>
      </c>
      <c r="F126" s="6" t="s">
        <v>940</v>
      </c>
      <c r="G126" s="7">
        <v>2.0333557E7</v>
      </c>
      <c r="H126" s="8" t="str">
        <f>HYPERLINK("http://oceana.org/","http://oceana.org/")</f>
        <v>http://oceana.org/</v>
      </c>
      <c r="I126" s="6" t="s">
        <v>20</v>
      </c>
      <c r="J126" s="9" t="s">
        <v>941</v>
      </c>
      <c r="K126" s="9" t="s">
        <v>758</v>
      </c>
      <c r="L126" s="9" t="s">
        <v>942</v>
      </c>
      <c r="M126" s="9" t="s">
        <v>943</v>
      </c>
      <c r="N126" s="9" t="s">
        <v>944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 t="s">
        <v>945</v>
      </c>
      <c r="B127" s="6" t="s">
        <v>946</v>
      </c>
      <c r="C127" s="6" t="s">
        <v>947</v>
      </c>
      <c r="D127" s="6" t="s">
        <v>17</v>
      </c>
      <c r="E127" s="6" t="s">
        <v>18</v>
      </c>
      <c r="F127" s="6" t="s">
        <v>948</v>
      </c>
      <c r="G127" s="7">
        <v>2.0285191E7</v>
      </c>
      <c r="H127" s="8" t="str">
        <f>HYPERLINK("http://www.archivesfoundation.org/","http://www.archivesfoundation.org/")</f>
        <v>http://www.archivesfoundation.org/</v>
      </c>
      <c r="I127" s="6" t="s">
        <v>20</v>
      </c>
      <c r="J127" s="9" t="s">
        <v>949</v>
      </c>
      <c r="K127" s="9" t="s">
        <v>950</v>
      </c>
      <c r="L127" s="9" t="s">
        <v>951</v>
      </c>
      <c r="M127" s="9" t="s">
        <v>952</v>
      </c>
      <c r="N127" s="9" t="s">
        <v>953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 t="s">
        <v>954</v>
      </c>
      <c r="B128" s="6" t="s">
        <v>955</v>
      </c>
      <c r="C128" s="6" t="s">
        <v>956</v>
      </c>
      <c r="D128" s="6" t="s">
        <v>17</v>
      </c>
      <c r="E128" s="6" t="s">
        <v>18</v>
      </c>
      <c r="F128" s="6" t="s">
        <v>957</v>
      </c>
      <c r="G128" s="7">
        <v>1.927953E7</v>
      </c>
      <c r="H128" s="8" t="str">
        <f>HYPERLINK("http://www.stoddardbaptisthome.com/","http://www.stoddardbaptisthome.com/")</f>
        <v>http://www.stoddardbaptisthome.com/</v>
      </c>
      <c r="I128" s="6" t="s">
        <v>20</v>
      </c>
      <c r="J128" s="9" t="s">
        <v>958</v>
      </c>
      <c r="K128" s="9" t="s">
        <v>959</v>
      </c>
      <c r="L128" s="9" t="s">
        <v>960</v>
      </c>
      <c r="M128" s="9" t="s">
        <v>961</v>
      </c>
      <c r="N128" s="9" t="s">
        <v>962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 t="s">
        <v>963</v>
      </c>
      <c r="B129" s="6" t="s">
        <v>964</v>
      </c>
      <c r="C129" s="6" t="s">
        <v>965</v>
      </c>
      <c r="D129" s="6" t="s">
        <v>17</v>
      </c>
      <c r="E129" s="6" t="s">
        <v>18</v>
      </c>
      <c r="F129" s="6" t="s">
        <v>966</v>
      </c>
      <c r="G129" s="7">
        <v>1.9269302E7</v>
      </c>
      <c r="H129" s="8" t="str">
        <f>HYPERLINK("http://www.theisraelproject.org/","http://www.theisraelproject.org/")</f>
        <v>http://www.theisraelproject.org/</v>
      </c>
      <c r="I129" s="6" t="s">
        <v>20</v>
      </c>
      <c r="J129" s="9" t="s">
        <v>967</v>
      </c>
      <c r="K129" s="9" t="s">
        <v>968</v>
      </c>
      <c r="L129" s="9" t="s">
        <v>969</v>
      </c>
      <c r="M129" s="9" t="s">
        <v>970</v>
      </c>
      <c r="N129" s="9" t="s">
        <v>971</v>
      </c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 t="s">
        <v>972</v>
      </c>
      <c r="B130" s="6" t="s">
        <v>973</v>
      </c>
      <c r="C130" s="6" t="s">
        <v>974</v>
      </c>
      <c r="D130" s="6" t="s">
        <v>17</v>
      </c>
      <c r="E130" s="6" t="s">
        <v>18</v>
      </c>
      <c r="F130" s="6" t="s">
        <v>975</v>
      </c>
      <c r="G130" s="7">
        <v>1.9188339E7</v>
      </c>
      <c r="H130" s="8" t="str">
        <f>HYPERLINK("http://www.youreyes.org/","http://www.youreyes.org/")</f>
        <v>http://www.youreyes.org/</v>
      </c>
      <c r="I130" s="6" t="s">
        <v>20</v>
      </c>
      <c r="J130" s="9" t="s">
        <v>976</v>
      </c>
      <c r="K130" s="9" t="s">
        <v>977</v>
      </c>
      <c r="L130" s="9" t="s">
        <v>978</v>
      </c>
      <c r="M130" s="9" t="s">
        <v>979</v>
      </c>
      <c r="N130" s="9" t="s">
        <v>980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 t="s">
        <v>981</v>
      </c>
      <c r="B131" s="6" t="s">
        <v>982</v>
      </c>
      <c r="C131" s="6" t="s">
        <v>983</v>
      </c>
      <c r="D131" s="6" t="s">
        <v>17</v>
      </c>
      <c r="E131" s="6" t="s">
        <v>18</v>
      </c>
      <c r="F131" s="6" t="s">
        <v>984</v>
      </c>
      <c r="G131" s="7">
        <v>1.9150215E7</v>
      </c>
      <c r="H131" s="8" t="str">
        <f>HYPERLINK("http://climaterealityproject.org/","http://climaterealityproject.org/")</f>
        <v>http://climaterealityproject.org/</v>
      </c>
      <c r="I131" s="6" t="s">
        <v>20</v>
      </c>
      <c r="J131" s="9" t="s">
        <v>708</v>
      </c>
      <c r="K131" s="9" t="s">
        <v>985</v>
      </c>
      <c r="L131" s="9" t="s">
        <v>986</v>
      </c>
      <c r="M131" s="9" t="s">
        <v>987</v>
      </c>
      <c r="N131" s="9" t="s">
        <v>988</v>
      </c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 t="s">
        <v>989</v>
      </c>
      <c r="B132" s="6" t="s">
        <v>990</v>
      </c>
      <c r="C132" s="6" t="s">
        <v>991</v>
      </c>
      <c r="D132" s="6" t="s">
        <v>17</v>
      </c>
      <c r="E132" s="6" t="s">
        <v>18</v>
      </c>
      <c r="F132" s="6" t="s">
        <v>992</v>
      </c>
      <c r="G132" s="7">
        <v>1.8967337E7</v>
      </c>
      <c r="H132" s="8" t="str">
        <f>HYPERLINK("http://www.cipe.org/","http://www.cipe.org/")</f>
        <v>http://www.cipe.org/</v>
      </c>
      <c r="I132" s="6" t="s">
        <v>20</v>
      </c>
      <c r="J132" s="9" t="s">
        <v>993</v>
      </c>
      <c r="K132" s="9" t="s">
        <v>994</v>
      </c>
      <c r="L132" s="9" t="s">
        <v>995</v>
      </c>
      <c r="M132" s="9" t="s">
        <v>996</v>
      </c>
      <c r="N132" s="9" t="s">
        <v>997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0" t="s">
        <v>998</v>
      </c>
      <c r="B133" s="11" t="s">
        <v>999</v>
      </c>
      <c r="C133" s="11" t="s">
        <v>1000</v>
      </c>
      <c r="D133" s="11" t="s">
        <v>17</v>
      </c>
      <c r="E133" s="11" t="s">
        <v>18</v>
      </c>
      <c r="F133" s="11" t="s">
        <v>127</v>
      </c>
      <c r="G133" s="12">
        <v>1.8669461E7</v>
      </c>
      <c r="H133" s="13"/>
      <c r="I133" s="11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5" t="s">
        <v>1001</v>
      </c>
      <c r="B134" s="6" t="s">
        <v>1002</v>
      </c>
      <c r="C134" s="6" t="s">
        <v>1003</v>
      </c>
      <c r="D134" s="6" t="s">
        <v>17</v>
      </c>
      <c r="E134" s="6" t="s">
        <v>18</v>
      </c>
      <c r="F134" s="6" t="s">
        <v>1004</v>
      </c>
      <c r="G134" s="7">
        <v>1.8320828E7</v>
      </c>
      <c r="H134" s="8" t="str">
        <f>HYPERLINK("http://www.tobaccofreekids.org/","http://www.tobaccofreekids.org/")</f>
        <v>http://www.tobaccofreekids.org/</v>
      </c>
      <c r="I134" s="6" t="s">
        <v>20</v>
      </c>
      <c r="J134" s="9" t="s">
        <v>1005</v>
      </c>
      <c r="K134" s="9" t="s">
        <v>1006</v>
      </c>
      <c r="L134" s="9" t="s">
        <v>1007</v>
      </c>
      <c r="M134" s="9" t="s">
        <v>1008</v>
      </c>
      <c r="N134" s="9" t="s">
        <v>1009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 t="s">
        <v>1010</v>
      </c>
      <c r="B135" s="6" t="s">
        <v>1011</v>
      </c>
      <c r="C135" s="6" t="s">
        <v>1012</v>
      </c>
      <c r="D135" s="6" t="s">
        <v>17</v>
      </c>
      <c r="E135" s="6" t="s">
        <v>18</v>
      </c>
      <c r="F135" s="6" t="s">
        <v>1013</v>
      </c>
      <c r="G135" s="7">
        <v>1.8185068E7</v>
      </c>
      <c r="H135" s="8" t="str">
        <f>HYPERLINK("https://lafoundation.org/","https://lafoundation.org/")</f>
        <v>https://lafoundation.org/</v>
      </c>
      <c r="I135" s="6" t="s">
        <v>20</v>
      </c>
      <c r="J135" s="9" t="s">
        <v>74</v>
      </c>
      <c r="K135" s="9" t="s">
        <v>465</v>
      </c>
      <c r="L135" s="9" t="s">
        <v>1014</v>
      </c>
      <c r="M135" s="9" t="s">
        <v>1015</v>
      </c>
      <c r="N135" s="9" t="s">
        <v>1016</v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 t="s">
        <v>1017</v>
      </c>
      <c r="B136" s="6" t="s">
        <v>1018</v>
      </c>
      <c r="C136" s="6" t="s">
        <v>1019</v>
      </c>
      <c r="D136" s="6" t="s">
        <v>17</v>
      </c>
      <c r="E136" s="6" t="s">
        <v>18</v>
      </c>
      <c r="F136" s="6" t="s">
        <v>1020</v>
      </c>
      <c r="G136" s="7">
        <v>1.8141012E7</v>
      </c>
      <c r="H136" s="8" t="str">
        <f>HYPERLINK("http://www.shakespearetheatre.org/","http://www.shakespearetheatre.org/")</f>
        <v>http://www.shakespearetheatre.org/</v>
      </c>
      <c r="I136" s="6" t="s">
        <v>20</v>
      </c>
      <c r="J136" s="9" t="s">
        <v>21</v>
      </c>
      <c r="K136" s="9" t="s">
        <v>1021</v>
      </c>
      <c r="L136" s="9" t="s">
        <v>1022</v>
      </c>
      <c r="M136" s="9" t="s">
        <v>1023</v>
      </c>
      <c r="N136" s="9" t="s">
        <v>1024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 t="s">
        <v>1025</v>
      </c>
      <c r="B137" s="6" t="s">
        <v>1026</v>
      </c>
      <c r="C137" s="6" t="s">
        <v>1027</v>
      </c>
      <c r="D137" s="6" t="s">
        <v>17</v>
      </c>
      <c r="E137" s="6" t="s">
        <v>18</v>
      </c>
      <c r="F137" s="6" t="s">
        <v>1028</v>
      </c>
      <c r="G137" s="7">
        <v>1.7682049E7</v>
      </c>
      <c r="H137" s="8" t="str">
        <f>HYPERLINK("http://www.hrsonline.org/","http://www.hrsonline.org/")</f>
        <v>http://www.hrsonline.org/</v>
      </c>
      <c r="I137" s="6" t="s">
        <v>20</v>
      </c>
      <c r="J137" s="9" t="s">
        <v>456</v>
      </c>
      <c r="K137" s="9" t="s">
        <v>1029</v>
      </c>
      <c r="L137" s="9" t="s">
        <v>1030</v>
      </c>
      <c r="M137" s="9" t="s">
        <v>1031</v>
      </c>
      <c r="N137" s="9" t="s">
        <v>1032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0" t="s">
        <v>1033</v>
      </c>
      <c r="B138" s="11" t="s">
        <v>1034</v>
      </c>
      <c r="C138" s="11" t="s">
        <v>1035</v>
      </c>
      <c r="D138" s="11" t="s">
        <v>17</v>
      </c>
      <c r="E138" s="11" t="s">
        <v>18</v>
      </c>
      <c r="F138" s="11" t="s">
        <v>1036</v>
      </c>
      <c r="G138" s="12">
        <v>1.7439403E7</v>
      </c>
      <c r="H138" s="13"/>
      <c r="I138" s="11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5" t="s">
        <v>1037</v>
      </c>
      <c r="B139" s="6" t="s">
        <v>1038</v>
      </c>
      <c r="C139" s="6" t="s">
        <v>1039</v>
      </c>
      <c r="D139" s="6" t="s">
        <v>17</v>
      </c>
      <c r="E139" s="6" t="s">
        <v>18</v>
      </c>
      <c r="F139" s="6" t="s">
        <v>1040</v>
      </c>
      <c r="G139" s="7">
        <v>1.7242947E7</v>
      </c>
      <c r="H139" s="8" t="str">
        <f>HYPERLINK("http://www.twc.edu/","http://www.twc.edu/")</f>
        <v>http://www.twc.edu/</v>
      </c>
      <c r="I139" s="6" t="s">
        <v>20</v>
      </c>
      <c r="J139" s="9" t="s">
        <v>1041</v>
      </c>
      <c r="K139" s="9" t="s">
        <v>194</v>
      </c>
      <c r="L139" s="9" t="s">
        <v>1042</v>
      </c>
      <c r="M139" s="9" t="s">
        <v>1043</v>
      </c>
      <c r="N139" s="9" t="s">
        <v>1044</v>
      </c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 t="s">
        <v>1045</v>
      </c>
      <c r="B140" s="11" t="s">
        <v>1046</v>
      </c>
      <c r="C140" s="11" t="s">
        <v>1047</v>
      </c>
      <c r="D140" s="11" t="s">
        <v>17</v>
      </c>
      <c r="E140" s="11" t="s">
        <v>18</v>
      </c>
      <c r="F140" s="11" t="s">
        <v>1048</v>
      </c>
      <c r="G140" s="12">
        <v>1.7190283E7</v>
      </c>
      <c r="H140" s="13"/>
      <c r="I140" s="11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0" t="s">
        <v>1049</v>
      </c>
      <c r="B141" s="11" t="s">
        <v>1050</v>
      </c>
      <c r="C141" s="11" t="s">
        <v>1051</v>
      </c>
      <c r="D141" s="11" t="s">
        <v>17</v>
      </c>
      <c r="E141" s="11" t="s">
        <v>18</v>
      </c>
      <c r="F141" s="11" t="s">
        <v>1052</v>
      </c>
      <c r="G141" s="12">
        <v>1.6677312E7</v>
      </c>
      <c r="H141" s="13"/>
      <c r="I141" s="11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5" t="s">
        <v>1053</v>
      </c>
      <c r="B142" s="6" t="s">
        <v>1054</v>
      </c>
      <c r="C142" s="6" t="s">
        <v>1055</v>
      </c>
      <c r="D142" s="6" t="s">
        <v>17</v>
      </c>
      <c r="E142" s="6" t="s">
        <v>18</v>
      </c>
      <c r="F142" s="6" t="s">
        <v>1056</v>
      </c>
      <c r="G142" s="7">
        <v>1.6527629E7</v>
      </c>
      <c r="H142" s="8" t="str">
        <f>HYPERLINK("http://www.oceanconservancy.org/","http://www.oceanconservancy.org/")</f>
        <v>http://www.oceanconservancy.org/</v>
      </c>
      <c r="I142" s="6" t="s">
        <v>20</v>
      </c>
      <c r="J142" s="9" t="s">
        <v>1057</v>
      </c>
      <c r="K142" s="9" t="s">
        <v>1058</v>
      </c>
      <c r="L142" s="9" t="s">
        <v>1059</v>
      </c>
      <c r="M142" s="9" t="s">
        <v>1060</v>
      </c>
      <c r="N142" s="9" t="s">
        <v>1061</v>
      </c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 t="s">
        <v>1062</v>
      </c>
      <c r="B143" s="6" t="s">
        <v>1063</v>
      </c>
      <c r="C143" s="6" t="s">
        <v>1064</v>
      </c>
      <c r="D143" s="6" t="s">
        <v>17</v>
      </c>
      <c r="E143" s="6" t="s">
        <v>18</v>
      </c>
      <c r="F143" s="6" t="s">
        <v>1065</v>
      </c>
      <c r="G143" s="7">
        <v>1.6411895E7</v>
      </c>
      <c r="H143" s="8" t="str">
        <f>HYPERLINK("http://www.eurasia.org/","http://www.eurasia.org/")</f>
        <v>http://www.eurasia.org/</v>
      </c>
      <c r="I143" s="6" t="s">
        <v>20</v>
      </c>
      <c r="J143" s="9" t="s">
        <v>1066</v>
      </c>
      <c r="K143" s="9" t="s">
        <v>1067</v>
      </c>
      <c r="L143" s="9" t="s">
        <v>1068</v>
      </c>
      <c r="M143" s="9" t="s">
        <v>1069</v>
      </c>
      <c r="N143" s="9" t="s">
        <v>1070</v>
      </c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 t="s">
        <v>1071</v>
      </c>
      <c r="B144" s="6" t="s">
        <v>1072</v>
      </c>
      <c r="C144" s="6" t="s">
        <v>1073</v>
      </c>
      <c r="D144" s="6" t="s">
        <v>17</v>
      </c>
      <c r="E144" s="6" t="s">
        <v>18</v>
      </c>
      <c r="F144" s="6" t="s">
        <v>1074</v>
      </c>
      <c r="G144" s="7">
        <v>1.6359002E7</v>
      </c>
      <c r="H144" s="8" t="str">
        <f>HYPERLINK("http://www.grameenfoundation.org/","http://www.grameenfoundation.org/")</f>
        <v>http://www.grameenfoundation.org/</v>
      </c>
      <c r="I144" s="6" t="s">
        <v>20</v>
      </c>
      <c r="J144" s="9" t="s">
        <v>1075</v>
      </c>
      <c r="K144" s="9" t="s">
        <v>1076</v>
      </c>
      <c r="L144" s="9" t="s">
        <v>1077</v>
      </c>
      <c r="M144" s="9" t="s">
        <v>1078</v>
      </c>
      <c r="N144" s="9" t="s">
        <v>1079</v>
      </c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 t="s">
        <v>1080</v>
      </c>
      <c r="B145" s="6" t="s">
        <v>1081</v>
      </c>
      <c r="C145" s="6" t="s">
        <v>1082</v>
      </c>
      <c r="D145" s="6" t="s">
        <v>17</v>
      </c>
      <c r="E145" s="6" t="s">
        <v>18</v>
      </c>
      <c r="F145" s="6" t="s">
        <v>1083</v>
      </c>
      <c r="G145" s="7">
        <v>1.6324917E7</v>
      </c>
      <c r="H145" s="8" t="str">
        <f>HYPERLINK("http://www.vvmf.org/","http://www.vvmf.org/")</f>
        <v>http://www.vvmf.org/</v>
      </c>
      <c r="I145" s="6" t="s">
        <v>20</v>
      </c>
      <c r="J145" s="9" t="s">
        <v>482</v>
      </c>
      <c r="K145" s="9" t="s">
        <v>1084</v>
      </c>
      <c r="L145" s="9" t="s">
        <v>1085</v>
      </c>
      <c r="M145" s="9" t="s">
        <v>1086</v>
      </c>
      <c r="N145" s="9" t="s">
        <v>1087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 t="s">
        <v>1088</v>
      </c>
      <c r="B146" s="6" t="s">
        <v>1089</v>
      </c>
      <c r="C146" s="6" t="s">
        <v>1090</v>
      </c>
      <c r="D146" s="6" t="s">
        <v>17</v>
      </c>
      <c r="E146" s="6" t="s">
        <v>18</v>
      </c>
      <c r="F146" s="6" t="s">
        <v>1091</v>
      </c>
      <c r="G146" s="7">
        <v>1.6296333E7</v>
      </c>
      <c r="H146" s="8" t="str">
        <f>HYPERLINK("http://www.cspinet.org/","http://www.cspinet.org/")</f>
        <v>http://www.cspinet.org/</v>
      </c>
      <c r="I146" s="6" t="s">
        <v>20</v>
      </c>
      <c r="J146" s="9" t="s">
        <v>1092</v>
      </c>
      <c r="K146" s="9" t="s">
        <v>244</v>
      </c>
      <c r="L146" s="9" t="s">
        <v>1093</v>
      </c>
      <c r="M146" s="9" t="s">
        <v>1094</v>
      </c>
      <c r="N146" s="9" t="s">
        <v>1095</v>
      </c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 t="s">
        <v>1096</v>
      </c>
      <c r="B147" s="6" t="s">
        <v>1097</v>
      </c>
      <c r="C147" s="6" t="s">
        <v>1098</v>
      </c>
      <c r="D147" s="6" t="s">
        <v>17</v>
      </c>
      <c r="E147" s="6" t="s">
        <v>18</v>
      </c>
      <c r="F147" s="6" t="s">
        <v>1099</v>
      </c>
      <c r="G147" s="7">
        <v>1.6134139E7</v>
      </c>
      <c r="H147" s="8" t="str">
        <f>HYPERLINK("http://www.thurgoodmarshallfund.net/","http://www.thurgoodmarshallfund.net/")</f>
        <v>http://www.thurgoodmarshallfund.net/</v>
      </c>
      <c r="I147" s="6" t="s">
        <v>20</v>
      </c>
      <c r="J147" s="9" t="s">
        <v>21</v>
      </c>
      <c r="K147" s="9" t="s">
        <v>102</v>
      </c>
      <c r="L147" s="9" t="s">
        <v>1100</v>
      </c>
      <c r="M147" s="9" t="s">
        <v>1101</v>
      </c>
      <c r="N147" s="9" t="s">
        <v>1102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 t="s">
        <v>1103</v>
      </c>
      <c r="B148" s="6" t="s">
        <v>1104</v>
      </c>
      <c r="C148" s="6" t="s">
        <v>1105</v>
      </c>
      <c r="D148" s="6" t="s">
        <v>17</v>
      </c>
      <c r="E148" s="6" t="s">
        <v>18</v>
      </c>
      <c r="F148" s="6" t="s">
        <v>1106</v>
      </c>
      <c r="G148" s="7">
        <v>1.6047245E7</v>
      </c>
      <c r="H148" s="8" t="str">
        <f>HYPERLINK("http://www.washingtonperformingarts.org/","http://www.washingtonperformingarts.org/")</f>
        <v>http://www.washingtonperformingarts.org/</v>
      </c>
      <c r="I148" s="6" t="s">
        <v>20</v>
      </c>
      <c r="J148" s="9" t="s">
        <v>456</v>
      </c>
      <c r="K148" s="9" t="s">
        <v>1107</v>
      </c>
      <c r="L148" s="9" t="s">
        <v>1108</v>
      </c>
      <c r="M148" s="9" t="s">
        <v>1109</v>
      </c>
      <c r="N148" s="9" t="s">
        <v>1110</v>
      </c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 t="s">
        <v>1111</v>
      </c>
      <c r="B149" s="6" t="s">
        <v>1112</v>
      </c>
      <c r="C149" s="6" t="s">
        <v>1113</v>
      </c>
      <c r="D149" s="6" t="s">
        <v>17</v>
      </c>
      <c r="E149" s="6" t="s">
        <v>18</v>
      </c>
      <c r="F149" s="6" t="s">
        <v>1114</v>
      </c>
      <c r="G149" s="7">
        <v>1.5832235E7</v>
      </c>
      <c r="H149" s="8" t="str">
        <f>HYPERLINK("http://www.ncrc.org/","http://www.ncrc.org/")</f>
        <v>http://www.ncrc.org/</v>
      </c>
      <c r="I149" s="6" t="s">
        <v>20</v>
      </c>
      <c r="J149" s="9" t="s">
        <v>1005</v>
      </c>
      <c r="K149" s="9" t="s">
        <v>1115</v>
      </c>
      <c r="L149" s="9" t="s">
        <v>1116</v>
      </c>
      <c r="M149" s="9" t="s">
        <v>1117</v>
      </c>
      <c r="N149" s="9" t="s">
        <v>1118</v>
      </c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 t="s">
        <v>1119</v>
      </c>
      <c r="B150" s="6" t="s">
        <v>1120</v>
      </c>
      <c r="C150" s="6" t="s">
        <v>1121</v>
      </c>
      <c r="D150" s="6" t="s">
        <v>17</v>
      </c>
      <c r="E150" s="6" t="s">
        <v>18</v>
      </c>
      <c r="F150" s="6" t="s">
        <v>1122</v>
      </c>
      <c r="G150" s="7">
        <v>1.5410857E7</v>
      </c>
      <c r="H150" s="8" t="str">
        <f>HYPERLINK("http://www.stcoletta.org/","http://www.stcoletta.org/")</f>
        <v>http://www.stcoletta.org/</v>
      </c>
      <c r="I150" s="6" t="s">
        <v>20</v>
      </c>
      <c r="J150" s="9" t="s">
        <v>1005</v>
      </c>
      <c r="K150" s="9" t="s">
        <v>474</v>
      </c>
      <c r="L150" s="9" t="s">
        <v>923</v>
      </c>
      <c r="M150" s="9" t="s">
        <v>1123</v>
      </c>
      <c r="N150" s="9" t="s">
        <v>1124</v>
      </c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 t="s">
        <v>1125</v>
      </c>
      <c r="B151" s="6" t="s">
        <v>1126</v>
      </c>
      <c r="C151" s="6" t="s">
        <v>1127</v>
      </c>
      <c r="D151" s="6" t="s">
        <v>17</v>
      </c>
      <c r="E151" s="6" t="s">
        <v>18</v>
      </c>
      <c r="F151" s="6" t="s">
        <v>1128</v>
      </c>
      <c r="G151" s="7">
        <v>1.5410108E7</v>
      </c>
      <c r="H151" s="8" t="str">
        <f>HYPERLINK("http://www.collegesummit.org/","http://www.collegesummit.org/")</f>
        <v>http://www.collegesummit.org/</v>
      </c>
      <c r="I151" s="6" t="s">
        <v>20</v>
      </c>
      <c r="J151" s="9" t="s">
        <v>21</v>
      </c>
      <c r="K151" s="9" t="s">
        <v>1129</v>
      </c>
      <c r="L151" s="9" t="s">
        <v>1130</v>
      </c>
      <c r="M151" s="9" t="s">
        <v>1131</v>
      </c>
      <c r="N151" s="9" t="s">
        <v>1132</v>
      </c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 t="s">
        <v>1133</v>
      </c>
      <c r="B152" s="6" t="s">
        <v>1134</v>
      </c>
      <c r="C152" s="6" t="s">
        <v>1135</v>
      </c>
      <c r="D152" s="6" t="s">
        <v>17</v>
      </c>
      <c r="E152" s="6" t="s">
        <v>18</v>
      </c>
      <c r="F152" s="6" t="s">
        <v>1136</v>
      </c>
      <c r="G152" s="7">
        <v>1.513988E7</v>
      </c>
      <c r="H152" s="8" t="str">
        <f>HYPERLINK("http://www.dccap.org/","http://www.dccap.org/")</f>
        <v>http://www.dccap.org/</v>
      </c>
      <c r="I152" s="6" t="s">
        <v>20</v>
      </c>
      <c r="J152" s="9" t="s">
        <v>482</v>
      </c>
      <c r="K152" s="9" t="s">
        <v>159</v>
      </c>
      <c r="L152" s="9" t="s">
        <v>942</v>
      </c>
      <c r="M152" s="9" t="s">
        <v>1137</v>
      </c>
      <c r="N152" s="9" t="s">
        <v>1138</v>
      </c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 t="s">
        <v>1139</v>
      </c>
      <c r="B153" s="11" t="s">
        <v>1140</v>
      </c>
      <c r="C153" s="11" t="s">
        <v>1141</v>
      </c>
      <c r="D153" s="11" t="s">
        <v>17</v>
      </c>
      <c r="E153" s="11" t="s">
        <v>18</v>
      </c>
      <c r="F153" s="11" t="s">
        <v>1142</v>
      </c>
      <c r="G153" s="12">
        <v>1.5099617E7</v>
      </c>
      <c r="H153" s="13"/>
      <c r="I153" s="11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5" t="s">
        <v>1143</v>
      </c>
      <c r="B154" s="6" t="s">
        <v>1144</v>
      </c>
      <c r="C154" s="6" t="s">
        <v>1145</v>
      </c>
      <c r="D154" s="6" t="s">
        <v>17</v>
      </c>
      <c r="E154" s="6" t="s">
        <v>18</v>
      </c>
      <c r="F154" s="6" t="s">
        <v>1146</v>
      </c>
      <c r="G154" s="7">
        <v>1.5039097E7</v>
      </c>
      <c r="H154" s="8" t="str">
        <f>HYPERLINK("http://www.equaljusticeworks.org/","http://www.equaljusticeworks.org/")</f>
        <v>http://www.equaljusticeworks.org/</v>
      </c>
      <c r="I154" s="6" t="s">
        <v>20</v>
      </c>
      <c r="J154" s="9" t="s">
        <v>1147</v>
      </c>
      <c r="K154" s="9" t="s">
        <v>1148</v>
      </c>
      <c r="L154" s="9" t="s">
        <v>1149</v>
      </c>
      <c r="M154" s="9" t="s">
        <v>1150</v>
      </c>
      <c r="N154" s="9" t="s">
        <v>1151</v>
      </c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 t="s">
        <v>1152</v>
      </c>
      <c r="B155" s="6" t="s">
        <v>1153</v>
      </c>
      <c r="C155" s="6" t="s">
        <v>1154</v>
      </c>
      <c r="D155" s="6" t="s">
        <v>17</v>
      </c>
      <c r="E155" s="6" t="s">
        <v>18</v>
      </c>
      <c r="F155" s="6" t="s">
        <v>1155</v>
      </c>
      <c r="G155" s="7">
        <v>1.4275113E7</v>
      </c>
      <c r="H155" s="8" t="str">
        <f>HYPERLINK("http://www.nationalchildrensalliance.org/","http://www.nationalchildrensalliance.org/")</f>
        <v>http://www.nationalchildrensalliance.org/</v>
      </c>
      <c r="I155" s="6" t="s">
        <v>20</v>
      </c>
      <c r="J155" s="9" t="s">
        <v>921</v>
      </c>
      <c r="K155" s="9" t="s">
        <v>1156</v>
      </c>
      <c r="L155" s="9" t="s">
        <v>1157</v>
      </c>
      <c r="M155" s="9" t="s">
        <v>1158</v>
      </c>
      <c r="N155" s="9" t="s">
        <v>1159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0" t="s">
        <v>1160</v>
      </c>
      <c r="B156" s="11" t="s">
        <v>1161</v>
      </c>
      <c r="C156" s="11" t="s">
        <v>1162</v>
      </c>
      <c r="D156" s="11" t="s">
        <v>17</v>
      </c>
      <c r="E156" s="11" t="s">
        <v>18</v>
      </c>
      <c r="F156" s="11" t="s">
        <v>1163</v>
      </c>
      <c r="G156" s="12">
        <v>1.4240998E7</v>
      </c>
      <c r="H156" s="13"/>
      <c r="I156" s="11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0" t="s">
        <v>1164</v>
      </c>
      <c r="B157" s="11" t="s">
        <v>1165</v>
      </c>
      <c r="C157" s="11" t="s">
        <v>1166</v>
      </c>
      <c r="D157" s="11" t="s">
        <v>17</v>
      </c>
      <c r="E157" s="11" t="s">
        <v>18</v>
      </c>
      <c r="F157" s="11" t="s">
        <v>1167</v>
      </c>
      <c r="G157" s="12">
        <v>1.4144508E7</v>
      </c>
      <c r="H157" s="13"/>
      <c r="I157" s="11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5" t="s">
        <v>1168</v>
      </c>
      <c r="B158" s="6" t="s">
        <v>1169</v>
      </c>
      <c r="C158" s="6" t="s">
        <v>1170</v>
      </c>
      <c r="D158" s="6" t="s">
        <v>17</v>
      </c>
      <c r="E158" s="6" t="s">
        <v>18</v>
      </c>
      <c r="F158" s="6" t="s">
        <v>1171</v>
      </c>
      <c r="G158" s="7">
        <v>1.3941164E7</v>
      </c>
      <c r="H158" s="8" t="str">
        <f>HYPERLINK("http://familymattersdc.org/","http://familymattersdc.org/")</f>
        <v>http://familymattersdc.org/</v>
      </c>
      <c r="I158" s="6" t="s">
        <v>20</v>
      </c>
      <c r="J158" s="9" t="s">
        <v>21</v>
      </c>
      <c r="K158" s="9" t="s">
        <v>1172</v>
      </c>
      <c r="L158" s="9" t="s">
        <v>1173</v>
      </c>
      <c r="M158" s="9" t="s">
        <v>1174</v>
      </c>
      <c r="N158" s="9" t="s">
        <v>1175</v>
      </c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0" t="s">
        <v>1176</v>
      </c>
      <c r="B159" s="11" t="s">
        <v>1177</v>
      </c>
      <c r="C159" s="11" t="s">
        <v>1178</v>
      </c>
      <c r="D159" s="11" t="s">
        <v>17</v>
      </c>
      <c r="E159" s="11" t="s">
        <v>18</v>
      </c>
      <c r="F159" s="11" t="s">
        <v>1179</v>
      </c>
      <c r="G159" s="12">
        <v>1.3825209E7</v>
      </c>
      <c r="H159" s="13"/>
      <c r="I159" s="11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5" t="s">
        <v>1180</v>
      </c>
      <c r="B160" s="6" t="s">
        <v>1181</v>
      </c>
      <c r="C160" s="6" t="s">
        <v>1182</v>
      </c>
      <c r="D160" s="6" t="s">
        <v>17</v>
      </c>
      <c r="E160" s="6" t="s">
        <v>18</v>
      </c>
      <c r="F160" s="6" t="s">
        <v>1183</v>
      </c>
      <c r="G160" s="7">
        <v>1.3772976E7</v>
      </c>
      <c r="H160" s="8" t="str">
        <f>HYPERLINK("http://www.prb.org/","http://www.prb.org/")</f>
        <v>http://www.prb.org/</v>
      </c>
      <c r="I160" s="6" t="s">
        <v>20</v>
      </c>
      <c r="J160" s="9" t="s">
        <v>1184</v>
      </c>
      <c r="K160" s="9" t="s">
        <v>202</v>
      </c>
      <c r="L160" s="9" t="s">
        <v>1185</v>
      </c>
      <c r="M160" s="9" t="s">
        <v>1186</v>
      </c>
      <c r="N160" s="9" t="s">
        <v>1187</v>
      </c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 t="s">
        <v>1188</v>
      </c>
      <c r="B161" s="6" t="s">
        <v>1189</v>
      </c>
      <c r="C161" s="6" t="s">
        <v>1190</v>
      </c>
      <c r="D161" s="6" t="s">
        <v>17</v>
      </c>
      <c r="E161" s="6" t="s">
        <v>18</v>
      </c>
      <c r="F161" s="6" t="s">
        <v>1191</v>
      </c>
      <c r="G161" s="7">
        <v>1.3677955E7</v>
      </c>
      <c r="H161" s="8" t="str">
        <f>HYPERLINK("http://www.apiasf.org/index.html","http://www.apiasf.org/index.html")</f>
        <v>http://www.apiasf.org/index.html</v>
      </c>
      <c r="I161" s="6" t="s">
        <v>20</v>
      </c>
      <c r="J161" s="9" t="s">
        <v>1192</v>
      </c>
      <c r="K161" s="9" t="s">
        <v>1193</v>
      </c>
      <c r="L161" s="9" t="s">
        <v>1194</v>
      </c>
      <c r="M161" s="9" t="s">
        <v>1195</v>
      </c>
      <c r="N161" s="9" t="s">
        <v>1196</v>
      </c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 t="s">
        <v>1197</v>
      </c>
      <c r="B162" s="6" t="s">
        <v>1198</v>
      </c>
      <c r="C162" s="6" t="s">
        <v>1199</v>
      </c>
      <c r="D162" s="6" t="s">
        <v>17</v>
      </c>
      <c r="E162" s="6" t="s">
        <v>18</v>
      </c>
      <c r="F162" s="6" t="s">
        <v>1200</v>
      </c>
      <c r="G162" s="7">
        <v>1.334164E7</v>
      </c>
      <c r="H162" s="8" t="str">
        <f>HYPERLINK("http://www.nwlc.org/","http://www.nwlc.org/")</f>
        <v>http://www.nwlc.org/</v>
      </c>
      <c r="I162" s="6" t="s">
        <v>20</v>
      </c>
      <c r="J162" s="9" t="s">
        <v>1201</v>
      </c>
      <c r="K162" s="9" t="s">
        <v>1202</v>
      </c>
      <c r="L162" s="9" t="s">
        <v>1203</v>
      </c>
      <c r="M162" s="9" t="s">
        <v>1204</v>
      </c>
      <c r="N162" s="9" t="s">
        <v>1205</v>
      </c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1206</v>
      </c>
      <c r="B163" s="11" t="s">
        <v>1207</v>
      </c>
      <c r="C163" s="11" t="s">
        <v>1208</v>
      </c>
      <c r="D163" s="11" t="s">
        <v>17</v>
      </c>
      <c r="E163" s="11" t="s">
        <v>18</v>
      </c>
      <c r="F163" s="11" t="s">
        <v>1209</v>
      </c>
      <c r="G163" s="12">
        <v>1.3271007E7</v>
      </c>
      <c r="H163" s="13"/>
      <c r="I163" s="11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5" t="s">
        <v>1210</v>
      </c>
      <c r="B164" s="6" t="s">
        <v>1211</v>
      </c>
      <c r="C164" s="6" t="s">
        <v>1212</v>
      </c>
      <c r="D164" s="6" t="s">
        <v>17</v>
      </c>
      <c r="E164" s="6" t="s">
        <v>18</v>
      </c>
      <c r="F164" s="6" t="s">
        <v>1213</v>
      </c>
      <c r="G164" s="7">
        <v>1.3139123E7</v>
      </c>
      <c r="H164" s="8" t="str">
        <f>HYPERLINK("http://www.layc-dc.org/","http://www.layc-dc.org/")</f>
        <v>http://www.layc-dc.org/</v>
      </c>
      <c r="I164" s="6" t="s">
        <v>20</v>
      </c>
      <c r="J164" s="9" t="s">
        <v>21</v>
      </c>
      <c r="K164" s="9" t="s">
        <v>1214</v>
      </c>
      <c r="L164" s="9" t="s">
        <v>1215</v>
      </c>
      <c r="M164" s="9" t="s">
        <v>1216</v>
      </c>
      <c r="N164" s="9" t="s">
        <v>1217</v>
      </c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 t="s">
        <v>1218</v>
      </c>
      <c r="B165" s="6" t="s">
        <v>1219</v>
      </c>
      <c r="C165" s="6" t="s">
        <v>1220</v>
      </c>
      <c r="D165" s="6" t="s">
        <v>17</v>
      </c>
      <c r="E165" s="6" t="s">
        <v>18</v>
      </c>
      <c r="F165" s="6" t="s">
        <v>324</v>
      </c>
      <c r="G165" s="7">
        <v>1.3136798E7</v>
      </c>
      <c r="H165" s="8" t="str">
        <f>HYPERLINK("http://www.americanrivers.org/","http://www.americanrivers.org/")</f>
        <v>http://www.americanrivers.org/</v>
      </c>
      <c r="I165" s="6" t="s">
        <v>20</v>
      </c>
      <c r="J165" s="9" t="s">
        <v>1221</v>
      </c>
      <c r="K165" s="9" t="s">
        <v>1222</v>
      </c>
      <c r="L165" s="9" t="s">
        <v>1223</v>
      </c>
      <c r="M165" s="9" t="s">
        <v>1224</v>
      </c>
      <c r="N165" s="9" t="s">
        <v>1225</v>
      </c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 t="s">
        <v>1226</v>
      </c>
      <c r="B166" s="6" t="s">
        <v>1227</v>
      </c>
      <c r="C166" s="6" t="s">
        <v>1228</v>
      </c>
      <c r="D166" s="6" t="s">
        <v>17</v>
      </c>
      <c r="E166" s="6" t="s">
        <v>18</v>
      </c>
      <c r="F166" s="6" t="s">
        <v>1229</v>
      </c>
      <c r="G166" s="7">
        <v>1.2668817E7</v>
      </c>
      <c r="H166" s="8" t="str">
        <f>HYPERLINK("http://www.icrw.org/","http://www.icrw.org/")</f>
        <v>http://www.icrw.org/</v>
      </c>
      <c r="I166" s="6" t="s">
        <v>20</v>
      </c>
      <c r="J166" s="9" t="s">
        <v>1230</v>
      </c>
      <c r="K166" s="9" t="s">
        <v>1231</v>
      </c>
      <c r="L166" s="9" t="s">
        <v>1232</v>
      </c>
      <c r="M166" s="9" t="s">
        <v>1233</v>
      </c>
      <c r="N166" s="9" t="s">
        <v>1234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0" t="s">
        <v>1235</v>
      </c>
      <c r="B167" s="11" t="s">
        <v>1236</v>
      </c>
      <c r="C167" s="11" t="s">
        <v>1237</v>
      </c>
      <c r="D167" s="11" t="s">
        <v>17</v>
      </c>
      <c r="E167" s="11" t="s">
        <v>18</v>
      </c>
      <c r="F167" s="11" t="s">
        <v>1238</v>
      </c>
      <c r="G167" s="12">
        <v>1.2603299E7</v>
      </c>
      <c r="H167" s="13"/>
      <c r="I167" s="11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5" t="s">
        <v>1239</v>
      </c>
      <c r="B168" s="6" t="s">
        <v>1240</v>
      </c>
      <c r="C168" s="6" t="s">
        <v>1241</v>
      </c>
      <c r="D168" s="6" t="s">
        <v>17</v>
      </c>
      <c r="E168" s="6" t="s">
        <v>18</v>
      </c>
      <c r="F168" s="6" t="s">
        <v>1242</v>
      </c>
      <c r="G168" s="7">
        <v>1.2374143E7</v>
      </c>
      <c r="H168" s="8" t="str">
        <f>HYPERLINK("http://rebuildingtogether.org/","http://rebuildingtogether.org/")</f>
        <v>http://rebuildingtogether.org/</v>
      </c>
      <c r="I168" s="6" t="s">
        <v>20</v>
      </c>
      <c r="J168" s="9" t="s">
        <v>1243</v>
      </c>
      <c r="K168" s="9" t="s">
        <v>1244</v>
      </c>
      <c r="L168" s="9" t="s">
        <v>1245</v>
      </c>
      <c r="M168" s="9" t="s">
        <v>1246</v>
      </c>
      <c r="N168" s="9" t="s">
        <v>1247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 t="s">
        <v>1248</v>
      </c>
      <c r="B169" s="6" t="s">
        <v>1249</v>
      </c>
      <c r="C169" s="6" t="s">
        <v>1250</v>
      </c>
      <c r="D169" s="6" t="s">
        <v>17</v>
      </c>
      <c r="E169" s="6" t="s">
        <v>18</v>
      </c>
      <c r="F169" s="6" t="s">
        <v>1251</v>
      </c>
      <c r="G169" s="7">
        <v>1.2339947E7</v>
      </c>
      <c r="H169" s="8" t="str">
        <f>HYPERLINK("http://vegaalliance.org/","http://vegaalliance.org/")</f>
        <v>http://vegaalliance.org/</v>
      </c>
      <c r="I169" s="6" t="s">
        <v>20</v>
      </c>
      <c r="J169" s="9" t="s">
        <v>1252</v>
      </c>
      <c r="K169" s="9" t="s">
        <v>1253</v>
      </c>
      <c r="L169" s="9" t="s">
        <v>1254</v>
      </c>
      <c r="M169" s="9" t="s">
        <v>1255</v>
      </c>
      <c r="N169" s="9" t="s">
        <v>1256</v>
      </c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 t="s">
        <v>1257</v>
      </c>
      <c r="B170" s="6" t="s">
        <v>1258</v>
      </c>
      <c r="C170" s="6" t="s">
        <v>1259</v>
      </c>
      <c r="D170" s="6" t="s">
        <v>17</v>
      </c>
      <c r="E170" s="6" t="s">
        <v>18</v>
      </c>
      <c r="F170" s="6" t="s">
        <v>1260</v>
      </c>
      <c r="G170" s="7">
        <v>1.2182178E7</v>
      </c>
      <c r="H170" s="8" t="str">
        <f>HYPERLINK("http://aas.org/","http://aas.org/")</f>
        <v>http://aas.org/</v>
      </c>
      <c r="I170" s="6" t="s">
        <v>20</v>
      </c>
      <c r="J170" s="9" t="s">
        <v>1261</v>
      </c>
      <c r="K170" s="9" t="s">
        <v>1262</v>
      </c>
      <c r="L170" s="9" t="s">
        <v>1263</v>
      </c>
      <c r="M170" s="9" t="s">
        <v>1264</v>
      </c>
      <c r="N170" s="9" t="s">
        <v>1265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 t="s">
        <v>1266</v>
      </c>
      <c r="B171" s="6" t="s">
        <v>1267</v>
      </c>
      <c r="C171" s="6" t="s">
        <v>1268</v>
      </c>
      <c r="D171" s="6" t="s">
        <v>17</v>
      </c>
      <c r="E171" s="6" t="s">
        <v>18</v>
      </c>
      <c r="F171" s="6" t="s">
        <v>1269</v>
      </c>
      <c r="G171" s="7">
        <v>1.2030589E7</v>
      </c>
      <c r="H171" s="8" t="str">
        <f>HYPERLINK("http://www.ase.org/","http://www.ase.org/")</f>
        <v>http://www.ase.org/</v>
      </c>
      <c r="I171" s="6" t="s">
        <v>20</v>
      </c>
      <c r="J171" s="9" t="s">
        <v>1270</v>
      </c>
      <c r="K171" s="9" t="s">
        <v>1271</v>
      </c>
      <c r="L171" s="9" t="s">
        <v>1272</v>
      </c>
      <c r="M171" s="9" t="s">
        <v>1273</v>
      </c>
      <c r="N171" s="9" t="s">
        <v>1274</v>
      </c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 t="s">
        <v>1275</v>
      </c>
      <c r="B172" s="6" t="s">
        <v>1276</v>
      </c>
      <c r="C172" s="6" t="s">
        <v>1277</v>
      </c>
      <c r="D172" s="6" t="s">
        <v>17</v>
      </c>
      <c r="E172" s="6" t="s">
        <v>18</v>
      </c>
      <c r="F172" s="6" t="s">
        <v>1278</v>
      </c>
      <c r="G172" s="7">
        <v>1.199549E7</v>
      </c>
      <c r="H172" s="8" t="str">
        <f>HYPERLINK("https://www.independentsector.org/","https://www.independentsector.org/")</f>
        <v>https://www.independentsector.org/</v>
      </c>
      <c r="I172" s="6" t="s">
        <v>20</v>
      </c>
      <c r="J172" s="9" t="s">
        <v>1279</v>
      </c>
      <c r="K172" s="9" t="s">
        <v>194</v>
      </c>
      <c r="L172" s="9" t="s">
        <v>1280</v>
      </c>
      <c r="M172" s="9" t="s">
        <v>1281</v>
      </c>
      <c r="N172" s="9" t="s">
        <v>1282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 t="s">
        <v>1283</v>
      </c>
      <c r="B173" s="6" t="s">
        <v>1284</v>
      </c>
      <c r="C173" s="6" t="s">
        <v>1285</v>
      </c>
      <c r="D173" s="6" t="s">
        <v>17</v>
      </c>
      <c r="E173" s="6" t="s">
        <v>18</v>
      </c>
      <c r="F173" s="6" t="s">
        <v>1286</v>
      </c>
      <c r="G173" s="7">
        <v>1.1763478E7</v>
      </c>
      <c r="H173" s="8" t="str">
        <f>HYPERLINK("http://www.diabeteswellness.net/","http://www.diabeteswellness.net/")</f>
        <v>http://www.diabeteswellness.net/</v>
      </c>
      <c r="I173" s="6" t="s">
        <v>20</v>
      </c>
      <c r="J173" s="9" t="s">
        <v>1287</v>
      </c>
      <c r="K173" s="9" t="s">
        <v>1288</v>
      </c>
      <c r="L173" s="9" t="s">
        <v>1289</v>
      </c>
      <c r="M173" s="9" t="s">
        <v>1290</v>
      </c>
      <c r="N173" s="9" t="s">
        <v>1291</v>
      </c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 t="s">
        <v>1292</v>
      </c>
      <c r="B174" s="6" t="s">
        <v>1293</v>
      </c>
      <c r="C174" s="6" t="s">
        <v>1294</v>
      </c>
      <c r="D174" s="6" t="s">
        <v>17</v>
      </c>
      <c r="E174" s="6" t="s">
        <v>18</v>
      </c>
      <c r="F174" s="6" t="s">
        <v>1295</v>
      </c>
      <c r="G174" s="7">
        <v>1.1742281E7</v>
      </c>
      <c r="H174" s="8" t="str">
        <f>HYPERLINK("http://nmwa.org/","http://nmwa.org/")</f>
        <v>http://nmwa.org/</v>
      </c>
      <c r="I174" s="6" t="s">
        <v>20</v>
      </c>
      <c r="J174" s="9" t="s">
        <v>1296</v>
      </c>
      <c r="K174" s="9" t="s">
        <v>1297</v>
      </c>
      <c r="L174" s="9" t="s">
        <v>1298</v>
      </c>
      <c r="M174" s="9" t="s">
        <v>1299</v>
      </c>
      <c r="N174" s="9" t="s">
        <v>1300</v>
      </c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 t="s">
        <v>1301</v>
      </c>
      <c r="B175" s="6" t="s">
        <v>1302</v>
      </c>
      <c r="C175" s="6" t="s">
        <v>1303</v>
      </c>
      <c r="D175" s="6" t="s">
        <v>17</v>
      </c>
      <c r="E175" s="6" t="s">
        <v>18</v>
      </c>
      <c r="F175" s="6" t="s">
        <v>1304</v>
      </c>
      <c r="G175" s="7">
        <v>1.1689212E7</v>
      </c>
      <c r="H175" s="8" t="str">
        <f>HYPERLINK("http://www.greenpeacefund.org/","http://www.greenpeacefund.org/")</f>
        <v>http://www.greenpeacefund.org/</v>
      </c>
      <c r="I175" s="6" t="s">
        <v>20</v>
      </c>
      <c r="J175" s="9" t="s">
        <v>1287</v>
      </c>
      <c r="K175" s="9" t="s">
        <v>1305</v>
      </c>
      <c r="L175" s="9" t="s">
        <v>1306</v>
      </c>
      <c r="M175" s="9"/>
      <c r="N175" s="9" t="s">
        <v>1307</v>
      </c>
      <c r="O175" s="9" t="s">
        <v>25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 t="s">
        <v>1308</v>
      </c>
      <c r="B176" s="6" t="s">
        <v>1309</v>
      </c>
      <c r="C176" s="6" t="s">
        <v>1310</v>
      </c>
      <c r="D176" s="6" t="s">
        <v>17</v>
      </c>
      <c r="E176" s="6" t="s">
        <v>18</v>
      </c>
      <c r="F176" s="6" t="s">
        <v>1311</v>
      </c>
      <c r="G176" s="7">
        <v>1.1617557E7</v>
      </c>
      <c r="H176" s="8" t="str">
        <f>HYPERLINK("http://www.pfaw.org/","http://www.pfaw.org/")</f>
        <v>http://www.pfaw.org/</v>
      </c>
      <c r="I176" s="6" t="s">
        <v>20</v>
      </c>
      <c r="J176" s="9" t="s">
        <v>282</v>
      </c>
      <c r="K176" s="9" t="s">
        <v>1185</v>
      </c>
      <c r="L176" s="9" t="s">
        <v>1312</v>
      </c>
      <c r="M176" s="9" t="s">
        <v>1313</v>
      </c>
      <c r="N176" s="9" t="s">
        <v>1314</v>
      </c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 t="s">
        <v>1315</v>
      </c>
      <c r="B177" s="6" t="s">
        <v>1316</v>
      </c>
      <c r="C177" s="6" t="s">
        <v>1317</v>
      </c>
      <c r="D177" s="6" t="s">
        <v>17</v>
      </c>
      <c r="E177" s="6" t="s">
        <v>18</v>
      </c>
      <c r="F177" s="6" t="s">
        <v>1318</v>
      </c>
      <c r="G177" s="7">
        <v>1.1606192E7</v>
      </c>
      <c r="H177" s="8" t="str">
        <f>HYPERLINK("http://www.aacap.org/","http://www.aacap.org/")</f>
        <v>http://www.aacap.org/</v>
      </c>
      <c r="I177" s="6" t="s">
        <v>20</v>
      </c>
      <c r="J177" s="9" t="s">
        <v>1319</v>
      </c>
      <c r="K177" s="9" t="s">
        <v>1320</v>
      </c>
      <c r="L177" s="9" t="s">
        <v>1321</v>
      </c>
      <c r="M177" s="9" t="s">
        <v>1322</v>
      </c>
      <c r="N177" s="9" t="s">
        <v>1323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 t="s">
        <v>1324</v>
      </c>
      <c r="B178" s="6" t="s">
        <v>1325</v>
      </c>
      <c r="C178" s="6" t="s">
        <v>1326</v>
      </c>
      <c r="D178" s="6" t="s">
        <v>17</v>
      </c>
      <c r="E178" s="6" t="s">
        <v>18</v>
      </c>
      <c r="F178" s="6" t="s">
        <v>1327</v>
      </c>
      <c r="G178" s="7">
        <v>1.1587679E7</v>
      </c>
      <c r="H178" s="8" t="str">
        <f>HYPERLINK("http://www.fordstheatre.org/","http://www.fordstheatre.org/")</f>
        <v>http://www.fordstheatre.org/</v>
      </c>
      <c r="I178" s="6" t="s">
        <v>20</v>
      </c>
      <c r="J178" s="9" t="s">
        <v>456</v>
      </c>
      <c r="K178" s="9" t="s">
        <v>787</v>
      </c>
      <c r="L178" s="9" t="s">
        <v>1328</v>
      </c>
      <c r="M178" s="9" t="s">
        <v>1329</v>
      </c>
      <c r="N178" s="9" t="s">
        <v>1330</v>
      </c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 t="s">
        <v>1331</v>
      </c>
      <c r="B179" s="6" t="s">
        <v>1332</v>
      </c>
      <c r="C179" s="6" t="s">
        <v>1333</v>
      </c>
      <c r="D179" s="6" t="s">
        <v>17</v>
      </c>
      <c r="E179" s="6" t="s">
        <v>18</v>
      </c>
      <c r="F179" s="6" t="s">
        <v>1334</v>
      </c>
      <c r="G179" s="7">
        <v>1.1497597E7</v>
      </c>
      <c r="H179" s="8" t="str">
        <f>HYPERLINK("http://foodandwaterwatch.org/","http://foodandwaterwatch.org/")</f>
        <v>http://foodandwaterwatch.org/</v>
      </c>
      <c r="I179" s="6" t="s">
        <v>20</v>
      </c>
      <c r="J179" s="9" t="s">
        <v>456</v>
      </c>
      <c r="K179" s="9" t="s">
        <v>1335</v>
      </c>
      <c r="L179" s="9" t="s">
        <v>1336</v>
      </c>
      <c r="M179" s="9" t="s">
        <v>1337</v>
      </c>
      <c r="N179" s="9" t="s">
        <v>1338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 t="s">
        <v>1339</v>
      </c>
      <c r="B180" s="6" t="s">
        <v>1340</v>
      </c>
      <c r="C180" s="6" t="s">
        <v>1341</v>
      </c>
      <c r="D180" s="6" t="s">
        <v>17</v>
      </c>
      <c r="E180" s="6" t="s">
        <v>18</v>
      </c>
      <c r="F180" s="6" t="s">
        <v>1342</v>
      </c>
      <c r="G180" s="7">
        <v>1.1428039E7</v>
      </c>
      <c r="H180" s="8" t="str">
        <f>HYPERLINK("http://www.niaf.org/","http://www.niaf.org/")</f>
        <v>http://www.niaf.org/</v>
      </c>
      <c r="I180" s="6" t="s">
        <v>20</v>
      </c>
      <c r="J180" s="9" t="s">
        <v>1343</v>
      </c>
      <c r="K180" s="9" t="s">
        <v>465</v>
      </c>
      <c r="L180" s="9" t="s">
        <v>1344</v>
      </c>
      <c r="M180" s="9" t="s">
        <v>1345</v>
      </c>
      <c r="N180" s="9" t="s">
        <v>1346</v>
      </c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 t="s">
        <v>1347</v>
      </c>
      <c r="B181" s="6" t="s">
        <v>1348</v>
      </c>
      <c r="C181" s="6" t="s">
        <v>1349</v>
      </c>
      <c r="D181" s="6" t="s">
        <v>17</v>
      </c>
      <c r="E181" s="6" t="s">
        <v>18</v>
      </c>
      <c r="F181" s="6" t="s">
        <v>1350</v>
      </c>
      <c r="G181" s="7">
        <v>1.131543E7</v>
      </c>
      <c r="H181" s="8" t="str">
        <f>HYPERLINK("http://www.dccentralkitchen.org/","http://www.dccentralkitchen.org/")</f>
        <v>http://www.dccentralkitchen.org/</v>
      </c>
      <c r="I181" s="6" t="s">
        <v>20</v>
      </c>
      <c r="J181" s="9" t="s">
        <v>21</v>
      </c>
      <c r="K181" s="9" t="s">
        <v>1351</v>
      </c>
      <c r="L181" s="9" t="s">
        <v>1352</v>
      </c>
      <c r="M181" s="9" t="s">
        <v>1353</v>
      </c>
      <c r="N181" s="9" t="s">
        <v>1354</v>
      </c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 t="s">
        <v>1355</v>
      </c>
      <c r="B182" s="6" t="s">
        <v>1356</v>
      </c>
      <c r="C182" s="6" t="s">
        <v>1357</v>
      </c>
      <c r="D182" s="6" t="s">
        <v>17</v>
      </c>
      <c r="E182" s="6" t="s">
        <v>18</v>
      </c>
      <c r="F182" s="6" t="s">
        <v>1358</v>
      </c>
      <c r="G182" s="7">
        <v>1.1104265E7</v>
      </c>
      <c r="H182" s="8" t="str">
        <f>HYPERLINK("http://www.aam-us.org/home","http://www.aam-us.org/home")</f>
        <v>http://www.aam-us.org/home</v>
      </c>
      <c r="I182" s="6" t="s">
        <v>20</v>
      </c>
      <c r="J182" s="9" t="s">
        <v>30</v>
      </c>
      <c r="K182" s="9" t="s">
        <v>779</v>
      </c>
      <c r="L182" s="9" t="s">
        <v>1359</v>
      </c>
      <c r="M182" s="9" t="s">
        <v>1360</v>
      </c>
      <c r="N182" s="9" t="s">
        <v>1361</v>
      </c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 t="s">
        <v>1362</v>
      </c>
      <c r="B183" s="6" t="s">
        <v>1363</v>
      </c>
      <c r="C183" s="6" t="s">
        <v>1364</v>
      </c>
      <c r="D183" s="6" t="s">
        <v>17</v>
      </c>
      <c r="E183" s="6" t="s">
        <v>18</v>
      </c>
      <c r="F183" s="6" t="s">
        <v>1365</v>
      </c>
      <c r="G183" s="7">
        <v>1.1071755E7</v>
      </c>
      <c r="H183" s="8" t="str">
        <f>HYPERLINK("http://www.communitychange.org/","http://www.communitychange.org/")</f>
        <v>http://www.communitychange.org/</v>
      </c>
      <c r="I183" s="6" t="s">
        <v>20</v>
      </c>
      <c r="J183" s="9" t="s">
        <v>1366</v>
      </c>
      <c r="K183" s="9" t="s">
        <v>1367</v>
      </c>
      <c r="L183" s="9" t="s">
        <v>1368</v>
      </c>
      <c r="M183" s="9" t="s">
        <v>1369</v>
      </c>
      <c r="N183" s="9" t="s">
        <v>1370</v>
      </c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 t="s">
        <v>1371</v>
      </c>
      <c r="B184" s="6" t="s">
        <v>1372</v>
      </c>
      <c r="C184" s="6" t="s">
        <v>1373</v>
      </c>
      <c r="D184" s="6" t="s">
        <v>17</v>
      </c>
      <c r="E184" s="6" t="s">
        <v>18</v>
      </c>
      <c r="F184" s="6" t="s">
        <v>1374</v>
      </c>
      <c r="G184" s="7">
        <v>1.1011932E7</v>
      </c>
      <c r="H184" s="8" t="str">
        <f>HYPERLINK("http://www.usmexicofound.org/","http://www.usmexicofound.org/")</f>
        <v>http://www.usmexicofound.org/</v>
      </c>
      <c r="I184" s="6" t="s">
        <v>20</v>
      </c>
      <c r="J184" s="9" t="s">
        <v>1375</v>
      </c>
      <c r="K184" s="9" t="s">
        <v>1305</v>
      </c>
      <c r="L184" s="9" t="s">
        <v>1376</v>
      </c>
      <c r="M184" s="9" t="s">
        <v>1377</v>
      </c>
      <c r="N184" s="9" t="s">
        <v>1378</v>
      </c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 t="s">
        <v>1379</v>
      </c>
      <c r="B185" s="6" t="s">
        <v>1380</v>
      </c>
      <c r="C185" s="6" t="s">
        <v>1381</v>
      </c>
      <c r="D185" s="6" t="s">
        <v>17</v>
      </c>
      <c r="E185" s="6" t="s">
        <v>18</v>
      </c>
      <c r="F185" s="6" t="s">
        <v>1382</v>
      </c>
      <c r="G185" s="7">
        <v>1.0935498E7</v>
      </c>
      <c r="H185" s="8" t="str">
        <f>HYPERLINK("http://www.partners.net/partners/default.asp","http://www.partners.net/partners/default.asp")</f>
        <v>http://www.partners.net/partners/default.asp</v>
      </c>
      <c r="I185" s="6" t="s">
        <v>20</v>
      </c>
      <c r="J185" s="9" t="s">
        <v>1383</v>
      </c>
      <c r="K185" s="9" t="s">
        <v>1384</v>
      </c>
      <c r="L185" s="9" t="s">
        <v>1385</v>
      </c>
      <c r="M185" s="9" t="s">
        <v>1386</v>
      </c>
      <c r="N185" s="9" t="s">
        <v>1387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 t="s">
        <v>1388</v>
      </c>
      <c r="B186" s="6" t="s">
        <v>1389</v>
      </c>
      <c r="C186" s="6" t="s">
        <v>1390</v>
      </c>
      <c r="D186" s="6" t="s">
        <v>17</v>
      </c>
      <c r="E186" s="6" t="s">
        <v>18</v>
      </c>
      <c r="F186" s="6" t="s">
        <v>1391</v>
      </c>
      <c r="G186" s="7">
        <v>1.0889191E7</v>
      </c>
      <c r="H186" s="8" t="str">
        <f>HYPERLINK("http://www.warl.org/","http://www.warl.org/")</f>
        <v>http://www.warl.org/</v>
      </c>
      <c r="I186" s="6" t="s">
        <v>20</v>
      </c>
      <c r="J186" s="9"/>
      <c r="K186" s="9"/>
      <c r="L186" s="9"/>
      <c r="M186" s="9" t="s">
        <v>1392</v>
      </c>
      <c r="N186" s="9" t="s">
        <v>1393</v>
      </c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 t="s">
        <v>1394</v>
      </c>
      <c r="B187" s="6" t="s">
        <v>1395</v>
      </c>
      <c r="C187" s="6" t="s">
        <v>1396</v>
      </c>
      <c r="D187" s="6" t="s">
        <v>17</v>
      </c>
      <c r="E187" s="6" t="s">
        <v>18</v>
      </c>
      <c r="F187" s="6" t="s">
        <v>1397</v>
      </c>
      <c r="G187" s="7">
        <v>1.0843572E7</v>
      </c>
      <c r="H187" s="8" t="str">
        <f>HYPERLINK("http://www.lupus.org/","http://www.lupus.org/")</f>
        <v>http://www.lupus.org/</v>
      </c>
      <c r="I187" s="6" t="s">
        <v>20</v>
      </c>
      <c r="J187" s="9" t="s">
        <v>1398</v>
      </c>
      <c r="K187" s="9" t="s">
        <v>1399</v>
      </c>
      <c r="L187" s="9" t="s">
        <v>1400</v>
      </c>
      <c r="M187" s="9" t="s">
        <v>1401</v>
      </c>
      <c r="N187" s="9" t="s">
        <v>1402</v>
      </c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 t="s">
        <v>1403</v>
      </c>
      <c r="B188" s="6" t="s">
        <v>1404</v>
      </c>
      <c r="C188" s="6" t="s">
        <v>1405</v>
      </c>
      <c r="D188" s="6" t="s">
        <v>17</v>
      </c>
      <c r="E188" s="6" t="s">
        <v>18</v>
      </c>
      <c r="F188" s="6" t="s">
        <v>1406</v>
      </c>
      <c r="G188" s="7">
        <v>1.0795691E7</v>
      </c>
      <c r="H188" s="8" t="str">
        <f>HYPERLINK("http://www.greendoor.org/","http://www.greendoor.org/")</f>
        <v>http://www.greendoor.org/</v>
      </c>
      <c r="I188" s="6" t="s">
        <v>20</v>
      </c>
      <c r="J188" s="9" t="s">
        <v>21</v>
      </c>
      <c r="K188" s="9" t="s">
        <v>1407</v>
      </c>
      <c r="L188" s="9" t="s">
        <v>1408</v>
      </c>
      <c r="M188" s="9" t="s">
        <v>1409</v>
      </c>
      <c r="N188" s="9" t="s">
        <v>1410</v>
      </c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 t="s">
        <v>1411</v>
      </c>
      <c r="B189" s="6" t="s">
        <v>1412</v>
      </c>
      <c r="C189" s="6" t="s">
        <v>736</v>
      </c>
      <c r="D189" s="6" t="s">
        <v>17</v>
      </c>
      <c r="E189" s="6" t="s">
        <v>18</v>
      </c>
      <c r="F189" s="6" t="s">
        <v>737</v>
      </c>
      <c r="G189" s="7">
        <v>1.0713034E7</v>
      </c>
      <c r="H189" s="8" t="str">
        <f>HYPERLINK("http://www.nccinc.org/","http://www.nccinc.org/")</f>
        <v>http://www.nccinc.org/</v>
      </c>
      <c r="I189" s="6" t="s">
        <v>20</v>
      </c>
      <c r="J189" s="9" t="s">
        <v>738</v>
      </c>
      <c r="K189" s="9" t="s">
        <v>739</v>
      </c>
      <c r="L189" s="9" t="s">
        <v>740</v>
      </c>
      <c r="M189" s="9"/>
      <c r="N189" s="9" t="s">
        <v>741</v>
      </c>
      <c r="O189" s="9" t="s">
        <v>25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 t="s">
        <v>1413</v>
      </c>
      <c r="B190" s="6" t="s">
        <v>1414</v>
      </c>
      <c r="C190" s="6" t="s">
        <v>1415</v>
      </c>
      <c r="D190" s="6" t="s">
        <v>17</v>
      </c>
      <c r="E190" s="6" t="s">
        <v>18</v>
      </c>
      <c r="F190" s="6" t="s">
        <v>1416</v>
      </c>
      <c r="G190" s="7">
        <v>1.0631079E7</v>
      </c>
      <c r="H190" s="8" t="str">
        <f>HYPERLINK("http://www.hrc.org/","http://www.hrc.org/")</f>
        <v>http://www.hrc.org/</v>
      </c>
      <c r="I190" s="6" t="s">
        <v>20</v>
      </c>
      <c r="J190" s="9" t="s">
        <v>1417</v>
      </c>
      <c r="K190" s="9" t="s">
        <v>1418</v>
      </c>
      <c r="L190" s="9" t="s">
        <v>1419</v>
      </c>
      <c r="M190" s="9" t="s">
        <v>1420</v>
      </c>
      <c r="N190" s="9" t="s">
        <v>1421</v>
      </c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 t="s">
        <v>1422</v>
      </c>
      <c r="B191" s="6" t="s">
        <v>1423</v>
      </c>
      <c r="C191" s="6" t="s">
        <v>1424</v>
      </c>
      <c r="D191" s="6" t="s">
        <v>17</v>
      </c>
      <c r="E191" s="6" t="s">
        <v>18</v>
      </c>
      <c r="F191" s="6" t="s">
        <v>1425</v>
      </c>
      <c r="G191" s="7">
        <v>1.0544829E7</v>
      </c>
      <c r="H191" s="8" t="str">
        <f>HYPERLINK("http://www.laogai.org/","http://www.laogai.org/")</f>
        <v>http://www.laogai.org/</v>
      </c>
      <c r="I191" s="6" t="s">
        <v>20</v>
      </c>
      <c r="J191" s="9" t="s">
        <v>1426</v>
      </c>
      <c r="K191" s="9" t="s">
        <v>1427</v>
      </c>
      <c r="L191" s="9" t="s">
        <v>1428</v>
      </c>
      <c r="M191" s="9" t="s">
        <v>1429</v>
      </c>
      <c r="N191" s="9" t="s">
        <v>1430</v>
      </c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 t="s">
        <v>1431</v>
      </c>
      <c r="B192" s="6" t="s">
        <v>1432</v>
      </c>
      <c r="C192" s="6" t="s">
        <v>1433</v>
      </c>
      <c r="D192" s="6" t="s">
        <v>17</v>
      </c>
      <c r="E192" s="6" t="s">
        <v>18</v>
      </c>
      <c r="F192" s="6" t="s">
        <v>1434</v>
      </c>
      <c r="G192" s="7">
        <v>1.0504329E7</v>
      </c>
      <c r="H192" s="8" t="str">
        <f>HYPERLINK("http://www.bgcgw.org/","http://www.bgcgw.org/")</f>
        <v>http://www.bgcgw.org/</v>
      </c>
      <c r="I192" s="6" t="s">
        <v>20</v>
      </c>
      <c r="J192" s="9" t="s">
        <v>21</v>
      </c>
      <c r="K192" s="9" t="s">
        <v>691</v>
      </c>
      <c r="L192" s="9" t="s">
        <v>1435</v>
      </c>
      <c r="M192" s="9" t="s">
        <v>1436</v>
      </c>
      <c r="N192" s="9" t="s">
        <v>1437</v>
      </c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 t="s">
        <v>1438</v>
      </c>
      <c r="B193" s="6" t="s">
        <v>1439</v>
      </c>
      <c r="C193" s="6" t="s">
        <v>1440</v>
      </c>
      <c r="D193" s="6" t="s">
        <v>17</v>
      </c>
      <c r="E193" s="6" t="s">
        <v>18</v>
      </c>
      <c r="F193" s="6" t="s">
        <v>1441</v>
      </c>
      <c r="G193" s="7">
        <v>1.0431922E7</v>
      </c>
      <c r="H193" s="8" t="str">
        <f>HYPERLINK("http://www.icfj.org/","http://www.icfj.org/")</f>
        <v>http://www.icfj.org/</v>
      </c>
      <c r="I193" s="6" t="s">
        <v>20</v>
      </c>
      <c r="J193" s="9" t="s">
        <v>30</v>
      </c>
      <c r="K193" s="9" t="s">
        <v>1442</v>
      </c>
      <c r="L193" s="9" t="s">
        <v>1443</v>
      </c>
      <c r="M193" s="9" t="s">
        <v>1444</v>
      </c>
      <c r="N193" s="9" t="s">
        <v>1445</v>
      </c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 t="s">
        <v>1446</v>
      </c>
      <c r="B194" s="6" t="s">
        <v>1447</v>
      </c>
      <c r="C194" s="6" t="s">
        <v>1448</v>
      </c>
      <c r="D194" s="6" t="s">
        <v>17</v>
      </c>
      <c r="E194" s="6" t="s">
        <v>18</v>
      </c>
      <c r="F194" s="6" t="s">
        <v>1449</v>
      </c>
      <c r="G194" s="7">
        <v>1.0427438E7</v>
      </c>
      <c r="H194" s="8" t="str">
        <f>HYPERLINK("http://www.centronia.org/","http://www.centronia.org/")</f>
        <v>http://www.centronia.org/</v>
      </c>
      <c r="I194" s="6" t="s">
        <v>20</v>
      </c>
      <c r="J194" s="9" t="s">
        <v>1450</v>
      </c>
      <c r="K194" s="9" t="s">
        <v>1451</v>
      </c>
      <c r="L194" s="9" t="s">
        <v>1452</v>
      </c>
      <c r="M194" s="9" t="s">
        <v>1453</v>
      </c>
      <c r="N194" s="9" t="s">
        <v>1454</v>
      </c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 t="s">
        <v>1455</v>
      </c>
      <c r="B195" s="6" t="s">
        <v>1456</v>
      </c>
      <c r="C195" s="6" t="s">
        <v>1457</v>
      </c>
      <c r="D195" s="6" t="s">
        <v>17</v>
      </c>
      <c r="E195" s="6" t="s">
        <v>18</v>
      </c>
      <c r="F195" s="6" t="s">
        <v>1458</v>
      </c>
      <c r="G195" s="7">
        <v>1.0379761E7</v>
      </c>
      <c r="H195" s="8" t="str">
        <f>HYPERLINK("http://communityofhopedc.org/","http://communityofhopedc.org/")</f>
        <v>http://communityofhopedc.org/</v>
      </c>
      <c r="I195" s="6" t="s">
        <v>20</v>
      </c>
      <c r="J195" s="9" t="s">
        <v>1459</v>
      </c>
      <c r="K195" s="9" t="s">
        <v>1460</v>
      </c>
      <c r="L195" s="9" t="s">
        <v>1461</v>
      </c>
      <c r="M195" s="9" t="s">
        <v>1462</v>
      </c>
      <c r="N195" s="9" t="s">
        <v>1463</v>
      </c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0" t="s">
        <v>1464</v>
      </c>
      <c r="B196" s="11" t="s">
        <v>1465</v>
      </c>
      <c r="C196" s="11" t="s">
        <v>1466</v>
      </c>
      <c r="D196" s="11" t="s">
        <v>17</v>
      </c>
      <c r="E196" s="11" t="s">
        <v>18</v>
      </c>
      <c r="F196" s="11" t="s">
        <v>1467</v>
      </c>
      <c r="G196" s="12">
        <v>1.0145603E7</v>
      </c>
      <c r="H196" s="13"/>
      <c r="I196" s="11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5" t="s">
        <v>1468</v>
      </c>
      <c r="B197" s="6" t="s">
        <v>1469</v>
      </c>
      <c r="C197" s="6" t="s">
        <v>1470</v>
      </c>
      <c r="D197" s="6" t="s">
        <v>17</v>
      </c>
      <c r="E197" s="6" t="s">
        <v>18</v>
      </c>
      <c r="F197" s="6" t="s">
        <v>765</v>
      </c>
      <c r="G197" s="7">
        <v>1.0137657E7</v>
      </c>
      <c r="H197" s="8" t="str">
        <f>HYPERLINK("http://www.nbm.org/","http://www.nbm.org/")</f>
        <v>http://www.nbm.org/</v>
      </c>
      <c r="I197" s="6" t="s">
        <v>20</v>
      </c>
      <c r="J197" s="9" t="s">
        <v>1471</v>
      </c>
      <c r="K197" s="9" t="s">
        <v>1472</v>
      </c>
      <c r="L197" s="9" t="s">
        <v>1473</v>
      </c>
      <c r="M197" s="9" t="s">
        <v>1474</v>
      </c>
      <c r="N197" s="9" t="s">
        <v>1475</v>
      </c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 t="s">
        <v>1476</v>
      </c>
      <c r="B198" s="6" t="s">
        <v>1477</v>
      </c>
      <c r="C198" s="6" t="s">
        <v>1478</v>
      </c>
      <c r="D198" s="6" t="s">
        <v>17</v>
      </c>
      <c r="E198" s="6" t="s">
        <v>18</v>
      </c>
      <c r="F198" s="6" t="s">
        <v>1479</v>
      </c>
      <c r="G198" s="7">
        <v>9963470.0</v>
      </c>
      <c r="H198" s="8" t="str">
        <f>HYPERLINK("http://www.thetaskforce.org/","http://www.thetaskforce.org/")</f>
        <v>http://www.thetaskforce.org/</v>
      </c>
      <c r="I198" s="6" t="s">
        <v>20</v>
      </c>
      <c r="J198" s="9" t="s">
        <v>21</v>
      </c>
      <c r="K198" s="9" t="s">
        <v>120</v>
      </c>
      <c r="L198" s="9" t="s">
        <v>1351</v>
      </c>
      <c r="M198" s="9" t="s">
        <v>1480</v>
      </c>
      <c r="N198" s="9" t="s">
        <v>1481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 t="s">
        <v>1482</v>
      </c>
      <c r="B199" s="6" t="s">
        <v>1483</v>
      </c>
      <c r="C199" s="6" t="s">
        <v>1484</v>
      </c>
      <c r="D199" s="6" t="s">
        <v>17</v>
      </c>
      <c r="E199" s="6" t="s">
        <v>18</v>
      </c>
      <c r="F199" s="6" t="s">
        <v>1485</v>
      </c>
      <c r="G199" s="7">
        <v>9919317.0</v>
      </c>
      <c r="H199" s="8" t="str">
        <f>HYPERLINK("http://marthastable.org/","http://marthastable.org/")</f>
        <v>http://marthastable.org/</v>
      </c>
      <c r="I199" s="6" t="s">
        <v>20</v>
      </c>
      <c r="J199" s="9" t="s">
        <v>456</v>
      </c>
      <c r="K199" s="9" t="s">
        <v>1486</v>
      </c>
      <c r="L199" s="9" t="s">
        <v>1487</v>
      </c>
      <c r="M199" s="9" t="s">
        <v>1488</v>
      </c>
      <c r="N199" s="9" t="s">
        <v>1489</v>
      </c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 t="s">
        <v>1490</v>
      </c>
      <c r="B200" s="6" t="s">
        <v>1491</v>
      </c>
      <c r="C200" s="6" t="s">
        <v>1492</v>
      </c>
      <c r="D200" s="6" t="s">
        <v>17</v>
      </c>
      <c r="E200" s="6" t="s">
        <v>18</v>
      </c>
      <c r="F200" s="6" t="s">
        <v>1142</v>
      </c>
      <c r="G200" s="7">
        <v>9913909.0</v>
      </c>
      <c r="H200" s="8" t="str">
        <f>HYPERLINK("http://www.lawyerscommittee.org/","http://www.lawyerscommittee.org/")</f>
        <v>http://www.lawyerscommittee.org/</v>
      </c>
      <c r="I200" s="6" t="s">
        <v>20</v>
      </c>
      <c r="J200" s="9" t="s">
        <v>1493</v>
      </c>
      <c r="K200" s="9" t="s">
        <v>1494</v>
      </c>
      <c r="L200" s="9" t="s">
        <v>1107</v>
      </c>
      <c r="M200" s="9" t="s">
        <v>1495</v>
      </c>
      <c r="N200" s="9" t="s">
        <v>1496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 t="s">
        <v>1497</v>
      </c>
      <c r="B201" s="6" t="s">
        <v>1498</v>
      </c>
      <c r="C201" s="6" t="s">
        <v>1499</v>
      </c>
      <c r="D201" s="6" t="s">
        <v>17</v>
      </c>
      <c r="E201" s="6" t="s">
        <v>18</v>
      </c>
      <c r="F201" s="6" t="s">
        <v>1500</v>
      </c>
      <c r="G201" s="7">
        <v>9893209.0</v>
      </c>
      <c r="H201" s="8" t="str">
        <f>HYPERLINK("https://www.atlasnetwork.org/","https://www.atlasnetwork.org/")</f>
        <v>https://www.atlasnetwork.org/</v>
      </c>
      <c r="I201" s="6" t="s">
        <v>20</v>
      </c>
      <c r="J201" s="9" t="s">
        <v>1501</v>
      </c>
      <c r="K201" s="9" t="s">
        <v>1502</v>
      </c>
      <c r="L201" s="9" t="s">
        <v>1503</v>
      </c>
      <c r="M201" s="9" t="s">
        <v>1504</v>
      </c>
      <c r="N201" s="9" t="s">
        <v>1505</v>
      </c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 t="s">
        <v>1506</v>
      </c>
      <c r="B202" s="6" t="s">
        <v>1507</v>
      </c>
      <c r="C202" s="6" t="s">
        <v>1508</v>
      </c>
      <c r="D202" s="6" t="s">
        <v>17</v>
      </c>
      <c r="E202" s="6" t="s">
        <v>18</v>
      </c>
      <c r="F202" s="6" t="s">
        <v>490</v>
      </c>
      <c r="G202" s="7">
        <v>9828764.0</v>
      </c>
      <c r="H202" s="8" t="str">
        <f>HYPERLINK("http://www.cbcfinc.org/","http://www.cbcfinc.org/")</f>
        <v>http://www.cbcfinc.org/</v>
      </c>
      <c r="I202" s="6" t="s">
        <v>20</v>
      </c>
      <c r="J202" s="9" t="s">
        <v>1509</v>
      </c>
      <c r="K202" s="9" t="s">
        <v>1510</v>
      </c>
      <c r="L202" s="9" t="s">
        <v>1511</v>
      </c>
      <c r="M202" s="9" t="s">
        <v>1512</v>
      </c>
      <c r="N202" s="9" t="s">
        <v>1513</v>
      </c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 t="s">
        <v>1514</v>
      </c>
      <c r="B203" s="6" t="s">
        <v>1515</v>
      </c>
      <c r="C203" s="6" t="s">
        <v>1516</v>
      </c>
      <c r="D203" s="6" t="s">
        <v>17</v>
      </c>
      <c r="E203" s="6" t="s">
        <v>18</v>
      </c>
      <c r="F203" s="6" t="s">
        <v>1517</v>
      </c>
      <c r="G203" s="7">
        <v>9714302.0</v>
      </c>
      <c r="H203" s="8" t="str">
        <f>HYPERLINK("https://www.ahlef.org/","https://www.ahlef.org/")</f>
        <v>https://www.ahlef.org/</v>
      </c>
      <c r="I203" s="6" t="s">
        <v>20</v>
      </c>
      <c r="J203" s="9" t="s">
        <v>1518</v>
      </c>
      <c r="K203" s="9" t="s">
        <v>1519</v>
      </c>
      <c r="L203" s="9" t="s">
        <v>1520</v>
      </c>
      <c r="M203" s="9" t="s">
        <v>1521</v>
      </c>
      <c r="N203" s="9" t="s">
        <v>1522</v>
      </c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 t="s">
        <v>1523</v>
      </c>
      <c r="B204" s="6" t="s">
        <v>1524</v>
      </c>
      <c r="C204" s="6" t="s">
        <v>1525</v>
      </c>
      <c r="D204" s="6" t="s">
        <v>17</v>
      </c>
      <c r="E204" s="6" t="s">
        <v>18</v>
      </c>
      <c r="F204" s="6" t="s">
        <v>1526</v>
      </c>
      <c r="G204" s="7">
        <v>9699037.0</v>
      </c>
      <c r="H204" s="8" t="str">
        <f>HYPERLINK("http://www.magamerica.org/","http://www.magamerica.org/")</f>
        <v>http://www.magamerica.org/</v>
      </c>
      <c r="I204" s="6" t="s">
        <v>20</v>
      </c>
      <c r="J204" s="9" t="s">
        <v>570</v>
      </c>
      <c r="K204" s="9" t="s">
        <v>1527</v>
      </c>
      <c r="L204" s="9" t="s">
        <v>1528</v>
      </c>
      <c r="M204" s="9" t="s">
        <v>1529</v>
      </c>
      <c r="N204" s="9" t="s">
        <v>1530</v>
      </c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 t="s">
        <v>1531</v>
      </c>
      <c r="B205" s="6" t="s">
        <v>1532</v>
      </c>
      <c r="C205" s="6" t="s">
        <v>1533</v>
      </c>
      <c r="D205" s="6" t="s">
        <v>17</v>
      </c>
      <c r="E205" s="6" t="s">
        <v>18</v>
      </c>
      <c r="F205" s="6" t="s">
        <v>1534</v>
      </c>
      <c r="G205" s="7">
        <v>9671748.0</v>
      </c>
      <c r="H205" s="8" t="str">
        <f>HYPERLINK("http://sashabruce.org/","http://sashabruce.org/")</f>
        <v>http://sashabruce.org/</v>
      </c>
      <c r="I205" s="6" t="s">
        <v>20</v>
      </c>
      <c r="J205" s="9" t="s">
        <v>570</v>
      </c>
      <c r="K205" s="9" t="s">
        <v>202</v>
      </c>
      <c r="L205" s="9" t="s">
        <v>1535</v>
      </c>
      <c r="M205" s="9" t="s">
        <v>1536</v>
      </c>
      <c r="N205" s="9" t="s">
        <v>1537</v>
      </c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 t="s">
        <v>1538</v>
      </c>
      <c r="B206" s="6" t="s">
        <v>1539</v>
      </c>
      <c r="C206" s="6" t="s">
        <v>1540</v>
      </c>
      <c r="D206" s="6" t="s">
        <v>17</v>
      </c>
      <c r="E206" s="6" t="s">
        <v>18</v>
      </c>
      <c r="F206" s="6" t="s">
        <v>1541</v>
      </c>
      <c r="G206" s="7">
        <v>9621892.0</v>
      </c>
      <c r="H206" s="8" t="str">
        <f>HYPERLINK("http://www.freedomworks.org/","http://www.freedomworks.org/")</f>
        <v>http://www.freedomworks.org/</v>
      </c>
      <c r="I206" s="6" t="s">
        <v>20</v>
      </c>
      <c r="J206" s="9" t="s">
        <v>921</v>
      </c>
      <c r="K206" s="9" t="s">
        <v>1542</v>
      </c>
      <c r="L206" s="9" t="s">
        <v>1543</v>
      </c>
      <c r="M206" s="9" t="s">
        <v>1544</v>
      </c>
      <c r="N206" s="9" t="s">
        <v>1545</v>
      </c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 t="s">
        <v>1546</v>
      </c>
      <c r="B207" s="6" t="s">
        <v>1547</v>
      </c>
      <c r="C207" s="6" t="s">
        <v>1548</v>
      </c>
      <c r="D207" s="6" t="s">
        <v>17</v>
      </c>
      <c r="E207" s="6" t="s">
        <v>18</v>
      </c>
      <c r="F207" s="6" t="s">
        <v>1549</v>
      </c>
      <c r="G207" s="7">
        <v>9559122.0</v>
      </c>
      <c r="H207" s="8" t="str">
        <f>HYPERLINK("http://www.globalfundforchildren.org/","http://www.globalfundforchildren.org/")</f>
        <v>http://www.globalfundforchildren.org/</v>
      </c>
      <c r="I207" s="6" t="s">
        <v>20</v>
      </c>
      <c r="J207" s="9" t="s">
        <v>1550</v>
      </c>
      <c r="K207" s="9" t="s">
        <v>1551</v>
      </c>
      <c r="L207" s="9" t="s">
        <v>1552</v>
      </c>
      <c r="M207" s="9" t="s">
        <v>1553</v>
      </c>
      <c r="N207" s="9" t="s">
        <v>1554</v>
      </c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0" t="s">
        <v>1555</v>
      </c>
      <c r="B208" s="11" t="s">
        <v>1556</v>
      </c>
      <c r="C208" s="11" t="s">
        <v>1557</v>
      </c>
      <c r="D208" s="11" t="s">
        <v>17</v>
      </c>
      <c r="E208" s="11" t="s">
        <v>18</v>
      </c>
      <c r="F208" s="11" t="s">
        <v>1558</v>
      </c>
      <c r="G208" s="12">
        <v>9512393.0</v>
      </c>
      <c r="H208" s="13"/>
      <c r="I208" s="11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5" t="s">
        <v>1559</v>
      </c>
      <c r="B209" s="6" t="s">
        <v>1560</v>
      </c>
      <c r="C209" s="6" t="s">
        <v>1561</v>
      </c>
      <c r="D209" s="6" t="s">
        <v>17</v>
      </c>
      <c r="E209" s="6" t="s">
        <v>18</v>
      </c>
      <c r="F209" s="6" t="s">
        <v>1562</v>
      </c>
      <c r="G209" s="7">
        <v>9461413.0</v>
      </c>
      <c r="H209" s="8" t="str">
        <f>HYPERLINK("http://www.aaainc.org/","http://www.aaainc.org/")</f>
        <v>http://www.aaainc.org/</v>
      </c>
      <c r="I209" s="6" t="s">
        <v>20</v>
      </c>
      <c r="J209" s="9" t="s">
        <v>1563</v>
      </c>
      <c r="K209" s="9" t="s">
        <v>1564</v>
      </c>
      <c r="L209" s="9" t="s">
        <v>1565</v>
      </c>
      <c r="M209" s="9" t="s">
        <v>1566</v>
      </c>
      <c r="N209" s="9" t="s">
        <v>1567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 t="s">
        <v>1568</v>
      </c>
      <c r="B210" s="6" t="s">
        <v>1569</v>
      </c>
      <c r="C210" s="6" t="s">
        <v>1570</v>
      </c>
      <c r="D210" s="6" t="s">
        <v>17</v>
      </c>
      <c r="E210" s="6" t="s">
        <v>18</v>
      </c>
      <c r="F210" s="6" t="s">
        <v>1571</v>
      </c>
      <c r="G210" s="7">
        <v>9395203.0</v>
      </c>
      <c r="H210" s="8" t="str">
        <f>HYPERLINK("http://mediamatters.org/","http://mediamatters.org/")</f>
        <v>http://mediamatters.org/</v>
      </c>
      <c r="I210" s="6" t="s">
        <v>20</v>
      </c>
      <c r="J210" s="9" t="s">
        <v>1572</v>
      </c>
      <c r="K210" s="9" t="s">
        <v>1573</v>
      </c>
      <c r="L210" s="9" t="s">
        <v>1574</v>
      </c>
      <c r="M210" s="9" t="s">
        <v>1575</v>
      </c>
      <c r="N210" s="9" t="s">
        <v>1576</v>
      </c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 t="s">
        <v>1577</v>
      </c>
      <c r="B211" s="6" t="s">
        <v>1578</v>
      </c>
      <c r="C211" s="6" t="s">
        <v>1579</v>
      </c>
      <c r="D211" s="6" t="s">
        <v>17</v>
      </c>
      <c r="E211" s="6" t="s">
        <v>18</v>
      </c>
      <c r="F211" s="6" t="s">
        <v>1580</v>
      </c>
      <c r="G211" s="7">
        <v>9384292.0</v>
      </c>
      <c r="H211" s="8" t="str">
        <f>HYPERLINK("http://www.hudson.org/","http://www.hudson.org/")</f>
        <v>http://www.hudson.org/</v>
      </c>
      <c r="I211" s="6" t="s">
        <v>20</v>
      </c>
      <c r="J211" s="9" t="s">
        <v>1450</v>
      </c>
      <c r="K211" s="9" t="s">
        <v>1581</v>
      </c>
      <c r="L211" s="9" t="s">
        <v>1582</v>
      </c>
      <c r="M211" s="9" t="s">
        <v>1583</v>
      </c>
      <c r="N211" s="9" t="s">
        <v>1584</v>
      </c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 t="s">
        <v>1585</v>
      </c>
      <c r="B212" s="6" t="s">
        <v>1586</v>
      </c>
      <c r="C212" s="6" t="s">
        <v>1587</v>
      </c>
      <c r="D212" s="6" t="s">
        <v>17</v>
      </c>
      <c r="E212" s="6" t="s">
        <v>18</v>
      </c>
      <c r="F212" s="6" t="s">
        <v>1588</v>
      </c>
      <c r="G212" s="7">
        <v>9355272.0</v>
      </c>
      <c r="H212" s="8" t="str">
        <f>HYPERLINK("http://www.walterkaitz.org/","http://www.walterkaitz.org/")</f>
        <v>http://www.walterkaitz.org/</v>
      </c>
      <c r="I212" s="6" t="s">
        <v>20</v>
      </c>
      <c r="J212" s="9" t="s">
        <v>1287</v>
      </c>
      <c r="K212" s="9" t="s">
        <v>120</v>
      </c>
      <c r="L212" s="9" t="s">
        <v>1589</v>
      </c>
      <c r="M212" s="9" t="s">
        <v>1590</v>
      </c>
      <c r="N212" s="9" t="s">
        <v>1591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 t="s">
        <v>1592</v>
      </c>
      <c r="B213" s="6" t="s">
        <v>1593</v>
      </c>
      <c r="C213" s="6" t="s">
        <v>1594</v>
      </c>
      <c r="D213" s="6" t="s">
        <v>17</v>
      </c>
      <c r="E213" s="6" t="s">
        <v>18</v>
      </c>
      <c r="F213" s="6" t="s">
        <v>1595</v>
      </c>
      <c r="G213" s="7">
        <v>9312615.0</v>
      </c>
      <c r="H213" s="8" t="str">
        <f>HYPERLINK("http://www.bread.org/","http://www.bread.org/")</f>
        <v>http://www.bread.org/</v>
      </c>
      <c r="I213" s="6" t="s">
        <v>20</v>
      </c>
      <c r="J213" s="9" t="s">
        <v>1596</v>
      </c>
      <c r="K213" s="9" t="s">
        <v>202</v>
      </c>
      <c r="L213" s="9" t="s">
        <v>1597</v>
      </c>
      <c r="M213" s="9" t="s">
        <v>1598</v>
      </c>
      <c r="N213" s="9" t="s">
        <v>1599</v>
      </c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0" t="s">
        <v>1600</v>
      </c>
      <c r="B214" s="11" t="s">
        <v>1601</v>
      </c>
      <c r="C214" s="11" t="s">
        <v>1602</v>
      </c>
      <c r="D214" s="11" t="s">
        <v>17</v>
      </c>
      <c r="E214" s="11" t="s">
        <v>18</v>
      </c>
      <c r="F214" s="11" t="s">
        <v>1603</v>
      </c>
      <c r="G214" s="12">
        <v>9291938.0</v>
      </c>
      <c r="H214" s="13"/>
      <c r="I214" s="1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5" t="s">
        <v>1604</v>
      </c>
      <c r="B215" s="6" t="s">
        <v>1605</v>
      </c>
      <c r="C215" s="6" t="s">
        <v>1606</v>
      </c>
      <c r="D215" s="6" t="s">
        <v>17</v>
      </c>
      <c r="E215" s="6" t="s">
        <v>18</v>
      </c>
      <c r="F215" s="6" t="s">
        <v>1607</v>
      </c>
      <c r="G215" s="7">
        <v>9258664.0</v>
      </c>
      <c r="H215" s="8" t="str">
        <f>HYPERLINK("http://www.dceducationfund.org/","http://www.dceducationfund.org/")</f>
        <v>http://www.dceducationfund.org/</v>
      </c>
      <c r="I215" s="6" t="s">
        <v>20</v>
      </c>
      <c r="J215" s="9" t="s">
        <v>1608</v>
      </c>
      <c r="K215" s="9" t="s">
        <v>474</v>
      </c>
      <c r="L215" s="9" t="s">
        <v>1609</v>
      </c>
      <c r="M215" s="9" t="s">
        <v>1610</v>
      </c>
      <c r="N215" s="9" t="s">
        <v>1611</v>
      </c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 t="s">
        <v>1612</v>
      </c>
      <c r="B216" s="6" t="s">
        <v>1613</v>
      </c>
      <c r="C216" s="6" t="s">
        <v>1614</v>
      </c>
      <c r="D216" s="6" t="s">
        <v>17</v>
      </c>
      <c r="E216" s="6" t="s">
        <v>18</v>
      </c>
      <c r="F216" s="6" t="s">
        <v>1615</v>
      </c>
      <c r="G216" s="7">
        <v>9140206.0</v>
      </c>
      <c r="H216" s="8" t="str">
        <f>HYPERLINK("http://globalhumanrights.org/","http://globalhumanrights.org/")</f>
        <v>http://globalhumanrights.org/</v>
      </c>
      <c r="I216" s="6" t="s">
        <v>20</v>
      </c>
      <c r="J216" s="9" t="s">
        <v>1616</v>
      </c>
      <c r="K216" s="9" t="s">
        <v>1617</v>
      </c>
      <c r="L216" s="9" t="s">
        <v>1618</v>
      </c>
      <c r="M216" s="9" t="s">
        <v>1619</v>
      </c>
      <c r="N216" s="9" t="s">
        <v>1620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 t="s">
        <v>1621</v>
      </c>
      <c r="B217" s="6" t="s">
        <v>1622</v>
      </c>
      <c r="C217" s="6" t="s">
        <v>1623</v>
      </c>
      <c r="D217" s="6" t="s">
        <v>17</v>
      </c>
      <c r="E217" s="6" t="s">
        <v>18</v>
      </c>
      <c r="F217" s="6" t="s">
        <v>1624</v>
      </c>
      <c r="G217" s="7">
        <v>9098953.0</v>
      </c>
      <c r="H217" s="8" t="str">
        <f>HYPERLINK("http://www.americaspromise.org/","http://www.americaspromise.org/")</f>
        <v>http://www.americaspromise.org/</v>
      </c>
      <c r="I217" s="6" t="s">
        <v>20</v>
      </c>
      <c r="J217" s="9" t="s">
        <v>1625</v>
      </c>
      <c r="K217" s="9" t="s">
        <v>120</v>
      </c>
      <c r="L217" s="9" t="s">
        <v>271</v>
      </c>
      <c r="M217" s="9" t="s">
        <v>1626</v>
      </c>
      <c r="N217" s="9" t="s">
        <v>1627</v>
      </c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 t="s">
        <v>1628</v>
      </c>
      <c r="B218" s="6" t="s">
        <v>1629</v>
      </c>
      <c r="C218" s="6" t="s">
        <v>1630</v>
      </c>
      <c r="D218" s="6" t="s">
        <v>17</v>
      </c>
      <c r="E218" s="6" t="s">
        <v>18</v>
      </c>
      <c r="F218" s="6" t="s">
        <v>1631</v>
      </c>
      <c r="G218" s="7">
        <v>8899607.0</v>
      </c>
      <c r="H218" s="8" t="str">
        <f>HYPERLINK("http://www.fairus.org/","http://www.fairus.org/")</f>
        <v>http://www.fairus.org/</v>
      </c>
      <c r="I218" s="6" t="s">
        <v>20</v>
      </c>
      <c r="J218" s="9" t="s">
        <v>570</v>
      </c>
      <c r="K218" s="9" t="s">
        <v>1632</v>
      </c>
      <c r="L218" s="9" t="s">
        <v>1633</v>
      </c>
      <c r="M218" s="9" t="s">
        <v>1634</v>
      </c>
      <c r="N218" s="9" t="s">
        <v>1635</v>
      </c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 t="s">
        <v>1636</v>
      </c>
      <c r="B219" s="6" t="s">
        <v>1637</v>
      </c>
      <c r="C219" s="6" t="s">
        <v>1638</v>
      </c>
      <c r="D219" s="6" t="s">
        <v>17</v>
      </c>
      <c r="E219" s="6" t="s">
        <v>18</v>
      </c>
      <c r="F219" s="6" t="s">
        <v>1639</v>
      </c>
      <c r="G219" s="7">
        <v>8892397.0</v>
      </c>
      <c r="H219" s="8" t="str">
        <f>HYPERLINK("http://www.chci.org/","http://www.chci.org/")</f>
        <v>http://www.chci.org/</v>
      </c>
      <c r="I219" s="6" t="s">
        <v>20</v>
      </c>
      <c r="J219" s="9" t="s">
        <v>30</v>
      </c>
      <c r="K219" s="9" t="s">
        <v>211</v>
      </c>
      <c r="L219" s="9" t="s">
        <v>1640</v>
      </c>
      <c r="M219" s="9" t="s">
        <v>1641</v>
      </c>
      <c r="N219" s="9" t="s">
        <v>1642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 t="s">
        <v>1643</v>
      </c>
      <c r="B220" s="6" t="s">
        <v>1644</v>
      </c>
      <c r="C220" s="6" t="s">
        <v>1645</v>
      </c>
      <c r="D220" s="6" t="s">
        <v>17</v>
      </c>
      <c r="E220" s="6" t="s">
        <v>18</v>
      </c>
      <c r="F220" s="6" t="s">
        <v>1646</v>
      </c>
      <c r="G220" s="7">
        <v>8882484.0</v>
      </c>
      <c r="H220" s="8" t="str">
        <f>HYPERLINK("http://www.nastad.org/","http://www.nastad.org/")</f>
        <v>http://www.nastad.org/</v>
      </c>
      <c r="I220" s="6" t="s">
        <v>20</v>
      </c>
      <c r="J220" s="9" t="s">
        <v>1647</v>
      </c>
      <c r="K220" s="9" t="s">
        <v>1648</v>
      </c>
      <c r="L220" s="9" t="s">
        <v>1649</v>
      </c>
      <c r="M220" s="9" t="s">
        <v>1650</v>
      </c>
      <c r="N220" s="9" t="s">
        <v>1651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 t="s">
        <v>1652</v>
      </c>
      <c r="B221" s="6" t="s">
        <v>1653</v>
      </c>
      <c r="C221" s="6" t="s">
        <v>1654</v>
      </c>
      <c r="D221" s="6" t="s">
        <v>17</v>
      </c>
      <c r="E221" s="6" t="s">
        <v>18</v>
      </c>
      <c r="F221" s="6" t="s">
        <v>1655</v>
      </c>
      <c r="G221" s="7">
        <v>8872549.0</v>
      </c>
      <c r="H221" s="8" t="str">
        <f>HYPERLINK("http://www.foodandfriends.org/site/pp.asp?c=ckLSI8NNIdJ2G&amp;b=7565475","http://www.foodandfriends.org/site/pp.asp?c=ckLSI8NNIdJ2G&amp;b=7565475")</f>
        <v>http://www.foodandfriends.org/site/pp.asp?c=ckLSI8NNIdJ2G&amp;b=7565475</v>
      </c>
      <c r="I221" s="6" t="s">
        <v>20</v>
      </c>
      <c r="J221" s="9" t="s">
        <v>1656</v>
      </c>
      <c r="K221" s="9" t="s">
        <v>1657</v>
      </c>
      <c r="L221" s="9" t="s">
        <v>1658</v>
      </c>
      <c r="M221" s="9" t="s">
        <v>1659</v>
      </c>
      <c r="N221" s="9" t="s">
        <v>1660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 t="s">
        <v>1661</v>
      </c>
      <c r="B222" s="6" t="s">
        <v>1662</v>
      </c>
      <c r="C222" s="6" t="s">
        <v>1663</v>
      </c>
      <c r="D222" s="6" t="s">
        <v>17</v>
      </c>
      <c r="E222" s="6" t="s">
        <v>18</v>
      </c>
      <c r="F222" s="6" t="s">
        <v>1664</v>
      </c>
      <c r="G222" s="7">
        <v>8864063.0</v>
      </c>
      <c r="H222" s="8" t="str">
        <f>HYPERLINK("http://www.washingtondcjcc.org/","http://www.washingtondcjcc.org/")</f>
        <v>http://www.washingtondcjcc.org/</v>
      </c>
      <c r="I222" s="6" t="s">
        <v>20</v>
      </c>
      <c r="J222" s="9" t="s">
        <v>21</v>
      </c>
      <c r="K222" s="9" t="s">
        <v>1665</v>
      </c>
      <c r="L222" s="9" t="s">
        <v>1666</v>
      </c>
      <c r="M222" s="9" t="s">
        <v>1667</v>
      </c>
      <c r="N222" s="9" t="s">
        <v>1668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0" t="s">
        <v>1669</v>
      </c>
      <c r="B223" s="11" t="s">
        <v>1670</v>
      </c>
      <c r="C223" s="11" t="s">
        <v>1671</v>
      </c>
      <c r="D223" s="11" t="s">
        <v>17</v>
      </c>
      <c r="E223" s="11" t="s">
        <v>18</v>
      </c>
      <c r="F223" s="11" t="s">
        <v>1672</v>
      </c>
      <c r="G223" s="12">
        <v>8863256.0</v>
      </c>
      <c r="H223" s="13"/>
      <c r="I223" s="11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5" t="s">
        <v>1673</v>
      </c>
      <c r="B224" s="6" t="s">
        <v>1674</v>
      </c>
      <c r="C224" s="6" t="s">
        <v>72</v>
      </c>
      <c r="D224" s="6" t="s">
        <v>17</v>
      </c>
      <c r="E224" s="6" t="s">
        <v>18</v>
      </c>
      <c r="F224" s="6" t="s">
        <v>1675</v>
      </c>
      <c r="G224" s="7">
        <v>8823731.0</v>
      </c>
      <c r="H224" s="8" t="str">
        <f>HYPERLINK("http://www.kennedy-center.org/education/vsa/","http://www.kennedy-center.org/education/vsa/")</f>
        <v>http://www.kennedy-center.org/education/vsa/</v>
      </c>
      <c r="I224" s="6" t="s">
        <v>20</v>
      </c>
      <c r="J224" s="9" t="s">
        <v>74</v>
      </c>
      <c r="K224" s="9" t="s">
        <v>75</v>
      </c>
      <c r="L224" s="9" t="s">
        <v>76</v>
      </c>
      <c r="M224" s="9" t="s">
        <v>77</v>
      </c>
      <c r="N224" s="9" t="s">
        <v>78</v>
      </c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0" t="s">
        <v>1676</v>
      </c>
      <c r="B225" s="11" t="s">
        <v>1677</v>
      </c>
      <c r="C225" s="11" t="s">
        <v>1678</v>
      </c>
      <c r="D225" s="11" t="s">
        <v>17</v>
      </c>
      <c r="E225" s="11" t="s">
        <v>18</v>
      </c>
      <c r="F225" s="11" t="s">
        <v>1679</v>
      </c>
      <c r="G225" s="12">
        <v>8803987.0</v>
      </c>
      <c r="H225" s="13"/>
      <c r="I225" s="11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5" t="s">
        <v>1680</v>
      </c>
      <c r="B226" s="6" t="s">
        <v>1681</v>
      </c>
      <c r="C226" s="6" t="s">
        <v>1682</v>
      </c>
      <c r="D226" s="6" t="s">
        <v>17</v>
      </c>
      <c r="E226" s="6" t="s">
        <v>18</v>
      </c>
      <c r="F226" s="6" t="s">
        <v>1683</v>
      </c>
      <c r="G226" s="7">
        <v>8789053.0</v>
      </c>
      <c r="H226" s="8" t="str">
        <f>HYPERLINK("http://scottishrite.org/development/foundations/scottish-rite-foundation/","http://scottishrite.org/development/foundations/scottish-rite-foundation/")</f>
        <v>http://scottishrite.org/development/foundations/scottish-rite-foundation/</v>
      </c>
      <c r="I226" s="6" t="s">
        <v>20</v>
      </c>
      <c r="J226" s="9" t="s">
        <v>456</v>
      </c>
      <c r="K226" s="9" t="s">
        <v>465</v>
      </c>
      <c r="L226" s="9" t="s">
        <v>1684</v>
      </c>
      <c r="M226" s="9" t="s">
        <v>1685</v>
      </c>
      <c r="N226" s="9" t="s">
        <v>1686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 t="s">
        <v>1687</v>
      </c>
      <c r="B227" s="6" t="s">
        <v>1688</v>
      </c>
      <c r="C227" s="6" t="s">
        <v>1689</v>
      </c>
      <c r="D227" s="6" t="s">
        <v>17</v>
      </c>
      <c r="E227" s="6" t="s">
        <v>18</v>
      </c>
      <c r="F227" s="6" t="s">
        <v>1690</v>
      </c>
      <c r="G227" s="7">
        <v>8761675.0</v>
      </c>
      <c r="H227" s="8" t="str">
        <f>HYPERLINK("http://rfkcenter.org/","http://rfkcenter.org/")</f>
        <v>http://rfkcenter.org/</v>
      </c>
      <c r="I227" s="6" t="s">
        <v>20</v>
      </c>
      <c r="J227" s="9" t="s">
        <v>1691</v>
      </c>
      <c r="K227" s="9" t="s">
        <v>1692</v>
      </c>
      <c r="L227" s="9" t="s">
        <v>1693</v>
      </c>
      <c r="M227" s="9" t="s">
        <v>1694</v>
      </c>
      <c r="N227" s="9" t="s">
        <v>1695</v>
      </c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 t="s">
        <v>1696</v>
      </c>
      <c r="B228" s="6" t="s">
        <v>1697</v>
      </c>
      <c r="C228" s="6" t="s">
        <v>1698</v>
      </c>
      <c r="D228" s="6" t="s">
        <v>17</v>
      </c>
      <c r="E228" s="6" t="s">
        <v>18</v>
      </c>
      <c r="F228" s="6" t="s">
        <v>1699</v>
      </c>
      <c r="G228" s="7">
        <v>8700543.0</v>
      </c>
      <c r="H228" s="8" t="str">
        <f>HYPERLINK("http://worldjusticeproject.org/","http://worldjusticeproject.org/")</f>
        <v>http://worldjusticeproject.org/</v>
      </c>
      <c r="I228" s="6" t="s">
        <v>20</v>
      </c>
      <c r="J228" s="9" t="s">
        <v>708</v>
      </c>
      <c r="K228" s="9" t="s">
        <v>474</v>
      </c>
      <c r="L228" s="9" t="s">
        <v>1700</v>
      </c>
      <c r="M228" s="9" t="s">
        <v>1701</v>
      </c>
      <c r="N228" s="9" t="s">
        <v>1702</v>
      </c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0" t="s">
        <v>1703</v>
      </c>
      <c r="B229" s="11" t="s">
        <v>1704</v>
      </c>
      <c r="C229" s="11" t="s">
        <v>1705</v>
      </c>
      <c r="D229" s="11" t="s">
        <v>17</v>
      </c>
      <c r="E229" s="11" t="s">
        <v>18</v>
      </c>
      <c r="F229" s="11" t="s">
        <v>1706</v>
      </c>
      <c r="G229" s="12">
        <v>8629305.0</v>
      </c>
      <c r="H229" s="13"/>
      <c r="I229" s="11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5" t="s">
        <v>1707</v>
      </c>
      <c r="B230" s="6" t="s">
        <v>1708</v>
      </c>
      <c r="C230" s="6" t="s">
        <v>1709</v>
      </c>
      <c r="D230" s="6" t="s">
        <v>17</v>
      </c>
      <c r="E230" s="6" t="s">
        <v>18</v>
      </c>
      <c r="F230" s="6" t="s">
        <v>1710</v>
      </c>
      <c r="G230" s="7">
        <v>8621390.0</v>
      </c>
      <c r="H230" s="8" t="str">
        <f>HYPERLINK("http://www.ffhl.org/","http://www.ffhl.org/")</f>
        <v>http://www.ffhl.org/</v>
      </c>
      <c r="I230" s="6" t="s">
        <v>20</v>
      </c>
      <c r="J230" s="9" t="s">
        <v>1711</v>
      </c>
      <c r="K230" s="9" t="s">
        <v>441</v>
      </c>
      <c r="L230" s="9" t="s">
        <v>1712</v>
      </c>
      <c r="M230" s="9" t="s">
        <v>1713</v>
      </c>
      <c r="N230" s="9" t="s">
        <v>1714</v>
      </c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 t="s">
        <v>1715</v>
      </c>
      <c r="B231" s="6" t="s">
        <v>1716</v>
      </c>
      <c r="C231" s="6" t="s">
        <v>1717</v>
      </c>
      <c r="D231" s="6" t="s">
        <v>17</v>
      </c>
      <c r="E231" s="6" t="s">
        <v>18</v>
      </c>
      <c r="F231" s="6" t="s">
        <v>1718</v>
      </c>
      <c r="G231" s="7">
        <v>8584754.0</v>
      </c>
      <c r="H231" s="8" t="str">
        <f>HYPERLINK("http://csrl.org/","http://csrl.org/")</f>
        <v>http://csrl.org/</v>
      </c>
      <c r="I231" s="6" t="s">
        <v>20</v>
      </c>
      <c r="J231" s="9"/>
      <c r="K231" s="9"/>
      <c r="L231" s="9"/>
      <c r="M231" s="9" t="s">
        <v>1719</v>
      </c>
      <c r="N231" s="9" t="s">
        <v>1720</v>
      </c>
      <c r="O231" s="9" t="s">
        <v>1721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 t="s">
        <v>1722</v>
      </c>
      <c r="B232" s="6" t="s">
        <v>1723</v>
      </c>
      <c r="C232" s="6" t="s">
        <v>1724</v>
      </c>
      <c r="D232" s="6" t="s">
        <v>17</v>
      </c>
      <c r="E232" s="6" t="s">
        <v>18</v>
      </c>
      <c r="F232" s="6" t="s">
        <v>1725</v>
      </c>
      <c r="G232" s="7">
        <v>8571948.0</v>
      </c>
      <c r="H232" s="8" t="str">
        <f>HYPERLINK("http://www.seaburyresources.org/","http://www.seaburyresources.org/")</f>
        <v>http://www.seaburyresources.org/</v>
      </c>
      <c r="I232" s="6" t="s">
        <v>20</v>
      </c>
      <c r="J232" s="9" t="s">
        <v>1726</v>
      </c>
      <c r="K232" s="9" t="s">
        <v>1727</v>
      </c>
      <c r="L232" s="9" t="s">
        <v>1728</v>
      </c>
      <c r="M232" s="9" t="s">
        <v>1729</v>
      </c>
      <c r="N232" s="9" t="s">
        <v>1730</v>
      </c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 t="s">
        <v>1731</v>
      </c>
      <c r="B233" s="6" t="s">
        <v>1732</v>
      </c>
      <c r="C233" s="6" t="s">
        <v>1733</v>
      </c>
      <c r="D233" s="6" t="s">
        <v>17</v>
      </c>
      <c r="E233" s="6" t="s">
        <v>18</v>
      </c>
      <c r="F233" s="6" t="s">
        <v>1734</v>
      </c>
      <c r="G233" s="7">
        <v>8561413.0</v>
      </c>
      <c r="H233" s="8" t="str">
        <f>HYPERLINK("http://www.publicintegrity.org/","http://www.publicintegrity.org/")</f>
        <v>http://www.publicintegrity.org/</v>
      </c>
      <c r="I233" s="6" t="s">
        <v>20</v>
      </c>
      <c r="J233" s="9" t="s">
        <v>1735</v>
      </c>
      <c r="K233" s="9" t="s">
        <v>1736</v>
      </c>
      <c r="L233" s="9" t="s">
        <v>1737</v>
      </c>
      <c r="M233" s="9" t="s">
        <v>1738</v>
      </c>
      <c r="N233" s="9" t="s">
        <v>1739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 t="s">
        <v>1740</v>
      </c>
      <c r="B234" s="11" t="s">
        <v>1741</v>
      </c>
      <c r="C234" s="11" t="s">
        <v>1742</v>
      </c>
      <c r="D234" s="11" t="s">
        <v>17</v>
      </c>
      <c r="E234" s="11" t="s">
        <v>18</v>
      </c>
      <c r="F234" s="11" t="s">
        <v>1743</v>
      </c>
      <c r="G234" s="12">
        <v>8479180.0</v>
      </c>
      <c r="H234" s="13"/>
      <c r="I234" s="11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5" t="s">
        <v>1744</v>
      </c>
      <c r="B235" s="6" t="s">
        <v>1745</v>
      </c>
      <c r="C235" s="6" t="s">
        <v>1746</v>
      </c>
      <c r="D235" s="6" t="s">
        <v>17</v>
      </c>
      <c r="E235" s="6" t="s">
        <v>18</v>
      </c>
      <c r="F235" s="6" t="s">
        <v>1747</v>
      </c>
      <c r="G235" s="7">
        <v>8471011.0</v>
      </c>
      <c r="H235" s="8" t="str">
        <f>HYPERLINK("http://www.vitalvoices.org/","http://www.vitalvoices.org/")</f>
        <v>http://www.vitalvoices.org/</v>
      </c>
      <c r="I235" s="6" t="s">
        <v>20</v>
      </c>
      <c r="J235" s="9" t="s">
        <v>1748</v>
      </c>
      <c r="K235" s="9" t="s">
        <v>1749</v>
      </c>
      <c r="L235" s="9" t="s">
        <v>607</v>
      </c>
      <c r="M235" s="9" t="s">
        <v>1750</v>
      </c>
      <c r="N235" s="9" t="s">
        <v>1751</v>
      </c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 t="s">
        <v>1752</v>
      </c>
      <c r="B236" s="6" t="s">
        <v>1753</v>
      </c>
      <c r="C236" s="6" t="s">
        <v>1754</v>
      </c>
      <c r="D236" s="6" t="s">
        <v>17</v>
      </c>
      <c r="E236" s="6" t="s">
        <v>18</v>
      </c>
      <c r="F236" s="6" t="s">
        <v>1755</v>
      </c>
      <c r="G236" s="7">
        <v>8399139.0</v>
      </c>
      <c r="H236" s="8" t="str">
        <f>HYPERLINK("http://www.plannedparenthood.org/health-center/district-of-columbia/washington/20036/downtown-center-3273-90230","http://www.plannedparenthood.org/health-center/district-of-columbia/washington/20036/downtown-center-3273-90230")</f>
        <v>http://www.plannedparenthood.org/health-center/district-of-columbia/washington/20036/downtown-center-3273-90230</v>
      </c>
      <c r="I236" s="6" t="s">
        <v>20</v>
      </c>
      <c r="J236" s="9" t="s">
        <v>1041</v>
      </c>
      <c r="K236" s="9" t="s">
        <v>1756</v>
      </c>
      <c r="L236" s="9" t="s">
        <v>1757</v>
      </c>
      <c r="M236" s="9" t="s">
        <v>1758</v>
      </c>
      <c r="N236" s="9" t="s">
        <v>1759</v>
      </c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 t="s">
        <v>1760</v>
      </c>
      <c r="B237" s="6" t="s">
        <v>1761</v>
      </c>
      <c r="C237" s="6" t="s">
        <v>1762</v>
      </c>
      <c r="D237" s="6" t="s">
        <v>17</v>
      </c>
      <c r="E237" s="6" t="s">
        <v>18</v>
      </c>
      <c r="F237" s="6" t="s">
        <v>1763</v>
      </c>
      <c r="G237" s="7">
        <v>8393527.0</v>
      </c>
      <c r="H237" s="8" t="str">
        <f>HYPERLINK("http://www.publicjustice.net/","http://www.publicjustice.net/")</f>
        <v>http://www.publicjustice.net/</v>
      </c>
      <c r="I237" s="6" t="s">
        <v>20</v>
      </c>
      <c r="J237" s="9" t="s">
        <v>1764</v>
      </c>
      <c r="K237" s="9" t="s">
        <v>968</v>
      </c>
      <c r="L237" s="9" t="s">
        <v>1765</v>
      </c>
      <c r="M237" s="9" t="s">
        <v>1766</v>
      </c>
      <c r="N237" s="9" t="s">
        <v>1767</v>
      </c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0" t="s">
        <v>1768</v>
      </c>
      <c r="B238" s="11" t="s">
        <v>1769</v>
      </c>
      <c r="C238" s="11" t="s">
        <v>1770</v>
      </c>
      <c r="D238" s="11" t="s">
        <v>17</v>
      </c>
      <c r="E238" s="11" t="s">
        <v>18</v>
      </c>
      <c r="F238" s="11" t="s">
        <v>1771</v>
      </c>
      <c r="G238" s="12">
        <v>8300914.0</v>
      </c>
      <c r="H238" s="13"/>
      <c r="I238" s="11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5" t="s">
        <v>1772</v>
      </c>
      <c r="B239" s="6" t="s">
        <v>1773</v>
      </c>
      <c r="C239" s="6" t="s">
        <v>1774</v>
      </c>
      <c r="D239" s="6" t="s">
        <v>17</v>
      </c>
      <c r="E239" s="6" t="s">
        <v>18</v>
      </c>
      <c r="F239" s="6" t="s">
        <v>1775</v>
      </c>
      <c r="G239" s="7">
        <v>8278702.0</v>
      </c>
      <c r="H239" s="8" t="str">
        <f>HYPERLINK("http://www.washingtonballet.org/","http://www.washingtonballet.org/")</f>
        <v>http://www.washingtonballet.org/</v>
      </c>
      <c r="I239" s="6" t="s">
        <v>20</v>
      </c>
      <c r="J239" s="9" t="s">
        <v>456</v>
      </c>
      <c r="K239" s="9" t="s">
        <v>1776</v>
      </c>
      <c r="L239" s="9" t="s">
        <v>1777</v>
      </c>
      <c r="M239" s="9" t="s">
        <v>1778</v>
      </c>
      <c r="N239" s="9" t="s">
        <v>1779</v>
      </c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0" t="s">
        <v>1780</v>
      </c>
      <c r="B240" s="11" t="s">
        <v>1781</v>
      </c>
      <c r="C240" s="11" t="s">
        <v>1782</v>
      </c>
      <c r="D240" s="11" t="s">
        <v>17</v>
      </c>
      <c r="E240" s="11" t="s">
        <v>18</v>
      </c>
      <c r="F240" s="11" t="s">
        <v>1783</v>
      </c>
      <c r="G240" s="12">
        <v>8278420.0</v>
      </c>
      <c r="H240" s="13"/>
      <c r="I240" s="11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5" t="s">
        <v>1784</v>
      </c>
      <c r="B241" s="6" t="s">
        <v>1785</v>
      </c>
      <c r="C241" s="6" t="s">
        <v>81</v>
      </c>
      <c r="D241" s="6" t="s">
        <v>17</v>
      </c>
      <c r="E241" s="6" t="s">
        <v>18</v>
      </c>
      <c r="F241" s="6" t="s">
        <v>82</v>
      </c>
      <c r="G241" s="7">
        <v>8219967.0</v>
      </c>
      <c r="H241" s="8" t="str">
        <f>HYPERLINK("http://www.hsi.org/","http://www.hsi.org/")</f>
        <v>http://www.hsi.org/</v>
      </c>
      <c r="I241" s="6" t="s">
        <v>20</v>
      </c>
      <c r="J241" s="9" t="s">
        <v>1450</v>
      </c>
      <c r="K241" s="9" t="s">
        <v>994</v>
      </c>
      <c r="L241" s="9" t="s">
        <v>1786</v>
      </c>
      <c r="M241" s="9" t="s">
        <v>1787</v>
      </c>
      <c r="N241" s="9" t="s">
        <v>1788</v>
      </c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0" t="s">
        <v>1789</v>
      </c>
      <c r="B242" s="11" t="s">
        <v>1790</v>
      </c>
      <c r="C242" s="11" t="s">
        <v>1791</v>
      </c>
      <c r="D242" s="11" t="s">
        <v>17</v>
      </c>
      <c r="E242" s="11" t="s">
        <v>18</v>
      </c>
      <c r="F242" s="11" t="s">
        <v>1792</v>
      </c>
      <c r="G242" s="12">
        <v>8191953.0</v>
      </c>
      <c r="H242" s="13"/>
      <c r="I242" s="11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5" t="s">
        <v>1793</v>
      </c>
      <c r="B243" s="6" t="s">
        <v>1794</v>
      </c>
      <c r="C243" s="6" t="s">
        <v>1795</v>
      </c>
      <c r="D243" s="6" t="s">
        <v>17</v>
      </c>
      <c r="E243" s="6" t="s">
        <v>18</v>
      </c>
      <c r="F243" s="6" t="s">
        <v>1406</v>
      </c>
      <c r="G243" s="7">
        <v>8187161.0</v>
      </c>
      <c r="H243" s="8" t="str">
        <f>HYPERLINK("http://www.wtef.org/","http://www.wtef.org/")</f>
        <v>http://www.wtef.org/</v>
      </c>
      <c r="I243" s="6" t="s">
        <v>20</v>
      </c>
      <c r="J243" s="9" t="s">
        <v>570</v>
      </c>
      <c r="K243" s="9" t="s">
        <v>1796</v>
      </c>
      <c r="L243" s="9" t="s">
        <v>1797</v>
      </c>
      <c r="M243" s="9" t="s">
        <v>1798</v>
      </c>
      <c r="N243" s="9" t="s">
        <v>1799</v>
      </c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0" t="s">
        <v>1800</v>
      </c>
      <c r="B244" s="11" t="s">
        <v>1801</v>
      </c>
      <c r="C244" s="11" t="s">
        <v>1802</v>
      </c>
      <c r="D244" s="11" t="s">
        <v>17</v>
      </c>
      <c r="E244" s="11" t="s">
        <v>18</v>
      </c>
      <c r="F244" s="11" t="s">
        <v>1803</v>
      </c>
      <c r="G244" s="12">
        <v>8156303.0</v>
      </c>
      <c r="H244" s="13"/>
      <c r="I244" s="11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5" t="s">
        <v>1804</v>
      </c>
      <c r="B245" s="6" t="s">
        <v>1805</v>
      </c>
      <c r="C245" s="6" t="s">
        <v>1806</v>
      </c>
      <c r="D245" s="6" t="s">
        <v>17</v>
      </c>
      <c r="E245" s="6" t="s">
        <v>18</v>
      </c>
      <c r="F245" s="6" t="s">
        <v>1807</v>
      </c>
      <c r="G245" s="7">
        <v>8153874.0</v>
      </c>
      <c r="H245" s="8" t="str">
        <f>HYPERLINK("http://www.thearc.org/page.aspx?pid=2530","http://www.thearc.org/page.aspx?pid=2530")</f>
        <v>http://www.thearc.org/page.aspx?pid=2530</v>
      </c>
      <c r="I245" s="6" t="s">
        <v>20</v>
      </c>
      <c r="J245" s="9" t="s">
        <v>1808</v>
      </c>
      <c r="K245" s="9" t="s">
        <v>1809</v>
      </c>
      <c r="L245" s="9" t="s">
        <v>1810</v>
      </c>
      <c r="M245" s="9" t="s">
        <v>1811</v>
      </c>
      <c r="N245" s="9" t="s">
        <v>1812</v>
      </c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 t="s">
        <v>1813</v>
      </c>
      <c r="B246" s="6" t="s">
        <v>1814</v>
      </c>
      <c r="C246" s="6" t="s">
        <v>1815</v>
      </c>
      <c r="D246" s="6" t="s">
        <v>17</v>
      </c>
      <c r="E246" s="6" t="s">
        <v>18</v>
      </c>
      <c r="F246" s="6" t="s">
        <v>1816</v>
      </c>
      <c r="G246" s="7">
        <v>8133720.0</v>
      </c>
      <c r="H246" s="8" t="str">
        <f>HYPERLINK("http://all4ed.org/","http://all4ed.org/")</f>
        <v>http://all4ed.org/</v>
      </c>
      <c r="I246" s="6" t="s">
        <v>20</v>
      </c>
      <c r="J246" s="9" t="s">
        <v>1817</v>
      </c>
      <c r="K246" s="9" t="s">
        <v>1818</v>
      </c>
      <c r="L246" s="9" t="s">
        <v>888</v>
      </c>
      <c r="M246" s="9" t="s">
        <v>1819</v>
      </c>
      <c r="N246" s="9" t="s">
        <v>1820</v>
      </c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 t="s">
        <v>1821</v>
      </c>
      <c r="B247" s="6" t="s">
        <v>1822</v>
      </c>
      <c r="C247" s="6" t="s">
        <v>1823</v>
      </c>
      <c r="D247" s="6" t="s">
        <v>17</v>
      </c>
      <c r="E247" s="6" t="s">
        <v>18</v>
      </c>
      <c r="F247" s="6" t="s">
        <v>1824</v>
      </c>
      <c r="G247" s="7">
        <v>8122208.0</v>
      </c>
      <c r="H247" s="8" t="str">
        <f>HYPERLINK("http://www.houseofruth.org/","http://www.houseofruth.org/")</f>
        <v>http://www.houseofruth.org/</v>
      </c>
      <c r="I247" s="6" t="s">
        <v>20</v>
      </c>
      <c r="J247" s="9" t="s">
        <v>456</v>
      </c>
      <c r="K247" s="9" t="s">
        <v>1825</v>
      </c>
      <c r="L247" s="9" t="s">
        <v>1826</v>
      </c>
      <c r="M247" s="9" t="s">
        <v>1827</v>
      </c>
      <c r="N247" s="9" t="s">
        <v>1828</v>
      </c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 t="s">
        <v>1829</v>
      </c>
      <c r="B248" s="6" t="s">
        <v>1830</v>
      </c>
      <c r="C248" s="6" t="s">
        <v>1831</v>
      </c>
      <c r="D248" s="6" t="s">
        <v>17</v>
      </c>
      <c r="E248" s="6" t="s">
        <v>18</v>
      </c>
      <c r="F248" s="6" t="s">
        <v>1832</v>
      </c>
      <c r="G248" s="7">
        <v>8110594.0</v>
      </c>
      <c r="H248" s="8" t="str">
        <f>HYPERLINK("http://www.sibleyfoundation.org/","http://www.sibleyfoundation.org/")</f>
        <v>http://www.sibleyfoundation.org/</v>
      </c>
      <c r="I248" s="6" t="s">
        <v>20</v>
      </c>
      <c r="J248" s="9" t="s">
        <v>456</v>
      </c>
      <c r="K248" s="9" t="s">
        <v>1288</v>
      </c>
      <c r="L248" s="9" t="s">
        <v>1833</v>
      </c>
      <c r="M248" s="9" t="s">
        <v>1834</v>
      </c>
      <c r="N248" s="9" t="s">
        <v>1835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 t="s">
        <v>1836</v>
      </c>
      <c r="B249" s="6" t="s">
        <v>1837</v>
      </c>
      <c r="C249" s="6" t="s">
        <v>1838</v>
      </c>
      <c r="D249" s="6" t="s">
        <v>17</v>
      </c>
      <c r="E249" s="6" t="s">
        <v>18</v>
      </c>
      <c r="F249" s="6" t="s">
        <v>1839</v>
      </c>
      <c r="G249" s="7">
        <v>8105155.0</v>
      </c>
      <c r="H249" s="8" t="str">
        <f>HYPERLINK("http://www.ncai.org/","http://www.ncai.org/")</f>
        <v>http://www.ncai.org/</v>
      </c>
      <c r="I249" s="6" t="s">
        <v>20</v>
      </c>
      <c r="J249" s="9" t="s">
        <v>1840</v>
      </c>
      <c r="K249" s="9" t="s">
        <v>635</v>
      </c>
      <c r="L249" s="9" t="s">
        <v>1841</v>
      </c>
      <c r="M249" s="9" t="s">
        <v>1842</v>
      </c>
      <c r="N249" s="9" t="s">
        <v>1843</v>
      </c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 t="s">
        <v>1844</v>
      </c>
      <c r="B250" s="6" t="s">
        <v>1845</v>
      </c>
      <c r="C250" s="6" t="s">
        <v>1846</v>
      </c>
      <c r="D250" s="6" t="s">
        <v>17</v>
      </c>
      <c r="E250" s="6" t="s">
        <v>18</v>
      </c>
      <c r="F250" s="6" t="s">
        <v>1847</v>
      </c>
      <c r="G250" s="7">
        <v>8024682.0</v>
      </c>
      <c r="H250" s="8" t="str">
        <f t="shared" ref="H250:H251" si="1">HYPERLINK("http://www.actionaidusa.org/","http://www.actionaidusa.org/")</f>
        <v>http://www.actionaidusa.org/</v>
      </c>
      <c r="I250" s="6" t="s">
        <v>20</v>
      </c>
      <c r="J250" s="9" t="s">
        <v>456</v>
      </c>
      <c r="K250" s="9" t="s">
        <v>1848</v>
      </c>
      <c r="L250" s="9" t="s">
        <v>1849</v>
      </c>
      <c r="M250" s="9" t="s">
        <v>1850</v>
      </c>
      <c r="N250" s="9" t="s">
        <v>1851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 t="s">
        <v>1844</v>
      </c>
      <c r="B251" s="6" t="s">
        <v>1845</v>
      </c>
      <c r="C251" s="6" t="s">
        <v>1846</v>
      </c>
      <c r="D251" s="6" t="s">
        <v>17</v>
      </c>
      <c r="E251" s="6" t="s">
        <v>18</v>
      </c>
      <c r="F251" s="6" t="s">
        <v>1847</v>
      </c>
      <c r="G251" s="7">
        <v>8024682.0</v>
      </c>
      <c r="H251" s="8" t="str">
        <f t="shared" si="1"/>
        <v>http://www.actionaidusa.org/</v>
      </c>
      <c r="I251" s="6" t="s">
        <v>20</v>
      </c>
      <c r="J251" s="9" t="s">
        <v>456</v>
      </c>
      <c r="K251" s="9" t="s">
        <v>1848</v>
      </c>
      <c r="L251" s="9" t="s">
        <v>1849</v>
      </c>
      <c r="M251" s="9" t="s">
        <v>1850</v>
      </c>
      <c r="N251" s="9" t="s">
        <v>1851</v>
      </c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0" t="s">
        <v>1852</v>
      </c>
      <c r="B252" s="11" t="s">
        <v>1853</v>
      </c>
      <c r="C252" s="11" t="s">
        <v>1854</v>
      </c>
      <c r="D252" s="11" t="s">
        <v>17</v>
      </c>
      <c r="E252" s="11" t="s">
        <v>18</v>
      </c>
      <c r="F252" s="11" t="s">
        <v>1855</v>
      </c>
      <c r="G252" s="12">
        <v>7976828.0</v>
      </c>
      <c r="H252" s="13"/>
      <c r="I252" s="11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0" t="s">
        <v>1856</v>
      </c>
      <c r="B253" s="11" t="s">
        <v>1857</v>
      </c>
      <c r="C253" s="11" t="s">
        <v>1858</v>
      </c>
      <c r="D253" s="11" t="s">
        <v>17</v>
      </c>
      <c r="E253" s="11" t="s">
        <v>18</v>
      </c>
      <c r="F253" s="11" t="s">
        <v>1859</v>
      </c>
      <c r="G253" s="12">
        <v>7926226.0</v>
      </c>
      <c r="H253" s="13"/>
      <c r="I253" s="11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5" t="s">
        <v>1860</v>
      </c>
      <c r="B254" s="6" t="s">
        <v>1861</v>
      </c>
      <c r="C254" s="6" t="s">
        <v>1862</v>
      </c>
      <c r="D254" s="6" t="s">
        <v>17</v>
      </c>
      <c r="E254" s="6" t="s">
        <v>18</v>
      </c>
      <c r="F254" s="6" t="s">
        <v>1863</v>
      </c>
      <c r="G254" s="7">
        <v>7908716.0</v>
      </c>
      <c r="H254" s="8" t="str">
        <f>HYPERLINK("http://www.councilforastrongamerica.org/","http://www.councilforastrongamerica.org/")</f>
        <v>http://www.councilforastrongamerica.org/</v>
      </c>
      <c r="I254" s="6" t="s">
        <v>20</v>
      </c>
      <c r="J254" s="9" t="s">
        <v>1864</v>
      </c>
      <c r="K254" s="9" t="s">
        <v>1865</v>
      </c>
      <c r="L254" s="9" t="s">
        <v>1866</v>
      </c>
      <c r="M254" s="9" t="s">
        <v>1867</v>
      </c>
      <c r="N254" s="9" t="s">
        <v>1868</v>
      </c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 t="s">
        <v>1869</v>
      </c>
      <c r="B255" s="6" t="s">
        <v>1870</v>
      </c>
      <c r="C255" s="6" t="s">
        <v>1871</v>
      </c>
      <c r="D255" s="6" t="s">
        <v>17</v>
      </c>
      <c r="E255" s="6" t="s">
        <v>18</v>
      </c>
      <c r="F255" s="6" t="s">
        <v>1872</v>
      </c>
      <c r="G255" s="7">
        <v>7831275.0</v>
      </c>
      <c r="H255" s="8" t="str">
        <f>HYPERLINK("http://www.railstotrails.org/","http://www.railstotrails.org/")</f>
        <v>http://www.railstotrails.org/</v>
      </c>
      <c r="I255" s="6" t="s">
        <v>20</v>
      </c>
      <c r="J255" s="9" t="s">
        <v>921</v>
      </c>
      <c r="K255" s="9" t="s">
        <v>1873</v>
      </c>
      <c r="L255" s="9" t="s">
        <v>719</v>
      </c>
      <c r="M255" s="9" t="s">
        <v>1874</v>
      </c>
      <c r="N255" s="9" t="s">
        <v>1875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 t="s">
        <v>1876</v>
      </c>
      <c r="B256" s="6" t="s">
        <v>1877</v>
      </c>
      <c r="C256" s="6" t="s">
        <v>1878</v>
      </c>
      <c r="D256" s="6" t="s">
        <v>17</v>
      </c>
      <c r="E256" s="6" t="s">
        <v>18</v>
      </c>
      <c r="F256" s="6" t="s">
        <v>1879</v>
      </c>
      <c r="G256" s="7">
        <v>7771506.0</v>
      </c>
      <c r="H256" s="8" t="str">
        <f>HYPERLINK("http://dccfh.org/","http://dccfh.org/")</f>
        <v>http://dccfh.org/</v>
      </c>
      <c r="I256" s="6" t="s">
        <v>20</v>
      </c>
      <c r="J256" s="9" t="s">
        <v>74</v>
      </c>
      <c r="K256" s="9" t="s">
        <v>1880</v>
      </c>
      <c r="L256" s="9" t="s">
        <v>1881</v>
      </c>
      <c r="M256" s="9" t="s">
        <v>1882</v>
      </c>
      <c r="N256" s="9" t="s">
        <v>1883</v>
      </c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 t="s">
        <v>1884</v>
      </c>
      <c r="B257" s="6" t="s">
        <v>1885</v>
      </c>
      <c r="C257" s="6" t="s">
        <v>81</v>
      </c>
      <c r="D257" s="6" t="s">
        <v>17</v>
      </c>
      <c r="E257" s="6" t="s">
        <v>18</v>
      </c>
      <c r="F257" s="6" t="s">
        <v>82</v>
      </c>
      <c r="G257" s="7">
        <v>7770266.0</v>
      </c>
      <c r="H257" s="8" t="str">
        <f>HYPERLINK("http://www.hswlt.org/","http://www.hswlt.org/")</f>
        <v>http://www.hswlt.org/</v>
      </c>
      <c r="I257" s="6" t="s">
        <v>20</v>
      </c>
      <c r="J257" s="9" t="s">
        <v>1886</v>
      </c>
      <c r="K257" s="9" t="s">
        <v>1887</v>
      </c>
      <c r="L257" s="9" t="s">
        <v>1888</v>
      </c>
      <c r="M257" s="9" t="s">
        <v>1889</v>
      </c>
      <c r="N257" s="9" t="s">
        <v>1890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 t="s">
        <v>1891</v>
      </c>
      <c r="B258" s="11" t="s">
        <v>1892</v>
      </c>
      <c r="C258" s="11" t="s">
        <v>1893</v>
      </c>
      <c r="D258" s="11" t="s">
        <v>17</v>
      </c>
      <c r="E258" s="11" t="s">
        <v>18</v>
      </c>
      <c r="F258" s="11" t="s">
        <v>1894</v>
      </c>
      <c r="G258" s="12">
        <v>7734353.0</v>
      </c>
      <c r="H258" s="13"/>
      <c r="I258" s="11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5" t="s">
        <v>1895</v>
      </c>
      <c r="B259" s="6" t="s">
        <v>1896</v>
      </c>
      <c r="C259" s="6" t="s">
        <v>1897</v>
      </c>
      <c r="D259" s="6" t="s">
        <v>17</v>
      </c>
      <c r="E259" s="6" t="s">
        <v>18</v>
      </c>
      <c r="F259" s="6" t="s">
        <v>1898</v>
      </c>
      <c r="G259" s="7">
        <v>7722348.0</v>
      </c>
      <c r="H259" s="8" t="str">
        <f>HYPERLINK("http://populationaction.org/","http://populationaction.org/")</f>
        <v>http://populationaction.org/</v>
      </c>
      <c r="I259" s="6" t="s">
        <v>20</v>
      </c>
      <c r="J259" s="9" t="s">
        <v>482</v>
      </c>
      <c r="K259" s="9" t="s">
        <v>270</v>
      </c>
      <c r="L259" s="9" t="s">
        <v>1899</v>
      </c>
      <c r="M259" s="9" t="s">
        <v>1900</v>
      </c>
      <c r="N259" s="9" t="s">
        <v>1901</v>
      </c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 t="s">
        <v>1902</v>
      </c>
      <c r="B260" s="6" t="s">
        <v>1903</v>
      </c>
      <c r="C260" s="6" t="s">
        <v>1904</v>
      </c>
      <c r="D260" s="6" t="s">
        <v>17</v>
      </c>
      <c r="E260" s="6" t="s">
        <v>18</v>
      </c>
      <c r="F260" s="6" t="s">
        <v>1905</v>
      </c>
      <c r="G260" s="7">
        <v>7718911.0</v>
      </c>
      <c r="H260" s="8" t="str">
        <f>HYPERLINK("https://www.neafoundation.org/","https://www.neafoundation.org/")</f>
        <v>https://www.neafoundation.org/</v>
      </c>
      <c r="I260" s="6" t="s">
        <v>20</v>
      </c>
      <c r="J260" s="9" t="s">
        <v>482</v>
      </c>
      <c r="K260" s="9" t="s">
        <v>1906</v>
      </c>
      <c r="L260" s="9" t="s">
        <v>1907</v>
      </c>
      <c r="M260" s="9" t="s">
        <v>1908</v>
      </c>
      <c r="N260" s="9" t="s">
        <v>1909</v>
      </c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1910</v>
      </c>
      <c r="B261" s="11" t="s">
        <v>1911</v>
      </c>
      <c r="C261" s="11" t="s">
        <v>1912</v>
      </c>
      <c r="D261" s="11" t="s">
        <v>17</v>
      </c>
      <c r="E261" s="11" t="s">
        <v>18</v>
      </c>
      <c r="F261" s="11" t="s">
        <v>1913</v>
      </c>
      <c r="G261" s="12">
        <v>7714902.0</v>
      </c>
      <c r="H261" s="13"/>
      <c r="I261" s="11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5" t="s">
        <v>1914</v>
      </c>
      <c r="B262" s="6" t="s">
        <v>1915</v>
      </c>
      <c r="C262" s="6" t="s">
        <v>1916</v>
      </c>
      <c r="D262" s="6" t="s">
        <v>17</v>
      </c>
      <c r="E262" s="6" t="s">
        <v>18</v>
      </c>
      <c r="F262" s="6" t="s">
        <v>218</v>
      </c>
      <c r="G262" s="7">
        <v>7694455.0</v>
      </c>
      <c r="H262" s="8" t="str">
        <f>HYPERLINK("http://www.ywca.org/site/c.cuIRJ7NTKrLaG/b.7515807/k.2737/YWCA__Eliminating_Racism_Empowering_Women.htm","http://www.ywca.org/site/c.cuIRJ7NTKrLaG/b.7515807/k.2737/YWCA__Eliminating_Racism_Empowering_Women.htm")</f>
        <v>http://www.ywca.org/site/c.cuIRJ7NTKrLaG/b.7515807/k.2737/YWCA__Eliminating_Racism_Empowering_Women.htm</v>
      </c>
      <c r="I262" s="6" t="s">
        <v>20</v>
      </c>
      <c r="J262" s="9" t="s">
        <v>1917</v>
      </c>
      <c r="K262" s="9" t="s">
        <v>726</v>
      </c>
      <c r="L262" s="9" t="s">
        <v>1918</v>
      </c>
      <c r="M262" s="9" t="s">
        <v>1919</v>
      </c>
      <c r="N262" s="9" t="s">
        <v>1920</v>
      </c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0" t="s">
        <v>1921</v>
      </c>
      <c r="B263" s="11" t="s">
        <v>1922</v>
      </c>
      <c r="C263" s="11" t="s">
        <v>1923</v>
      </c>
      <c r="D263" s="11" t="s">
        <v>17</v>
      </c>
      <c r="E263" s="11" t="s">
        <v>18</v>
      </c>
      <c r="F263" s="11" t="s">
        <v>1924</v>
      </c>
      <c r="G263" s="12">
        <v>7583839.0</v>
      </c>
      <c r="H263" s="13"/>
      <c r="I263" s="11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0" t="s">
        <v>1925</v>
      </c>
      <c r="B264" s="11" t="s">
        <v>1926</v>
      </c>
      <c r="C264" s="11" t="s">
        <v>1927</v>
      </c>
      <c r="D264" s="11" t="s">
        <v>17</v>
      </c>
      <c r="E264" s="11" t="s">
        <v>18</v>
      </c>
      <c r="F264" s="11" t="s">
        <v>1928</v>
      </c>
      <c r="G264" s="12">
        <v>7559699.0</v>
      </c>
      <c r="H264" s="13"/>
      <c r="I264" s="11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5" t="s">
        <v>1929</v>
      </c>
      <c r="B265" s="6" t="s">
        <v>1930</v>
      </c>
      <c r="C265" s="6" t="s">
        <v>1931</v>
      </c>
      <c r="D265" s="6" t="s">
        <v>17</v>
      </c>
      <c r="E265" s="6" t="s">
        <v>18</v>
      </c>
      <c r="F265" s="6" t="s">
        <v>1932</v>
      </c>
      <c r="G265" s="7">
        <v>7531827.0</v>
      </c>
      <c r="H265" s="8" t="str">
        <f>HYPERLINK("https://www.boardsource.org/eweb/startpage.aspx?site=bds2012","https://www.boardsource.org/eweb/startpage.aspx?site=bds2012")</f>
        <v>https://www.boardsource.org/eweb/startpage.aspx?site=bds2012</v>
      </c>
      <c r="I265" s="6" t="s">
        <v>20</v>
      </c>
      <c r="J265" s="9" t="s">
        <v>1933</v>
      </c>
      <c r="K265" s="9" t="s">
        <v>1934</v>
      </c>
      <c r="L265" s="9" t="s">
        <v>1918</v>
      </c>
      <c r="M265" s="9" t="s">
        <v>1935</v>
      </c>
      <c r="N265" s="9" t="s">
        <v>1936</v>
      </c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 t="s">
        <v>1937</v>
      </c>
      <c r="B266" s="6" t="s">
        <v>1938</v>
      </c>
      <c r="C266" s="6" t="s">
        <v>1939</v>
      </c>
      <c r="D266" s="6" t="s">
        <v>17</v>
      </c>
      <c r="E266" s="6" t="s">
        <v>18</v>
      </c>
      <c r="F266" s="6" t="s">
        <v>1074</v>
      </c>
      <c r="G266" s="7">
        <v>7518925.0</v>
      </c>
      <c r="H266" s="8" t="str">
        <f>HYPERLINK("http://www.publiccharters.org/","http://www.publiccharters.org/")</f>
        <v>http://www.publiccharters.org/</v>
      </c>
      <c r="I266" s="6" t="s">
        <v>20</v>
      </c>
      <c r="J266" s="9" t="s">
        <v>1940</v>
      </c>
      <c r="K266" s="9" t="s">
        <v>1941</v>
      </c>
      <c r="L266" s="9" t="s">
        <v>1942</v>
      </c>
      <c r="M266" s="9" t="s">
        <v>1943</v>
      </c>
      <c r="N266" s="9" t="s">
        <v>1944</v>
      </c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0" t="s">
        <v>1945</v>
      </c>
      <c r="B267" s="11" t="s">
        <v>1946</v>
      </c>
      <c r="C267" s="11" t="s">
        <v>1947</v>
      </c>
      <c r="D267" s="11" t="s">
        <v>17</v>
      </c>
      <c r="E267" s="11" t="s">
        <v>18</v>
      </c>
      <c r="F267" s="11" t="s">
        <v>1948</v>
      </c>
      <c r="G267" s="12">
        <v>7435460.0</v>
      </c>
      <c r="H267" s="13"/>
      <c r="I267" s="11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0" t="s">
        <v>1949</v>
      </c>
      <c r="B268" s="11" t="s">
        <v>1950</v>
      </c>
      <c r="C268" s="11" t="s">
        <v>1951</v>
      </c>
      <c r="D268" s="11" t="s">
        <v>17</v>
      </c>
      <c r="E268" s="11" t="s">
        <v>18</v>
      </c>
      <c r="F268" s="11" t="s">
        <v>1952</v>
      </c>
      <c r="G268" s="12">
        <v>7336640.0</v>
      </c>
      <c r="H268" s="13"/>
      <c r="I268" s="11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5" t="s">
        <v>1953</v>
      </c>
      <c r="B269" s="6" t="s">
        <v>1954</v>
      </c>
      <c r="C269" s="6" t="s">
        <v>1955</v>
      </c>
      <c r="D269" s="6" t="s">
        <v>1956</v>
      </c>
      <c r="E269" s="6" t="s">
        <v>18</v>
      </c>
      <c r="F269" s="6" t="s">
        <v>1957</v>
      </c>
      <c r="G269" s="7">
        <v>7306361.0</v>
      </c>
      <c r="H269" s="8" t="str">
        <f>HYPERLINK("https://www.aaafoundation.org/","https://www.aaafoundation.org/")</f>
        <v>https://www.aaafoundation.org/</v>
      </c>
      <c r="I269" s="6" t="s">
        <v>20</v>
      </c>
      <c r="J269" s="9" t="s">
        <v>1450</v>
      </c>
      <c r="K269" s="9" t="s">
        <v>1958</v>
      </c>
      <c r="L269" s="9" t="s">
        <v>1959</v>
      </c>
      <c r="M269" s="9" t="s">
        <v>1960</v>
      </c>
      <c r="N269" s="9" t="s">
        <v>1961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 t="s">
        <v>1962</v>
      </c>
      <c r="B270" s="6" t="s">
        <v>1963</v>
      </c>
      <c r="C270" s="6" t="s">
        <v>1964</v>
      </c>
      <c r="D270" s="6" t="s">
        <v>17</v>
      </c>
      <c r="E270" s="6" t="s">
        <v>18</v>
      </c>
      <c r="F270" s="6" t="s">
        <v>1965</v>
      </c>
      <c r="G270" s="7">
        <v>7186657.0</v>
      </c>
      <c r="H270" s="8" t="str">
        <f>HYPERLINK("http://www.smartgrowthamerica.org/","http://www.smartgrowthamerica.org/")</f>
        <v>http://www.smartgrowthamerica.org/</v>
      </c>
      <c r="I270" s="6" t="s">
        <v>20</v>
      </c>
      <c r="J270" s="9" t="s">
        <v>1966</v>
      </c>
      <c r="K270" s="9" t="s">
        <v>1967</v>
      </c>
      <c r="L270" s="9" t="s">
        <v>1968</v>
      </c>
      <c r="M270" s="9" t="s">
        <v>1969</v>
      </c>
      <c r="N270" s="9" t="s">
        <v>1970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 t="s">
        <v>1971</v>
      </c>
      <c r="B271" s="6" t="s">
        <v>1972</v>
      </c>
      <c r="C271" s="6" t="s">
        <v>1973</v>
      </c>
      <c r="D271" s="6" t="s">
        <v>17</v>
      </c>
      <c r="E271" s="6" t="s">
        <v>18</v>
      </c>
      <c r="F271" s="6" t="s">
        <v>1974</v>
      </c>
      <c r="G271" s="7">
        <v>7167006.0</v>
      </c>
      <c r="H271" s="8" t="str">
        <f>HYPERLINK("https://awionline.org/","https://awionline.org/")</f>
        <v>https://awionline.org/</v>
      </c>
      <c r="I271" s="6" t="s">
        <v>20</v>
      </c>
      <c r="J271" s="9" t="s">
        <v>1287</v>
      </c>
      <c r="K271" s="9" t="s">
        <v>1472</v>
      </c>
      <c r="L271" s="9" t="s">
        <v>1975</v>
      </c>
      <c r="M271" s="9" t="s">
        <v>1976</v>
      </c>
      <c r="N271" s="9" t="s">
        <v>1977</v>
      </c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 t="s">
        <v>1978</v>
      </c>
      <c r="B272" s="6" t="s">
        <v>1979</v>
      </c>
      <c r="C272" s="6" t="s">
        <v>1980</v>
      </c>
      <c r="D272" s="6" t="s">
        <v>17</v>
      </c>
      <c r="E272" s="6" t="s">
        <v>18</v>
      </c>
      <c r="F272" s="6" t="s">
        <v>1981</v>
      </c>
      <c r="G272" s="7">
        <v>7136633.0</v>
      </c>
      <c r="H272" s="8" t="str">
        <f>HYPERLINK("http://www.heartofamerica.org/","http://www.heartofamerica.org/")</f>
        <v>http://www.heartofamerica.org/</v>
      </c>
      <c r="I272" s="6" t="s">
        <v>20</v>
      </c>
      <c r="J272" s="9" t="s">
        <v>1982</v>
      </c>
      <c r="K272" s="9" t="s">
        <v>1983</v>
      </c>
      <c r="L272" s="9" t="s">
        <v>1984</v>
      </c>
      <c r="M272" s="9" t="s">
        <v>1985</v>
      </c>
      <c r="N272" s="9" t="s">
        <v>1986</v>
      </c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0" t="s">
        <v>1987</v>
      </c>
      <c r="B273" s="11" t="s">
        <v>1988</v>
      </c>
      <c r="C273" s="11" t="s">
        <v>1989</v>
      </c>
      <c r="D273" s="11" t="s">
        <v>17</v>
      </c>
      <c r="E273" s="11" t="s">
        <v>18</v>
      </c>
      <c r="F273" s="11" t="s">
        <v>510</v>
      </c>
      <c r="G273" s="12">
        <v>7070200.0</v>
      </c>
      <c r="H273" s="13"/>
      <c r="I273" s="11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5" t="s">
        <v>1990</v>
      </c>
      <c r="B274" s="6" t="s">
        <v>1991</v>
      </c>
      <c r="C274" s="6" t="s">
        <v>1992</v>
      </c>
      <c r="D274" s="6" t="s">
        <v>17</v>
      </c>
      <c r="E274" s="6" t="s">
        <v>18</v>
      </c>
      <c r="F274" s="6" t="s">
        <v>1993</v>
      </c>
      <c r="G274" s="7">
        <v>7013588.0</v>
      </c>
      <c r="H274" s="8" t="str">
        <f>HYPERLINK("http://www.lcdp.org/","http://www.lcdp.org/")</f>
        <v>http://www.lcdp.org/</v>
      </c>
      <c r="I274" s="6" t="s">
        <v>20</v>
      </c>
      <c r="J274" s="9" t="s">
        <v>21</v>
      </c>
      <c r="K274" s="9" t="s">
        <v>1994</v>
      </c>
      <c r="L274" s="9" t="s">
        <v>1995</v>
      </c>
      <c r="M274" s="9" t="s">
        <v>1996</v>
      </c>
      <c r="N274" s="9" t="s">
        <v>1997</v>
      </c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 t="s">
        <v>1998</v>
      </c>
      <c r="B275" s="6" t="s">
        <v>1999</v>
      </c>
      <c r="C275" s="6" t="s">
        <v>2000</v>
      </c>
      <c r="D275" s="6" t="s">
        <v>17</v>
      </c>
      <c r="E275" s="6" t="s">
        <v>18</v>
      </c>
      <c r="F275" s="6" t="s">
        <v>1183</v>
      </c>
      <c r="G275" s="7">
        <v>7003897.0</v>
      </c>
      <c r="H275" s="8" t="str">
        <f>HYPERLINK("http://frac.org/","http://frac.org/")</f>
        <v>http://frac.org/</v>
      </c>
      <c r="I275" s="6" t="s">
        <v>20</v>
      </c>
      <c r="J275" s="9" t="s">
        <v>456</v>
      </c>
      <c r="K275" s="9" t="s">
        <v>75</v>
      </c>
      <c r="L275" s="9" t="s">
        <v>2001</v>
      </c>
      <c r="M275" s="9" t="s">
        <v>2002</v>
      </c>
      <c r="N275" s="9" t="s">
        <v>2003</v>
      </c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 t="s">
        <v>2004</v>
      </c>
      <c r="B276" s="6" t="s">
        <v>2005</v>
      </c>
      <c r="C276" s="6" t="s">
        <v>2006</v>
      </c>
      <c r="D276" s="6" t="s">
        <v>17</v>
      </c>
      <c r="E276" s="6" t="s">
        <v>18</v>
      </c>
      <c r="F276" s="6" t="s">
        <v>2007</v>
      </c>
      <c r="G276" s="7">
        <v>6971327.0</v>
      </c>
      <c r="H276" s="8" t="str">
        <f>HYPERLINK("http://www.boystown.org/locations/washington-dc","http://www.boystown.org/locations/washington-dc")</f>
        <v>http://www.boystown.org/locations/washington-dc</v>
      </c>
      <c r="I276" s="6" t="s">
        <v>20</v>
      </c>
      <c r="J276" s="9" t="s">
        <v>570</v>
      </c>
      <c r="K276" s="9" t="s">
        <v>2008</v>
      </c>
      <c r="L276" s="9" t="s">
        <v>2009</v>
      </c>
      <c r="M276" s="9" t="s">
        <v>2010</v>
      </c>
      <c r="N276" s="9" t="s">
        <v>2011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 t="s">
        <v>2012</v>
      </c>
      <c r="B277" s="6" t="s">
        <v>2013</v>
      </c>
      <c r="C277" s="6" t="s">
        <v>2014</v>
      </c>
      <c r="D277" s="6" t="s">
        <v>17</v>
      </c>
      <c r="E277" s="6" t="s">
        <v>18</v>
      </c>
      <c r="F277" s="6" t="s">
        <v>753</v>
      </c>
      <c r="G277" s="7">
        <v>6942640.0</v>
      </c>
      <c r="H277" s="8" t="str">
        <f>HYPERLINK("http://www.bens.org/","http://www.bens.org/")</f>
        <v>http://www.bens.org/</v>
      </c>
      <c r="I277" s="6" t="s">
        <v>20</v>
      </c>
      <c r="J277" s="9" t="s">
        <v>2015</v>
      </c>
      <c r="K277" s="9" t="s">
        <v>2016</v>
      </c>
      <c r="L277" s="9" t="s">
        <v>2017</v>
      </c>
      <c r="M277" s="9" t="s">
        <v>2018</v>
      </c>
      <c r="N277" s="9" t="s">
        <v>2019</v>
      </c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 t="s">
        <v>2020</v>
      </c>
      <c r="B278" s="6" t="s">
        <v>2021</v>
      </c>
      <c r="C278" s="6" t="s">
        <v>2022</v>
      </c>
      <c r="D278" s="6" t="s">
        <v>17</v>
      </c>
      <c r="E278" s="6" t="s">
        <v>18</v>
      </c>
      <c r="F278" s="6" t="s">
        <v>2023</v>
      </c>
      <c r="G278" s="7">
        <v>6904315.0</v>
      </c>
      <c r="H278" s="8" t="str">
        <f>HYPERLINK("http://www.hriresearch.org/","http://www.hriresearch.org/")</f>
        <v>http://www.hriresearch.org/</v>
      </c>
      <c r="I278" s="6" t="s">
        <v>20</v>
      </c>
      <c r="J278" s="9" t="s">
        <v>1450</v>
      </c>
      <c r="K278" s="9" t="s">
        <v>194</v>
      </c>
      <c r="L278" s="9" t="s">
        <v>2024</v>
      </c>
      <c r="M278" s="9" t="s">
        <v>2025</v>
      </c>
      <c r="N278" s="9" t="s">
        <v>2026</v>
      </c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 t="s">
        <v>2027</v>
      </c>
      <c r="B279" s="11" t="s">
        <v>2028</v>
      </c>
      <c r="C279" s="11" t="s">
        <v>2029</v>
      </c>
      <c r="D279" s="11" t="s">
        <v>17</v>
      </c>
      <c r="E279" s="11" t="s">
        <v>18</v>
      </c>
      <c r="F279" s="11" t="s">
        <v>2030</v>
      </c>
      <c r="G279" s="12">
        <v>6896200.0</v>
      </c>
      <c r="H279" s="13"/>
      <c r="I279" s="11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5" t="s">
        <v>2031</v>
      </c>
      <c r="B280" s="6" t="s">
        <v>2032</v>
      </c>
      <c r="C280" s="6" t="s">
        <v>2033</v>
      </c>
      <c r="D280" s="6" t="s">
        <v>17</v>
      </c>
      <c r="E280" s="6" t="s">
        <v>18</v>
      </c>
      <c r="F280" s="6" t="s">
        <v>2034</v>
      </c>
      <c r="G280" s="7">
        <v>6866895.0</v>
      </c>
      <c r="H280" s="8" t="str">
        <f>HYPERLINK("http://support.washhumane.org/site/PageServer","http://support.washhumane.org/site/PageServer")</f>
        <v>http://support.washhumane.org/site/PageServer</v>
      </c>
      <c r="I280" s="6" t="s">
        <v>20</v>
      </c>
      <c r="J280" s="9" t="s">
        <v>1075</v>
      </c>
      <c r="K280" s="9" t="s">
        <v>1185</v>
      </c>
      <c r="L280" s="9" t="s">
        <v>2035</v>
      </c>
      <c r="M280" s="9" t="s">
        <v>2036</v>
      </c>
      <c r="N280" s="9" t="s">
        <v>2037</v>
      </c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 t="s">
        <v>2038</v>
      </c>
      <c r="B281" s="6" t="s">
        <v>2039</v>
      </c>
      <c r="C281" s="6" t="s">
        <v>2040</v>
      </c>
      <c r="D281" s="6" t="s">
        <v>17</v>
      </c>
      <c r="E281" s="6" t="s">
        <v>18</v>
      </c>
      <c r="F281" s="6" t="s">
        <v>2041</v>
      </c>
      <c r="G281" s="7">
        <v>6835470.0</v>
      </c>
      <c r="H281" s="8" t="str">
        <f>HYPERLINK("http://jointcenter.org/","http://jointcenter.org/")</f>
        <v>http://jointcenter.org/</v>
      </c>
      <c r="I281" s="6" t="s">
        <v>20</v>
      </c>
      <c r="J281" s="9" t="s">
        <v>2042</v>
      </c>
      <c r="K281" s="9" t="s">
        <v>2043</v>
      </c>
      <c r="L281" s="9" t="s">
        <v>2044</v>
      </c>
      <c r="M281" s="9" t="s">
        <v>2045</v>
      </c>
      <c r="N281" s="9" t="s">
        <v>2046</v>
      </c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 t="s">
        <v>2047</v>
      </c>
      <c r="B282" s="11" t="s">
        <v>2048</v>
      </c>
      <c r="C282" s="11" t="s">
        <v>2049</v>
      </c>
      <c r="D282" s="11" t="s">
        <v>17</v>
      </c>
      <c r="E282" s="11" t="s">
        <v>18</v>
      </c>
      <c r="F282" s="11" t="s">
        <v>2050</v>
      </c>
      <c r="G282" s="12">
        <v>6824898.0</v>
      </c>
      <c r="H282" s="13"/>
      <c r="I282" s="11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0" t="s">
        <v>2051</v>
      </c>
      <c r="B283" s="11" t="s">
        <v>2052</v>
      </c>
      <c r="C283" s="11" t="s">
        <v>2053</v>
      </c>
      <c r="D283" s="11" t="s">
        <v>17</v>
      </c>
      <c r="E283" s="11" t="s">
        <v>18</v>
      </c>
      <c r="F283" s="11" t="s">
        <v>218</v>
      </c>
      <c r="G283" s="12">
        <v>6757438.0</v>
      </c>
      <c r="H283" s="13"/>
      <c r="I283" s="11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0" t="s">
        <v>2054</v>
      </c>
      <c r="B284" s="11" t="s">
        <v>2055</v>
      </c>
      <c r="C284" s="11" t="s">
        <v>2056</v>
      </c>
      <c r="D284" s="11" t="s">
        <v>17</v>
      </c>
      <c r="E284" s="11" t="s">
        <v>18</v>
      </c>
      <c r="F284" s="11" t="s">
        <v>2057</v>
      </c>
      <c r="G284" s="12">
        <v>6717298.0</v>
      </c>
      <c r="H284" s="13"/>
      <c r="I284" s="11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5" t="s">
        <v>2058</v>
      </c>
      <c r="B285" s="6" t="s">
        <v>2059</v>
      </c>
      <c r="C285" s="6" t="s">
        <v>2060</v>
      </c>
      <c r="D285" s="6" t="s">
        <v>17</v>
      </c>
      <c r="E285" s="6" t="s">
        <v>18</v>
      </c>
      <c r="F285" s="6" t="s">
        <v>2061</v>
      </c>
      <c r="G285" s="7">
        <v>6700430.0</v>
      </c>
      <c r="H285" s="8" t="str">
        <f>HYPERLINK("http://www.youngmarines.com/","http://www.youngmarines.com/")</f>
        <v>http://www.youngmarines.com/</v>
      </c>
      <c r="I285" s="6" t="s">
        <v>20</v>
      </c>
      <c r="J285" s="9" t="s">
        <v>2062</v>
      </c>
      <c r="K285" s="9" t="s">
        <v>194</v>
      </c>
      <c r="L285" s="9" t="s">
        <v>2063</v>
      </c>
      <c r="M285" s="9" t="s">
        <v>2064</v>
      </c>
      <c r="N285" s="9" t="s">
        <v>2065</v>
      </c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 t="s">
        <v>2066</v>
      </c>
      <c r="B286" s="6" t="s">
        <v>2067</v>
      </c>
      <c r="C286" s="6" t="s">
        <v>2068</v>
      </c>
      <c r="D286" s="6" t="s">
        <v>17</v>
      </c>
      <c r="E286" s="6" t="s">
        <v>18</v>
      </c>
      <c r="F286" s="6" t="s">
        <v>2069</v>
      </c>
      <c r="G286" s="7">
        <v>6686056.0</v>
      </c>
      <c r="H286" s="8" t="str">
        <f>HYPERLINK("http://www.nationalpartnership.org/","http://www.nationalpartnership.org/")</f>
        <v>http://www.nationalpartnership.org/</v>
      </c>
      <c r="I286" s="6" t="s">
        <v>20</v>
      </c>
      <c r="J286" s="9" t="s">
        <v>2070</v>
      </c>
      <c r="K286" s="9" t="s">
        <v>2071</v>
      </c>
      <c r="L286" s="9" t="s">
        <v>2072</v>
      </c>
      <c r="M286" s="9" t="s">
        <v>2073</v>
      </c>
      <c r="N286" s="9" t="s">
        <v>2074</v>
      </c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 t="s">
        <v>2075</v>
      </c>
      <c r="B287" s="11" t="s">
        <v>2076</v>
      </c>
      <c r="C287" s="11" t="s">
        <v>2077</v>
      </c>
      <c r="D287" s="11" t="s">
        <v>17</v>
      </c>
      <c r="E287" s="11" t="s">
        <v>18</v>
      </c>
      <c r="F287" s="11" t="s">
        <v>2078</v>
      </c>
      <c r="G287" s="12">
        <v>6675873.0</v>
      </c>
      <c r="H287" s="13"/>
      <c r="I287" s="11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5" t="s">
        <v>2079</v>
      </c>
      <c r="B288" s="6" t="s">
        <v>2080</v>
      </c>
      <c r="C288" s="6" t="s">
        <v>2081</v>
      </c>
      <c r="D288" s="6" t="s">
        <v>17</v>
      </c>
      <c r="E288" s="6" t="s">
        <v>18</v>
      </c>
      <c r="F288" s="6" t="s">
        <v>2082</v>
      </c>
      <c r="G288" s="7">
        <v>6651570.0</v>
      </c>
      <c r="H288" s="8" t="str">
        <f>HYPERLINK("http://www.washingtonyuying.org/","http://www.washingtonyuying.org/")</f>
        <v>http://www.washingtonyuying.org/</v>
      </c>
      <c r="I288" s="6" t="s">
        <v>20</v>
      </c>
      <c r="J288" s="9" t="s">
        <v>2083</v>
      </c>
      <c r="K288" s="9" t="s">
        <v>2084</v>
      </c>
      <c r="L288" s="9" t="s">
        <v>2085</v>
      </c>
      <c r="M288" s="9" t="s">
        <v>2086</v>
      </c>
      <c r="N288" s="9" t="s">
        <v>2087</v>
      </c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 t="s">
        <v>2088</v>
      </c>
      <c r="B289" s="11" t="s">
        <v>2089</v>
      </c>
      <c r="C289" s="11" t="s">
        <v>2090</v>
      </c>
      <c r="D289" s="11" t="s">
        <v>17</v>
      </c>
      <c r="E289" s="11" t="s">
        <v>18</v>
      </c>
      <c r="F289" s="11" t="s">
        <v>2091</v>
      </c>
      <c r="G289" s="12">
        <v>6581071.0</v>
      </c>
      <c r="H289" s="13"/>
      <c r="I289" s="11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0" t="s">
        <v>2092</v>
      </c>
      <c r="B290" s="11" t="s">
        <v>2093</v>
      </c>
      <c r="C290" s="11" t="s">
        <v>2094</v>
      </c>
      <c r="D290" s="11" t="s">
        <v>17</v>
      </c>
      <c r="E290" s="11" t="s">
        <v>18</v>
      </c>
      <c r="F290" s="11" t="s">
        <v>2095</v>
      </c>
      <c r="G290" s="12">
        <v>6526175.0</v>
      </c>
      <c r="H290" s="13"/>
      <c r="I290" s="11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0" t="s">
        <v>2096</v>
      </c>
      <c r="B291" s="11" t="s">
        <v>2097</v>
      </c>
      <c r="C291" s="11" t="s">
        <v>2098</v>
      </c>
      <c r="D291" s="11" t="s">
        <v>17</v>
      </c>
      <c r="E291" s="11" t="s">
        <v>18</v>
      </c>
      <c r="F291" s="11" t="s">
        <v>2099</v>
      </c>
      <c r="G291" s="12">
        <v>6446930.0</v>
      </c>
      <c r="H291" s="13"/>
      <c r="I291" s="11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5" t="s">
        <v>2100</v>
      </c>
      <c r="B292" s="6" t="s">
        <v>2101</v>
      </c>
      <c r="C292" s="6" t="s">
        <v>2102</v>
      </c>
      <c r="D292" s="6" t="s">
        <v>17</v>
      </c>
      <c r="E292" s="6" t="s">
        <v>18</v>
      </c>
      <c r="F292" s="6" t="s">
        <v>2103</v>
      </c>
      <c r="G292" s="7">
        <v>6422986.0</v>
      </c>
      <c r="H292" s="8" t="str">
        <f>HYPERLINK("http://allianceforschoolchoice.org/","http://allianceforschoolchoice.org/")</f>
        <v>http://allianceforschoolchoice.org/</v>
      </c>
      <c r="I292" s="6" t="s">
        <v>20</v>
      </c>
      <c r="J292" s="9" t="s">
        <v>2104</v>
      </c>
      <c r="K292" s="9" t="s">
        <v>2105</v>
      </c>
      <c r="L292" s="9" t="s">
        <v>2106</v>
      </c>
      <c r="M292" s="9" t="s">
        <v>2107</v>
      </c>
      <c r="N292" s="9" t="s">
        <v>2108</v>
      </c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 t="s">
        <v>2109</v>
      </c>
      <c r="B293" s="6" t="s">
        <v>2110</v>
      </c>
      <c r="C293" s="6" t="s">
        <v>2111</v>
      </c>
      <c r="D293" s="6" t="s">
        <v>17</v>
      </c>
      <c r="E293" s="6" t="s">
        <v>18</v>
      </c>
      <c r="F293" s="6" t="s">
        <v>2112</v>
      </c>
      <c r="G293" s="7">
        <v>6356685.0</v>
      </c>
      <c r="H293" s="8" t="str">
        <f>HYPERLINK("http://www.mideasti.org/","http://www.mideasti.org/")</f>
        <v>http://www.mideasti.org/</v>
      </c>
      <c r="I293" s="6" t="s">
        <v>20</v>
      </c>
      <c r="J293" s="9" t="s">
        <v>1550</v>
      </c>
      <c r="K293" s="9" t="s">
        <v>2113</v>
      </c>
      <c r="L293" s="9" t="s">
        <v>2114</v>
      </c>
      <c r="M293" s="9" t="s">
        <v>2115</v>
      </c>
      <c r="N293" s="9" t="s">
        <v>2116</v>
      </c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 t="s">
        <v>2117</v>
      </c>
      <c r="B294" s="6" t="s">
        <v>2118</v>
      </c>
      <c r="C294" s="6" t="s">
        <v>2119</v>
      </c>
      <c r="D294" s="6" t="s">
        <v>17</v>
      </c>
      <c r="E294" s="6" t="s">
        <v>18</v>
      </c>
      <c r="F294" s="6" t="s">
        <v>2120</v>
      </c>
      <c r="G294" s="7">
        <v>6347614.0</v>
      </c>
      <c r="H294" s="8" t="str">
        <f>HYPERLINK("http://www.cwfa.org/","http://www.cwfa.org/")</f>
        <v>http://www.cwfa.org/</v>
      </c>
      <c r="I294" s="6" t="s">
        <v>20</v>
      </c>
      <c r="J294" s="9" t="s">
        <v>2121</v>
      </c>
      <c r="K294" s="9" t="s">
        <v>2122</v>
      </c>
      <c r="L294" s="9" t="s">
        <v>353</v>
      </c>
      <c r="M294" s="9" t="s">
        <v>2123</v>
      </c>
      <c r="N294" s="9" t="s">
        <v>2124</v>
      </c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0" t="s">
        <v>2125</v>
      </c>
      <c r="B295" s="11" t="s">
        <v>2126</v>
      </c>
      <c r="C295" s="11" t="s">
        <v>2127</v>
      </c>
      <c r="D295" s="11" t="s">
        <v>17</v>
      </c>
      <c r="E295" s="11" t="s">
        <v>18</v>
      </c>
      <c r="F295" s="11" t="s">
        <v>136</v>
      </c>
      <c r="G295" s="12">
        <v>6342399.0</v>
      </c>
      <c r="H295" s="13"/>
      <c r="I295" s="11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5" t="s">
        <v>2128</v>
      </c>
      <c r="B296" s="6" t="s">
        <v>2129</v>
      </c>
      <c r="C296" s="6" t="s">
        <v>2130</v>
      </c>
      <c r="D296" s="6" t="s">
        <v>17</v>
      </c>
      <c r="E296" s="6" t="s">
        <v>18</v>
      </c>
      <c r="F296" s="6" t="s">
        <v>2131</v>
      </c>
      <c r="G296" s="7">
        <v>6331152.0</v>
      </c>
      <c r="H296" s="8" t="str">
        <f>HYPERLINK("http://www.lcvef.org/","http://www.lcvef.org/")</f>
        <v>http://www.lcvef.org/</v>
      </c>
      <c r="I296" s="6" t="s">
        <v>20</v>
      </c>
      <c r="J296" s="9" t="s">
        <v>101</v>
      </c>
      <c r="K296" s="9" t="s">
        <v>2132</v>
      </c>
      <c r="L296" s="9" t="s">
        <v>2133</v>
      </c>
      <c r="M296" s="9" t="s">
        <v>2134</v>
      </c>
      <c r="N296" s="9" t="s">
        <v>2135</v>
      </c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 t="s">
        <v>2136</v>
      </c>
      <c r="B297" s="6" t="s">
        <v>2137</v>
      </c>
      <c r="C297" s="6" t="s">
        <v>2138</v>
      </c>
      <c r="D297" s="6" t="s">
        <v>17</v>
      </c>
      <c r="E297" s="6" t="s">
        <v>18</v>
      </c>
      <c r="F297" s="6" t="s">
        <v>2139</v>
      </c>
      <c r="G297" s="7">
        <v>6302103.0</v>
      </c>
      <c r="H297" s="8" t="str">
        <f>HYPERLINK("http://www.breadforthecity.org/","http://www.breadforthecity.org/")</f>
        <v>http://www.breadforthecity.org/</v>
      </c>
      <c r="I297" s="6" t="s">
        <v>20</v>
      </c>
      <c r="J297" s="9" t="s">
        <v>21</v>
      </c>
      <c r="K297" s="9" t="s">
        <v>2140</v>
      </c>
      <c r="L297" s="9" t="s">
        <v>2141</v>
      </c>
      <c r="M297" s="9" t="s">
        <v>2142</v>
      </c>
      <c r="N297" s="9" t="s">
        <v>2143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0" t="s">
        <v>2144</v>
      </c>
      <c r="B298" s="11" t="s">
        <v>2145</v>
      </c>
      <c r="C298" s="11" t="s">
        <v>2146</v>
      </c>
      <c r="D298" s="11" t="s">
        <v>17</v>
      </c>
      <c r="E298" s="11" t="s">
        <v>18</v>
      </c>
      <c r="F298" s="11" t="s">
        <v>2147</v>
      </c>
      <c r="G298" s="12">
        <v>6300852.0</v>
      </c>
      <c r="H298" s="13"/>
      <c r="I298" s="11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5" t="s">
        <v>2148</v>
      </c>
      <c r="B299" s="6" t="s">
        <v>2149</v>
      </c>
      <c r="C299" s="6" t="s">
        <v>1705</v>
      </c>
      <c r="D299" s="6" t="s">
        <v>17</v>
      </c>
      <c r="E299" s="6" t="s">
        <v>18</v>
      </c>
      <c r="F299" s="6" t="s">
        <v>1706</v>
      </c>
      <c r="G299" s="7">
        <v>6281067.0</v>
      </c>
      <c r="H299" s="8" t="str">
        <f>HYPERLINK("http://www.turkishculturalfoundation.org/","http://www.turkishculturalfoundation.org/")</f>
        <v>http://www.turkishculturalfoundation.org/</v>
      </c>
      <c r="I299" s="6" t="s">
        <v>20</v>
      </c>
      <c r="J299" s="9" t="s">
        <v>1287</v>
      </c>
      <c r="K299" s="9" t="s">
        <v>2150</v>
      </c>
      <c r="L299" s="9" t="s">
        <v>2151</v>
      </c>
      <c r="M299" s="9" t="s">
        <v>2152</v>
      </c>
      <c r="N299" s="9" t="s">
        <v>2153</v>
      </c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 t="s">
        <v>2154</v>
      </c>
      <c r="B300" s="6" t="s">
        <v>2155</v>
      </c>
      <c r="C300" s="6" t="s">
        <v>2156</v>
      </c>
      <c r="D300" s="6" t="s">
        <v>17</v>
      </c>
      <c r="E300" s="6" t="s">
        <v>18</v>
      </c>
      <c r="F300" s="6" t="s">
        <v>2157</v>
      </c>
      <c r="G300" s="7">
        <v>6276164.0</v>
      </c>
      <c r="H300" s="8" t="str">
        <f>HYPERLINK("http://www.saintjohn.org/","http://www.saintjohn.org/")</f>
        <v>http://www.saintjohn.org/</v>
      </c>
      <c r="I300" s="6" t="s">
        <v>20</v>
      </c>
      <c r="J300" s="9" t="s">
        <v>1287</v>
      </c>
      <c r="K300" s="9" t="s">
        <v>2158</v>
      </c>
      <c r="L300" s="9" t="s">
        <v>2159</v>
      </c>
      <c r="M300" s="9" t="s">
        <v>2160</v>
      </c>
      <c r="N300" s="9" t="s">
        <v>2161</v>
      </c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 t="s">
        <v>2162</v>
      </c>
      <c r="B301" s="6" t="s">
        <v>2163</v>
      </c>
      <c r="C301" s="6" t="s">
        <v>2164</v>
      </c>
      <c r="D301" s="6" t="s">
        <v>17</v>
      </c>
      <c r="E301" s="6" t="s">
        <v>18</v>
      </c>
      <c r="F301" s="6" t="s">
        <v>2165</v>
      </c>
      <c r="G301" s="7">
        <v>6235984.0</v>
      </c>
      <c r="H301" s="8" t="str">
        <f>HYPERLINK("http://www.asaecenter.org/foundation2/","http://www.asaecenter.org/foundation2/")</f>
        <v>http://www.asaecenter.org/foundation2/</v>
      </c>
      <c r="I301" s="6" t="s">
        <v>20</v>
      </c>
      <c r="J301" s="9" t="s">
        <v>30</v>
      </c>
      <c r="K301" s="9" t="s">
        <v>2166</v>
      </c>
      <c r="L301" s="9" t="s">
        <v>2167</v>
      </c>
      <c r="M301" s="9" t="s">
        <v>2168</v>
      </c>
      <c r="N301" s="9" t="s">
        <v>2169</v>
      </c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 t="s">
        <v>2170</v>
      </c>
      <c r="B302" s="6" t="s">
        <v>2171</v>
      </c>
      <c r="C302" s="6" t="s">
        <v>2172</v>
      </c>
      <c r="D302" s="6" t="s">
        <v>17</v>
      </c>
      <c r="E302" s="6" t="s">
        <v>18</v>
      </c>
      <c r="F302" s="6" t="s">
        <v>2173</v>
      </c>
      <c r="G302" s="7">
        <v>6213885.0</v>
      </c>
      <c r="H302" s="8" t="str">
        <f>HYPERLINK("http://www.bva.org/","http://www.bva.org/")</f>
        <v>http://www.bva.org/</v>
      </c>
      <c r="I302" s="6" t="s">
        <v>20</v>
      </c>
      <c r="J302" s="9" t="s">
        <v>570</v>
      </c>
      <c r="K302" s="9" t="s">
        <v>387</v>
      </c>
      <c r="L302" s="9" t="s">
        <v>2174</v>
      </c>
      <c r="M302" s="9" t="s">
        <v>2175</v>
      </c>
      <c r="N302" s="9" t="s">
        <v>2176</v>
      </c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0" t="s">
        <v>2177</v>
      </c>
      <c r="B303" s="11" t="s">
        <v>2178</v>
      </c>
      <c r="C303" s="11" t="s">
        <v>2179</v>
      </c>
      <c r="D303" s="11" t="s">
        <v>17</v>
      </c>
      <c r="E303" s="11" t="s">
        <v>18</v>
      </c>
      <c r="F303" s="11" t="s">
        <v>2180</v>
      </c>
      <c r="G303" s="12">
        <v>6208032.0</v>
      </c>
      <c r="H303" s="13"/>
      <c r="I303" s="11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5" t="s">
        <v>2181</v>
      </c>
      <c r="B304" s="6" t="s">
        <v>2182</v>
      </c>
      <c r="C304" s="6" t="s">
        <v>2183</v>
      </c>
      <c r="D304" s="6" t="s">
        <v>17</v>
      </c>
      <c r="E304" s="6" t="s">
        <v>18</v>
      </c>
      <c r="F304" s="6" t="s">
        <v>2184</v>
      </c>
      <c r="G304" s="7">
        <v>6192809.0</v>
      </c>
      <c r="H304" s="8" t="str">
        <f>HYPERLINK("http://sunlightfoundation.com/","http://sunlightfoundation.com/")</f>
        <v>http://sunlightfoundation.com/</v>
      </c>
      <c r="I304" s="6" t="s">
        <v>20</v>
      </c>
      <c r="J304" s="9" t="s">
        <v>2185</v>
      </c>
      <c r="K304" s="9" t="s">
        <v>2186</v>
      </c>
      <c r="L304" s="9" t="s">
        <v>2187</v>
      </c>
      <c r="M304" s="9" t="s">
        <v>2188</v>
      </c>
      <c r="N304" s="9" t="s">
        <v>2189</v>
      </c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 t="s">
        <v>2190</v>
      </c>
      <c r="B305" s="6" t="s">
        <v>2191</v>
      </c>
      <c r="C305" s="6" t="s">
        <v>2192</v>
      </c>
      <c r="D305" s="6" t="s">
        <v>17</v>
      </c>
      <c r="E305" s="6" t="s">
        <v>18</v>
      </c>
      <c r="F305" s="6" t="s">
        <v>2193</v>
      </c>
      <c r="G305" s="7">
        <v>6143000.0</v>
      </c>
      <c r="H305" s="8" t="str">
        <f>HYPERLINK("http://www.americansforthearts.org/","http://www.americansforthearts.org/")</f>
        <v>http://www.americansforthearts.org/</v>
      </c>
      <c r="I305" s="6" t="s">
        <v>20</v>
      </c>
      <c r="J305" s="9" t="s">
        <v>482</v>
      </c>
      <c r="K305" s="9" t="s">
        <v>1727</v>
      </c>
      <c r="L305" s="9" t="s">
        <v>2194</v>
      </c>
      <c r="M305" s="9" t="s">
        <v>2195</v>
      </c>
      <c r="N305" s="9" t="s">
        <v>2196</v>
      </c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 t="s">
        <v>2197</v>
      </c>
      <c r="B306" s="6" t="s">
        <v>2198</v>
      </c>
      <c r="C306" s="6" t="s">
        <v>2199</v>
      </c>
      <c r="D306" s="6" t="s">
        <v>17</v>
      </c>
      <c r="E306" s="6" t="s">
        <v>18</v>
      </c>
      <c r="F306" s="6" t="s">
        <v>2200</v>
      </c>
      <c r="G306" s="7">
        <v>6123440.0</v>
      </c>
      <c r="H306" s="8" t="str">
        <f>HYPERLINK("http://www.clb.org/","http://www.clb.org/")</f>
        <v>http://www.clb.org/</v>
      </c>
      <c r="I306" s="6" t="s">
        <v>20</v>
      </c>
      <c r="J306" s="9" t="s">
        <v>2201</v>
      </c>
      <c r="K306" s="9" t="s">
        <v>2202</v>
      </c>
      <c r="L306" s="9" t="s">
        <v>2203</v>
      </c>
      <c r="M306" s="9" t="s">
        <v>2204</v>
      </c>
      <c r="N306" s="9" t="s">
        <v>2205</v>
      </c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 t="s">
        <v>2206</v>
      </c>
      <c r="B307" s="6" t="s">
        <v>2207</v>
      </c>
      <c r="C307" s="6" t="s">
        <v>2208</v>
      </c>
      <c r="D307" s="6" t="s">
        <v>17</v>
      </c>
      <c r="E307" s="6" t="s">
        <v>18</v>
      </c>
      <c r="F307" s="6" t="s">
        <v>2209</v>
      </c>
      <c r="G307" s="7">
        <v>6122128.0</v>
      </c>
      <c r="H307" s="8" t="str">
        <f>HYPERLINK("http://nof.org/","http://nof.org/")</f>
        <v>http://nof.org/</v>
      </c>
      <c r="I307" s="6" t="s">
        <v>20</v>
      </c>
      <c r="J307" s="9" t="s">
        <v>1735</v>
      </c>
      <c r="K307" s="9" t="s">
        <v>718</v>
      </c>
      <c r="L307" s="9" t="s">
        <v>2210</v>
      </c>
      <c r="M307" s="9" t="s">
        <v>2211</v>
      </c>
      <c r="N307" s="9" t="s">
        <v>2212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 t="s">
        <v>2213</v>
      </c>
      <c r="B308" s="6" t="s">
        <v>2214</v>
      </c>
      <c r="C308" s="6" t="s">
        <v>2215</v>
      </c>
      <c r="D308" s="6" t="s">
        <v>17</v>
      </c>
      <c r="E308" s="6" t="s">
        <v>18</v>
      </c>
      <c r="F308" s="6" t="s">
        <v>2216</v>
      </c>
      <c r="G308" s="7">
        <v>6098882.0</v>
      </c>
      <c r="H308" s="8" t="str">
        <f>HYPERLINK("http://www.seeforever.org/","http://www.seeforever.org/")</f>
        <v>http://www.seeforever.org/</v>
      </c>
      <c r="I308" s="6" t="s">
        <v>20</v>
      </c>
      <c r="J308" s="9" t="s">
        <v>21</v>
      </c>
      <c r="K308" s="9" t="s">
        <v>1460</v>
      </c>
      <c r="L308" s="9" t="s">
        <v>2217</v>
      </c>
      <c r="M308" s="9" t="s">
        <v>2218</v>
      </c>
      <c r="N308" s="9" t="s">
        <v>2219</v>
      </c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 t="s">
        <v>2220</v>
      </c>
      <c r="B309" s="6" t="s">
        <v>2221</v>
      </c>
      <c r="C309" s="6" t="s">
        <v>2222</v>
      </c>
      <c r="D309" s="6" t="s">
        <v>17</v>
      </c>
      <c r="E309" s="6" t="s">
        <v>18</v>
      </c>
      <c r="F309" s="6" t="s">
        <v>2223</v>
      </c>
      <c r="G309" s="7">
        <v>6089258.0</v>
      </c>
      <c r="H309" s="8" t="str">
        <f>HYPERLINK("https://armedforcesfoundation.org/","https://armedforcesfoundation.org/")</f>
        <v>https://armedforcesfoundation.org/</v>
      </c>
      <c r="I309" s="6" t="s">
        <v>20</v>
      </c>
      <c r="J309" s="9" t="s">
        <v>570</v>
      </c>
      <c r="K309" s="9" t="s">
        <v>2224</v>
      </c>
      <c r="L309" s="9" t="s">
        <v>2225</v>
      </c>
      <c r="M309" s="9" t="s">
        <v>2226</v>
      </c>
      <c r="N309" s="9" t="s">
        <v>2227</v>
      </c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 t="s">
        <v>2228</v>
      </c>
      <c r="B310" s="6" t="s">
        <v>2229</v>
      </c>
      <c r="C310" s="6" t="s">
        <v>2230</v>
      </c>
      <c r="D310" s="6" t="s">
        <v>17</v>
      </c>
      <c r="E310" s="6" t="s">
        <v>18</v>
      </c>
      <c r="F310" s="6" t="s">
        <v>368</v>
      </c>
      <c r="G310" s="7">
        <v>6078802.0</v>
      </c>
      <c r="H310" s="8" t="str">
        <f>HYPERLINK("http://www.ellingtonschool.org/","http://www.ellingtonschool.org/")</f>
        <v>http://www.ellingtonschool.org/</v>
      </c>
      <c r="I310" s="6" t="s">
        <v>20</v>
      </c>
      <c r="J310" s="9" t="s">
        <v>21</v>
      </c>
      <c r="K310" s="9" t="s">
        <v>369</v>
      </c>
      <c r="L310" s="9" t="s">
        <v>370</v>
      </c>
      <c r="M310" s="9" t="s">
        <v>371</v>
      </c>
      <c r="N310" s="9" t="s">
        <v>372</v>
      </c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 t="s">
        <v>2231</v>
      </c>
      <c r="B311" s="6" t="s">
        <v>2232</v>
      </c>
      <c r="C311" s="6" t="s">
        <v>2233</v>
      </c>
      <c r="D311" s="6" t="s">
        <v>17</v>
      </c>
      <c r="E311" s="6" t="s">
        <v>18</v>
      </c>
      <c r="F311" s="6" t="s">
        <v>2234</v>
      </c>
      <c r="G311" s="7">
        <v>6058001.0</v>
      </c>
      <c r="H311" s="8" t="str">
        <f>HYPERLINK("http://www.cnas.org/","http://www.cnas.org/")</f>
        <v>http://www.cnas.org/</v>
      </c>
      <c r="I311" s="6" t="s">
        <v>20</v>
      </c>
      <c r="J311" s="9" t="s">
        <v>2235</v>
      </c>
      <c r="K311" s="9" t="s">
        <v>22</v>
      </c>
      <c r="L311" s="9" t="s">
        <v>2236</v>
      </c>
      <c r="M311" s="9" t="s">
        <v>2237</v>
      </c>
      <c r="N311" s="9" t="s">
        <v>2238</v>
      </c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 t="s">
        <v>2239</v>
      </c>
      <c r="B312" s="6" t="s">
        <v>2240</v>
      </c>
      <c r="C312" s="6" t="s">
        <v>2241</v>
      </c>
      <c r="D312" s="6" t="s">
        <v>17</v>
      </c>
      <c r="E312" s="6" t="s">
        <v>18</v>
      </c>
      <c r="F312" s="6" t="s">
        <v>2242</v>
      </c>
      <c r="G312" s="7">
        <v>6023675.0</v>
      </c>
      <c r="H312" s="8" t="str">
        <f>HYPERLINK("http://www.breastcancerdeadline2020.org/homepage.html","http://www.breastcancerdeadline2020.org/homepage.html")</f>
        <v>http://www.breastcancerdeadline2020.org/homepage.html</v>
      </c>
      <c r="I312" s="6" t="s">
        <v>20</v>
      </c>
      <c r="J312" s="9" t="s">
        <v>2083</v>
      </c>
      <c r="K312" s="9" t="s">
        <v>2243</v>
      </c>
      <c r="L312" s="9" t="s">
        <v>2244</v>
      </c>
      <c r="M312" s="9" t="s">
        <v>2245</v>
      </c>
      <c r="N312" s="9" t="s">
        <v>2246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0" t="s">
        <v>2247</v>
      </c>
      <c r="B313" s="11" t="s">
        <v>2248</v>
      </c>
      <c r="C313" s="11" t="s">
        <v>2249</v>
      </c>
      <c r="D313" s="11" t="s">
        <v>17</v>
      </c>
      <c r="E313" s="11" t="s">
        <v>18</v>
      </c>
      <c r="F313" s="11" t="s">
        <v>2250</v>
      </c>
      <c r="G313" s="12">
        <v>5988964.0</v>
      </c>
      <c r="H313" s="13"/>
      <c r="I313" s="11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5" t="s">
        <v>2251</v>
      </c>
      <c r="B314" s="6" t="s">
        <v>2252</v>
      </c>
      <c r="C314" s="6" t="s">
        <v>2253</v>
      </c>
      <c r="D314" s="6" t="s">
        <v>17</v>
      </c>
      <c r="E314" s="6" t="s">
        <v>18</v>
      </c>
      <c r="F314" s="6" t="s">
        <v>2254</v>
      </c>
      <c r="G314" s="7">
        <v>5974019.0</v>
      </c>
      <c r="H314" s="8" t="str">
        <f>HYPERLINK("http://www.ewg.org/","http://www.ewg.org/")</f>
        <v>http://www.ewg.org/</v>
      </c>
      <c r="I314" s="6" t="s">
        <v>20</v>
      </c>
      <c r="J314" s="9" t="s">
        <v>482</v>
      </c>
      <c r="K314" s="9" t="s">
        <v>2255</v>
      </c>
      <c r="L314" s="9" t="s">
        <v>2256</v>
      </c>
      <c r="M314" s="9" t="s">
        <v>2257</v>
      </c>
      <c r="N314" s="9" t="s">
        <v>2258</v>
      </c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 t="s">
        <v>2259</v>
      </c>
      <c r="B315" s="6" t="s">
        <v>2260</v>
      </c>
      <c r="C315" s="6" t="s">
        <v>2261</v>
      </c>
      <c r="D315" s="6" t="s">
        <v>17</v>
      </c>
      <c r="E315" s="6" t="s">
        <v>18</v>
      </c>
      <c r="F315" s="6" t="s">
        <v>2262</v>
      </c>
      <c r="G315" s="7">
        <v>5972906.0</v>
      </c>
      <c r="H315" s="8" t="str">
        <f>HYPERLINK("http://ucp.org/","http://ucp.org/")</f>
        <v>http://ucp.org/</v>
      </c>
      <c r="I315" s="6" t="s">
        <v>20</v>
      </c>
      <c r="J315" s="9" t="s">
        <v>21</v>
      </c>
      <c r="K315" s="9" t="s">
        <v>2263</v>
      </c>
      <c r="L315" s="9" t="s">
        <v>2264</v>
      </c>
      <c r="M315" s="9" t="s">
        <v>2265</v>
      </c>
      <c r="N315" s="9" t="s">
        <v>2266</v>
      </c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 t="s">
        <v>2267</v>
      </c>
      <c r="B316" s="11" t="s">
        <v>2268</v>
      </c>
      <c r="C316" s="11" t="s">
        <v>2269</v>
      </c>
      <c r="D316" s="11" t="s">
        <v>17</v>
      </c>
      <c r="E316" s="11" t="s">
        <v>18</v>
      </c>
      <c r="F316" s="11" t="s">
        <v>2270</v>
      </c>
      <c r="G316" s="12">
        <v>5931920.0</v>
      </c>
      <c r="H316" s="13"/>
      <c r="I316" s="11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5" t="s">
        <v>2271</v>
      </c>
      <c r="B317" s="6" t="s">
        <v>2272</v>
      </c>
      <c r="C317" s="6" t="s">
        <v>2273</v>
      </c>
      <c r="D317" s="6" t="s">
        <v>17</v>
      </c>
      <c r="E317" s="6" t="s">
        <v>18</v>
      </c>
      <c r="F317" s="6" t="s">
        <v>2274</v>
      </c>
      <c r="G317" s="7">
        <v>5921778.0</v>
      </c>
      <c r="H317" s="8" t="str">
        <f>HYPERLINK("http://www.sixthandi.org/","http://www.sixthandi.org/")</f>
        <v>http://www.sixthandi.org/</v>
      </c>
      <c r="I317" s="6" t="s">
        <v>20</v>
      </c>
      <c r="J317" s="9" t="s">
        <v>456</v>
      </c>
      <c r="K317" s="9" t="s">
        <v>1994</v>
      </c>
      <c r="L317" s="9" t="s">
        <v>2275</v>
      </c>
      <c r="M317" s="9" t="s">
        <v>2276</v>
      </c>
      <c r="N317" s="9" t="s">
        <v>2277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 t="s">
        <v>2278</v>
      </c>
      <c r="B318" s="6" t="s">
        <v>2279</v>
      </c>
      <c r="C318" s="6" t="s">
        <v>2280</v>
      </c>
      <c r="D318" s="6" t="s">
        <v>17</v>
      </c>
      <c r="E318" s="6" t="s">
        <v>18</v>
      </c>
      <c r="F318" s="6" t="s">
        <v>2281</v>
      </c>
      <c r="G318" s="7">
        <v>5884151.0</v>
      </c>
      <c r="H318" s="8" t="str">
        <f>HYPERLINK("http://www.nationalcherryblossomfestival.org/","http://www.nationalcherryblossomfestival.org/")</f>
        <v>http://www.nationalcherryblossomfestival.org/</v>
      </c>
      <c r="I318" s="6" t="s">
        <v>20</v>
      </c>
      <c r="J318" s="9" t="s">
        <v>1817</v>
      </c>
      <c r="K318" s="9" t="s">
        <v>2282</v>
      </c>
      <c r="L318" s="9" t="s">
        <v>2283</v>
      </c>
      <c r="M318" s="9" t="s">
        <v>2284</v>
      </c>
      <c r="N318" s="9" t="s">
        <v>2285</v>
      </c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 t="s">
        <v>2286</v>
      </c>
      <c r="B319" s="6" t="s">
        <v>2287</v>
      </c>
      <c r="C319" s="6" t="s">
        <v>2288</v>
      </c>
      <c r="D319" s="6" t="s">
        <v>17</v>
      </c>
      <c r="E319" s="6" t="s">
        <v>18</v>
      </c>
      <c r="F319" s="6" t="s">
        <v>2289</v>
      </c>
      <c r="G319" s="7">
        <v>5852411.0</v>
      </c>
      <c r="H319" s="8" t="str">
        <f>HYPERLINK("http://cfenterprises.org/","http://cfenterprises.org/")</f>
        <v>http://cfenterprises.org/</v>
      </c>
      <c r="I319" s="6" t="s">
        <v>20</v>
      </c>
      <c r="J319" s="9" t="s">
        <v>2290</v>
      </c>
      <c r="K319" s="9" t="s">
        <v>177</v>
      </c>
      <c r="L319" s="9" t="s">
        <v>2291</v>
      </c>
      <c r="M319" s="9" t="s">
        <v>2292</v>
      </c>
      <c r="N319" s="9" t="s">
        <v>2293</v>
      </c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 t="s">
        <v>2294</v>
      </c>
      <c r="B320" s="6" t="s">
        <v>2295</v>
      </c>
      <c r="C320" s="6" t="s">
        <v>2296</v>
      </c>
      <c r="D320" s="6" t="s">
        <v>17</v>
      </c>
      <c r="E320" s="6" t="s">
        <v>18</v>
      </c>
      <c r="F320" s="6" t="s">
        <v>2297</v>
      </c>
      <c r="G320" s="7">
        <v>5847849.0</v>
      </c>
      <c r="H320" s="8" t="str">
        <f>HYPERLINK("http://hispanicfund.org/","http://hispanicfund.org/")</f>
        <v>http://hispanicfund.org/</v>
      </c>
      <c r="I320" s="6" t="s">
        <v>20</v>
      </c>
      <c r="J320" s="9" t="s">
        <v>2298</v>
      </c>
      <c r="K320" s="9" t="s">
        <v>2299</v>
      </c>
      <c r="L320" s="9" t="s">
        <v>2300</v>
      </c>
      <c r="M320" s="9" t="s">
        <v>2301</v>
      </c>
      <c r="N320" s="9" t="s">
        <v>2302</v>
      </c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0" t="s">
        <v>2303</v>
      </c>
      <c r="B321" s="11" t="s">
        <v>2304</v>
      </c>
      <c r="C321" s="11" t="s">
        <v>2305</v>
      </c>
      <c r="D321" s="11" t="s">
        <v>17</v>
      </c>
      <c r="E321" s="11" t="s">
        <v>18</v>
      </c>
      <c r="F321" s="11" t="s">
        <v>2306</v>
      </c>
      <c r="G321" s="12">
        <v>5827295.0</v>
      </c>
      <c r="H321" s="13"/>
      <c r="I321" s="11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5" t="s">
        <v>2307</v>
      </c>
      <c r="B322" s="6" t="s">
        <v>2308</v>
      </c>
      <c r="C322" s="6" t="s">
        <v>2309</v>
      </c>
      <c r="D322" s="6" t="s">
        <v>17</v>
      </c>
      <c r="E322" s="6" t="s">
        <v>18</v>
      </c>
      <c r="F322" s="6" t="s">
        <v>1615</v>
      </c>
      <c r="G322" s="7">
        <v>5821690.0</v>
      </c>
      <c r="H322" s="8" t="str">
        <f>HYPERLINK("http://neworganizingeducation.com/","http://neworganizingeducation.com/")</f>
        <v>http://neworganizingeducation.com/</v>
      </c>
      <c r="I322" s="6" t="s">
        <v>20</v>
      </c>
      <c r="J322" s="9" t="s">
        <v>831</v>
      </c>
      <c r="K322" s="9" t="s">
        <v>194</v>
      </c>
      <c r="L322" s="9" t="s">
        <v>2310</v>
      </c>
      <c r="M322" s="9" t="s">
        <v>2311</v>
      </c>
      <c r="N322" s="9" t="s">
        <v>2312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 t="s">
        <v>2313</v>
      </c>
      <c r="B323" s="6" t="s">
        <v>2314</v>
      </c>
      <c r="C323" s="6" t="s">
        <v>2315</v>
      </c>
      <c r="D323" s="6" t="s">
        <v>17</v>
      </c>
      <c r="E323" s="6" t="s">
        <v>18</v>
      </c>
      <c r="F323" s="6" t="s">
        <v>2316</v>
      </c>
      <c r="G323" s="7">
        <v>5761991.0</v>
      </c>
      <c r="H323" s="8" t="str">
        <f>HYPERLINK("http://www.cwla.org/","http://www.cwla.org/")</f>
        <v>http://www.cwla.org/</v>
      </c>
      <c r="I323" s="6" t="s">
        <v>20</v>
      </c>
      <c r="J323" s="9" t="s">
        <v>252</v>
      </c>
      <c r="K323" s="9" t="s">
        <v>2071</v>
      </c>
      <c r="L323" s="9" t="s">
        <v>2317</v>
      </c>
      <c r="M323" s="9" t="s">
        <v>2318</v>
      </c>
      <c r="N323" s="9" t="s">
        <v>2319</v>
      </c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0" t="s">
        <v>2320</v>
      </c>
      <c r="B324" s="11" t="s">
        <v>2321</v>
      </c>
      <c r="C324" s="11" t="s">
        <v>2322</v>
      </c>
      <c r="D324" s="11" t="s">
        <v>17</v>
      </c>
      <c r="E324" s="11" t="s">
        <v>18</v>
      </c>
      <c r="F324" s="11" t="s">
        <v>175</v>
      </c>
      <c r="G324" s="12">
        <v>5726786.0</v>
      </c>
      <c r="H324" s="13"/>
      <c r="I324" s="11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5" t="s">
        <v>2323</v>
      </c>
      <c r="B325" s="6" t="s">
        <v>2324</v>
      </c>
      <c r="C325" s="6" t="s">
        <v>2325</v>
      </c>
      <c r="D325" s="6" t="s">
        <v>17</v>
      </c>
      <c r="E325" s="6" t="s">
        <v>18</v>
      </c>
      <c r="F325" s="6" t="s">
        <v>2326</v>
      </c>
      <c r="G325" s="7">
        <v>5722133.0</v>
      </c>
      <c r="H325" s="8" t="str">
        <f>HYPERLINK("http://www.washingtonhospitality.org/","http://www.washingtonhospitality.org/")</f>
        <v>http://www.washingtonhospitality.org/</v>
      </c>
      <c r="I325" s="6" t="s">
        <v>20</v>
      </c>
      <c r="J325" s="9" t="s">
        <v>1287</v>
      </c>
      <c r="K325" s="9" t="s">
        <v>194</v>
      </c>
      <c r="L325" s="9" t="s">
        <v>2327</v>
      </c>
      <c r="M325" s="9" t="s">
        <v>2328</v>
      </c>
      <c r="N325" s="9" t="s">
        <v>2329</v>
      </c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 t="s">
        <v>2330</v>
      </c>
      <c r="B326" s="6" t="s">
        <v>2331</v>
      </c>
      <c r="C326" s="6" t="s">
        <v>2332</v>
      </c>
      <c r="D326" s="6" t="s">
        <v>17</v>
      </c>
      <c r="E326" s="6" t="s">
        <v>18</v>
      </c>
      <c r="F326" s="6" t="s">
        <v>2333</v>
      </c>
      <c r="G326" s="7">
        <v>5685930.0</v>
      </c>
      <c r="H326" s="8" t="str">
        <f>HYPERLINK("http://christhouse.org/","http://christhouse.org/")</f>
        <v>http://christhouse.org/</v>
      </c>
      <c r="I326" s="6" t="s">
        <v>20</v>
      </c>
      <c r="J326" s="9" t="s">
        <v>456</v>
      </c>
      <c r="K326" s="9" t="s">
        <v>270</v>
      </c>
      <c r="L326" s="9" t="s">
        <v>2334</v>
      </c>
      <c r="M326" s="9" t="s">
        <v>2335</v>
      </c>
      <c r="N326" s="9" t="s">
        <v>2336</v>
      </c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0" t="s">
        <v>2337</v>
      </c>
      <c r="B327" s="11" t="s">
        <v>2338</v>
      </c>
      <c r="C327" s="11" t="s">
        <v>2339</v>
      </c>
      <c r="D327" s="11" t="s">
        <v>17</v>
      </c>
      <c r="E327" s="11" t="s">
        <v>18</v>
      </c>
      <c r="F327" s="11" t="s">
        <v>2340</v>
      </c>
      <c r="G327" s="12">
        <v>5632718.0</v>
      </c>
      <c r="H327" s="13"/>
      <c r="I327" s="11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5" t="s">
        <v>2341</v>
      </c>
      <c r="B328" s="6" t="s">
        <v>2342</v>
      </c>
      <c r="C328" s="6" t="s">
        <v>2343</v>
      </c>
      <c r="D328" s="6" t="s">
        <v>17</v>
      </c>
      <c r="E328" s="6" t="s">
        <v>18</v>
      </c>
      <c r="F328" s="6" t="s">
        <v>2344</v>
      </c>
      <c r="G328" s="7">
        <v>5621663.0</v>
      </c>
      <c r="H328" s="8" t="str">
        <f>HYPERLINK("https://www.studiotheatre.org/","https://www.studiotheatre.org/")</f>
        <v>https://www.studiotheatre.org/</v>
      </c>
      <c r="I328" s="6" t="s">
        <v>20</v>
      </c>
      <c r="J328" s="9" t="s">
        <v>1375</v>
      </c>
      <c r="K328" s="9" t="s">
        <v>2345</v>
      </c>
      <c r="L328" s="9" t="s">
        <v>1757</v>
      </c>
      <c r="M328" s="9" t="s">
        <v>2346</v>
      </c>
      <c r="N328" s="9" t="s">
        <v>2347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 t="s">
        <v>2348</v>
      </c>
      <c r="B329" s="6" t="s">
        <v>2349</v>
      </c>
      <c r="C329" s="6" t="s">
        <v>2350</v>
      </c>
      <c r="D329" s="6" t="s">
        <v>17</v>
      </c>
      <c r="E329" s="6" t="s">
        <v>18</v>
      </c>
      <c r="F329" s="6" t="s">
        <v>2351</v>
      </c>
      <c r="G329" s="7">
        <v>5599644.0</v>
      </c>
      <c r="H329" s="8" t="str">
        <f>HYPERLINK("http://www.dccanceranswers.org/","http://www.dccanceranswers.org/")</f>
        <v>http://www.dccanceranswers.org/</v>
      </c>
      <c r="I329" s="6" t="s">
        <v>20</v>
      </c>
      <c r="J329" s="9" t="s">
        <v>2352</v>
      </c>
      <c r="K329" s="9" t="s">
        <v>2353</v>
      </c>
      <c r="L329" s="9" t="s">
        <v>2354</v>
      </c>
      <c r="M329" s="9" t="s">
        <v>2355</v>
      </c>
      <c r="N329" s="9" t="s">
        <v>2356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 t="s">
        <v>2357</v>
      </c>
      <c r="B330" s="6" t="s">
        <v>2358</v>
      </c>
      <c r="C330" s="6" t="s">
        <v>2359</v>
      </c>
      <c r="D330" s="6" t="s">
        <v>17</v>
      </c>
      <c r="E330" s="6" t="s">
        <v>18</v>
      </c>
      <c r="F330" s="6" t="s">
        <v>2360</v>
      </c>
      <c r="G330" s="7">
        <v>5544890.0</v>
      </c>
      <c r="H330" s="8" t="str">
        <f>HYPERLINK("http://www.foe.org/","http://www.foe.org/")</f>
        <v>http://www.foe.org/</v>
      </c>
      <c r="I330" s="6" t="s">
        <v>20</v>
      </c>
      <c r="J330" s="9" t="s">
        <v>2361</v>
      </c>
      <c r="K330" s="9" t="s">
        <v>1029</v>
      </c>
      <c r="L330" s="9" t="s">
        <v>2362</v>
      </c>
      <c r="M330" s="9" t="s">
        <v>2363</v>
      </c>
      <c r="N330" s="9" t="s">
        <v>2364</v>
      </c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 t="s">
        <v>2365</v>
      </c>
      <c r="B331" s="6" t="s">
        <v>2366</v>
      </c>
      <c r="C331" s="6" t="s">
        <v>2367</v>
      </c>
      <c r="D331" s="6" t="s">
        <v>17</v>
      </c>
      <c r="E331" s="6" t="s">
        <v>18</v>
      </c>
      <c r="F331" s="6" t="s">
        <v>2368</v>
      </c>
      <c r="G331" s="7">
        <v>5538920.0</v>
      </c>
      <c r="H331" s="8" t="str">
        <f>HYPERLINK("http://www.lungcanceralliance.org/","http://www.lungcanceralliance.org/")</f>
        <v>http://www.lungcanceralliance.org/</v>
      </c>
      <c r="I331" s="6" t="s">
        <v>20</v>
      </c>
      <c r="J331" s="9" t="s">
        <v>74</v>
      </c>
      <c r="K331" s="9" t="s">
        <v>2369</v>
      </c>
      <c r="L331" s="9" t="s">
        <v>2370</v>
      </c>
      <c r="M331" s="9" t="s">
        <v>2371</v>
      </c>
      <c r="N331" s="9" t="s">
        <v>2372</v>
      </c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 t="s">
        <v>2373</v>
      </c>
      <c r="B332" s="6" t="s">
        <v>2374</v>
      </c>
      <c r="C332" s="6" t="s">
        <v>2375</v>
      </c>
      <c r="D332" s="6" t="s">
        <v>17</v>
      </c>
      <c r="E332" s="6" t="s">
        <v>18</v>
      </c>
      <c r="F332" s="6" t="s">
        <v>2376</v>
      </c>
      <c r="G332" s="7">
        <v>5535561.0</v>
      </c>
      <c r="H332" s="8" t="str">
        <f>HYPERLINK("http://www.navymemorial.org/","http://www.navymemorial.org/")</f>
        <v>http://www.navymemorial.org/</v>
      </c>
      <c r="I332" s="6" t="s">
        <v>20</v>
      </c>
      <c r="J332" s="9" t="s">
        <v>1296</v>
      </c>
      <c r="K332" s="9" t="s">
        <v>2377</v>
      </c>
      <c r="L332" s="9" t="s">
        <v>2378</v>
      </c>
      <c r="M332" s="9" t="s">
        <v>2379</v>
      </c>
      <c r="N332" s="9" t="s">
        <v>2380</v>
      </c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0" t="s">
        <v>2381</v>
      </c>
      <c r="B333" s="11" t="s">
        <v>2382</v>
      </c>
      <c r="C333" s="11" t="s">
        <v>2383</v>
      </c>
      <c r="D333" s="11" t="s">
        <v>17</v>
      </c>
      <c r="E333" s="11" t="s">
        <v>18</v>
      </c>
      <c r="F333" s="11" t="s">
        <v>2384</v>
      </c>
      <c r="G333" s="12">
        <v>5527651.0</v>
      </c>
      <c r="H333" s="13"/>
      <c r="I333" s="11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0" t="s">
        <v>2385</v>
      </c>
      <c r="B334" s="11" t="s">
        <v>2386</v>
      </c>
      <c r="C334" s="11" t="s">
        <v>2387</v>
      </c>
      <c r="D334" s="11" t="s">
        <v>17</v>
      </c>
      <c r="E334" s="11" t="s">
        <v>18</v>
      </c>
      <c r="F334" s="11" t="s">
        <v>2388</v>
      </c>
      <c r="G334" s="12">
        <v>5496994.0</v>
      </c>
      <c r="H334" s="13"/>
      <c r="I334" s="11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0" t="s">
        <v>2389</v>
      </c>
      <c r="B335" s="11" t="s">
        <v>2390</v>
      </c>
      <c r="C335" s="11" t="s">
        <v>2391</v>
      </c>
      <c r="D335" s="11" t="s">
        <v>17</v>
      </c>
      <c r="E335" s="11" t="s">
        <v>18</v>
      </c>
      <c r="F335" s="11" t="s">
        <v>2392</v>
      </c>
      <c r="G335" s="12">
        <v>5493045.0</v>
      </c>
      <c r="H335" s="13"/>
      <c r="I335" s="11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0" t="s">
        <v>2393</v>
      </c>
      <c r="B336" s="11" t="s">
        <v>2394</v>
      </c>
      <c r="C336" s="11" t="s">
        <v>2395</v>
      </c>
      <c r="D336" s="11" t="s">
        <v>17</v>
      </c>
      <c r="E336" s="11" t="s">
        <v>18</v>
      </c>
      <c r="F336" s="11" t="s">
        <v>2396</v>
      </c>
      <c r="G336" s="12">
        <v>5448149.0</v>
      </c>
      <c r="H336" s="13"/>
      <c r="I336" s="11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0" t="s">
        <v>2397</v>
      </c>
      <c r="B337" s="11" t="s">
        <v>2398</v>
      </c>
      <c r="C337" s="11" t="s">
        <v>2399</v>
      </c>
      <c r="D337" s="11" t="s">
        <v>17</v>
      </c>
      <c r="E337" s="11" t="s">
        <v>18</v>
      </c>
      <c r="F337" s="11" t="s">
        <v>2400</v>
      </c>
      <c r="G337" s="12">
        <v>5425038.0</v>
      </c>
      <c r="H337" s="13"/>
      <c r="I337" s="11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5" t="s">
        <v>2401</v>
      </c>
      <c r="B338" s="6" t="s">
        <v>2402</v>
      </c>
      <c r="C338" s="6" t="s">
        <v>2403</v>
      </c>
      <c r="D338" s="6" t="s">
        <v>17</v>
      </c>
      <c r="E338" s="6" t="s">
        <v>18</v>
      </c>
      <c r="F338" s="6" t="s">
        <v>2404</v>
      </c>
      <c r="G338" s="7">
        <v>5413789.0</v>
      </c>
      <c r="H338" s="8" t="str">
        <f>HYPERLINK("http://www.catholiccharitiesdc.org/","http://www.catholiccharitiesdc.org/")</f>
        <v>http://www.catholiccharitiesdc.org/</v>
      </c>
      <c r="I338" s="6" t="s">
        <v>20</v>
      </c>
      <c r="J338" s="9" t="s">
        <v>21</v>
      </c>
      <c r="K338" s="9" t="s">
        <v>1692</v>
      </c>
      <c r="L338" s="9" t="s">
        <v>2405</v>
      </c>
      <c r="M338" s="9" t="s">
        <v>2406</v>
      </c>
      <c r="N338" s="9" t="s">
        <v>2407</v>
      </c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 t="s">
        <v>2408</v>
      </c>
      <c r="B339" s="6" t="s">
        <v>2409</v>
      </c>
      <c r="C339" s="6" t="s">
        <v>2410</v>
      </c>
      <c r="D339" s="6" t="s">
        <v>17</v>
      </c>
      <c r="E339" s="6" t="s">
        <v>18</v>
      </c>
      <c r="F339" s="6" t="s">
        <v>2411</v>
      </c>
      <c r="G339" s="7">
        <v>5389963.0</v>
      </c>
      <c r="H339" s="8" t="str">
        <f>HYPERLINK("https://cdt.org/","https://cdt.org/")</f>
        <v>https://cdt.org/</v>
      </c>
      <c r="I339" s="6" t="s">
        <v>20</v>
      </c>
      <c r="J339" s="9" t="s">
        <v>570</v>
      </c>
      <c r="K339" s="9" t="s">
        <v>1994</v>
      </c>
      <c r="L339" s="9" t="s">
        <v>2412</v>
      </c>
      <c r="M339" s="9" t="s">
        <v>2413</v>
      </c>
      <c r="N339" s="9" t="s">
        <v>2414</v>
      </c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 t="s">
        <v>2415</v>
      </c>
      <c r="B340" s="6" t="s">
        <v>2416</v>
      </c>
      <c r="C340" s="6" t="s">
        <v>2417</v>
      </c>
      <c r="D340" s="6" t="s">
        <v>17</v>
      </c>
      <c r="E340" s="6" t="s">
        <v>18</v>
      </c>
      <c r="F340" s="6" t="s">
        <v>2418</v>
      </c>
      <c r="G340" s="7">
        <v>5371588.0</v>
      </c>
      <c r="H340" s="8" t="str">
        <f>HYPERLINK("http://www.nationalmssociety.org/Chapters/DCW","http://www.nationalmssociety.org/Chapters/DCW")</f>
        <v>http://www.nationalmssociety.org/Chapters/DCW</v>
      </c>
      <c r="I340" s="6" t="s">
        <v>20</v>
      </c>
      <c r="J340" s="9" t="s">
        <v>456</v>
      </c>
      <c r="K340" s="9" t="s">
        <v>1271</v>
      </c>
      <c r="L340" s="9" t="s">
        <v>2419</v>
      </c>
      <c r="M340" s="9" t="s">
        <v>2420</v>
      </c>
      <c r="N340" s="9" t="s">
        <v>2421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 t="s">
        <v>2422</v>
      </c>
      <c r="B341" s="6" t="s">
        <v>2423</v>
      </c>
      <c r="C341" s="6" t="s">
        <v>2424</v>
      </c>
      <c r="D341" s="6" t="s">
        <v>17</v>
      </c>
      <c r="E341" s="6" t="s">
        <v>18</v>
      </c>
      <c r="F341" s="6" t="s">
        <v>2425</v>
      </c>
      <c r="G341" s="7">
        <v>5369730.0</v>
      </c>
      <c r="H341" s="8" t="str">
        <f>HYPERLINK("http://www.youthinc-usa.org/","http://www.youthinc-usa.org/")</f>
        <v>http://www.youthinc-usa.org/</v>
      </c>
      <c r="I341" s="6" t="s">
        <v>20</v>
      </c>
      <c r="J341" s="9" t="s">
        <v>708</v>
      </c>
      <c r="K341" s="9" t="s">
        <v>2426</v>
      </c>
      <c r="L341" s="9" t="s">
        <v>2427</v>
      </c>
      <c r="M341" s="9" t="s">
        <v>2428</v>
      </c>
      <c r="N341" s="9" t="s">
        <v>2429</v>
      </c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 t="s">
        <v>2430</v>
      </c>
      <c r="B342" s="6" t="s">
        <v>2431</v>
      </c>
      <c r="C342" s="6" t="s">
        <v>2432</v>
      </c>
      <c r="D342" s="6" t="s">
        <v>17</v>
      </c>
      <c r="E342" s="6" t="s">
        <v>18</v>
      </c>
      <c r="F342" s="6" t="s">
        <v>1879</v>
      </c>
      <c r="G342" s="7">
        <v>5353198.0</v>
      </c>
      <c r="H342" s="8" t="str">
        <f>HYPERLINK("http://www.homecarepartners.org/","http://www.homecarepartners.org/")</f>
        <v>http://www.homecarepartners.org/</v>
      </c>
      <c r="I342" s="6" t="s">
        <v>20</v>
      </c>
      <c r="J342" s="9" t="s">
        <v>1287</v>
      </c>
      <c r="K342" s="9" t="s">
        <v>2433</v>
      </c>
      <c r="L342" s="9" t="s">
        <v>2434</v>
      </c>
      <c r="M342" s="9" t="s">
        <v>2435</v>
      </c>
      <c r="N342" s="9" t="s">
        <v>2436</v>
      </c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 t="s">
        <v>2437</v>
      </c>
      <c r="B343" s="6" t="s">
        <v>2438</v>
      </c>
      <c r="C343" s="6" t="s">
        <v>2439</v>
      </c>
      <c r="D343" s="6" t="s">
        <v>17</v>
      </c>
      <c r="E343" s="6" t="s">
        <v>18</v>
      </c>
      <c r="F343" s="6" t="s">
        <v>2440</v>
      </c>
      <c r="G343" s="7">
        <v>5350063.0</v>
      </c>
      <c r="H343" s="8" t="str">
        <f>HYPERLINK("https://cei.org/","https://cei.org/")</f>
        <v>https://cei.org/</v>
      </c>
      <c r="I343" s="6" t="s">
        <v>20</v>
      </c>
      <c r="J343" s="9" t="s">
        <v>2441</v>
      </c>
      <c r="K343" s="9" t="s">
        <v>2442</v>
      </c>
      <c r="L343" s="9" t="s">
        <v>2443</v>
      </c>
      <c r="M343" s="9" t="s">
        <v>2444</v>
      </c>
      <c r="N343" s="9" t="s">
        <v>2445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0" t="s">
        <v>2446</v>
      </c>
      <c r="B344" s="11" t="s">
        <v>2447</v>
      </c>
      <c r="C344" s="11" t="s">
        <v>2448</v>
      </c>
      <c r="D344" s="11" t="s">
        <v>17</v>
      </c>
      <c r="E344" s="11" t="s">
        <v>18</v>
      </c>
      <c r="F344" s="11" t="s">
        <v>2449</v>
      </c>
      <c r="G344" s="12">
        <v>5348902.0</v>
      </c>
      <c r="H344" s="13"/>
      <c r="I344" s="11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5" t="s">
        <v>2450</v>
      </c>
      <c r="B345" s="6" t="s">
        <v>2451</v>
      </c>
      <c r="C345" s="6" t="s">
        <v>2452</v>
      </c>
      <c r="D345" s="6" t="s">
        <v>17</v>
      </c>
      <c r="E345" s="6" t="s">
        <v>18</v>
      </c>
      <c r="F345" s="6" t="s">
        <v>2453</v>
      </c>
      <c r="G345" s="7">
        <v>5338420.0</v>
      </c>
      <c r="H345" s="8" t="str">
        <f>HYPERLINK("http://www.eli.org/","http://www.eli.org/")</f>
        <v>http://www.eli.org/</v>
      </c>
      <c r="I345" s="6" t="s">
        <v>20</v>
      </c>
      <c r="J345" s="9" t="s">
        <v>30</v>
      </c>
      <c r="K345" s="9" t="s">
        <v>2454</v>
      </c>
      <c r="L345" s="9" t="s">
        <v>2455</v>
      </c>
      <c r="M345" s="9" t="s">
        <v>2456</v>
      </c>
      <c r="N345" s="9" t="s">
        <v>2457</v>
      </c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 t="s">
        <v>2458</v>
      </c>
      <c r="B346" s="6" t="s">
        <v>2459</v>
      </c>
      <c r="C346" s="6" t="s">
        <v>2460</v>
      </c>
      <c r="D346" s="6" t="s">
        <v>17</v>
      </c>
      <c r="E346" s="6" t="s">
        <v>18</v>
      </c>
      <c r="F346" s="6" t="s">
        <v>2461</v>
      </c>
      <c r="G346" s="7">
        <v>5330591.0</v>
      </c>
      <c r="H346" s="8" t="str">
        <f>HYPERLINK("http://listeningandspokenlanguage.org/","http://listeningandspokenlanguage.org/")</f>
        <v>http://listeningandspokenlanguage.org/</v>
      </c>
      <c r="I346" s="6" t="s">
        <v>20</v>
      </c>
      <c r="J346" s="9" t="s">
        <v>2462</v>
      </c>
      <c r="K346" s="9" t="s">
        <v>450</v>
      </c>
      <c r="L346" s="9" t="s">
        <v>2463</v>
      </c>
      <c r="M346" s="9" t="s">
        <v>2464</v>
      </c>
      <c r="N346" s="9" t="s">
        <v>2465</v>
      </c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0" t="s">
        <v>2466</v>
      </c>
      <c r="B347" s="11" t="s">
        <v>2467</v>
      </c>
      <c r="C347" s="11" t="s">
        <v>2468</v>
      </c>
      <c r="D347" s="11" t="s">
        <v>17</v>
      </c>
      <c r="E347" s="11" t="s">
        <v>18</v>
      </c>
      <c r="F347" s="11" t="s">
        <v>2469</v>
      </c>
      <c r="G347" s="12">
        <v>5306781.0</v>
      </c>
      <c r="H347" s="13"/>
      <c r="I347" s="11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5" t="s">
        <v>2470</v>
      </c>
      <c r="B348" s="6" t="s">
        <v>2471</v>
      </c>
      <c r="C348" s="6" t="s">
        <v>2472</v>
      </c>
      <c r="D348" s="6" t="s">
        <v>17</v>
      </c>
      <c r="E348" s="6" t="s">
        <v>18</v>
      </c>
      <c r="F348" s="6" t="s">
        <v>2473</v>
      </c>
      <c r="G348" s="7">
        <v>5302108.0</v>
      </c>
      <c r="H348" s="8" t="str">
        <f>HYPERLINK("http://iel.org/","http://iel.org/")</f>
        <v>http://iel.org/</v>
      </c>
      <c r="I348" s="6" t="s">
        <v>20</v>
      </c>
      <c r="J348" s="9" t="s">
        <v>2474</v>
      </c>
      <c r="K348" s="9" t="s">
        <v>2475</v>
      </c>
      <c r="L348" s="9" t="s">
        <v>2476</v>
      </c>
      <c r="M348" s="9" t="s">
        <v>2477</v>
      </c>
      <c r="N348" s="9" t="s">
        <v>2478</v>
      </c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 t="s">
        <v>2479</v>
      </c>
      <c r="B349" s="6" t="s">
        <v>2480</v>
      </c>
      <c r="C349" s="6" t="s">
        <v>1682</v>
      </c>
      <c r="D349" s="6" t="s">
        <v>17</v>
      </c>
      <c r="E349" s="6" t="s">
        <v>18</v>
      </c>
      <c r="F349" s="6" t="s">
        <v>1683</v>
      </c>
      <c r="G349" s="7">
        <v>5294879.0</v>
      </c>
      <c r="H349" s="8" t="str">
        <f>HYPERLINK("http://scottishrite.org/development/foundations/house-of-the-temple-foundation/","http://scottishrite.org/development/foundations/house-of-the-temple-foundation/")</f>
        <v>http://scottishrite.org/development/foundations/house-of-the-temple-foundation/</v>
      </c>
      <c r="I349" s="6" t="s">
        <v>20</v>
      </c>
      <c r="J349" s="9" t="s">
        <v>456</v>
      </c>
      <c r="K349" s="9" t="s">
        <v>465</v>
      </c>
      <c r="L349" s="9" t="s">
        <v>1684</v>
      </c>
      <c r="M349" s="9" t="s">
        <v>1685</v>
      </c>
      <c r="N349" s="9" t="s">
        <v>1686</v>
      </c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 t="s">
        <v>2481</v>
      </c>
      <c r="B350" s="6" t="s">
        <v>2482</v>
      </c>
      <c r="C350" s="6" t="s">
        <v>2483</v>
      </c>
      <c r="D350" s="6" t="s">
        <v>17</v>
      </c>
      <c r="E350" s="6" t="s">
        <v>18</v>
      </c>
      <c r="F350" s="6" t="s">
        <v>2484</v>
      </c>
      <c r="G350" s="7">
        <v>5199442.0</v>
      </c>
      <c r="H350" s="8" t="str">
        <f>HYPERLINK("http://www.covenanthousedc.org/","http://www.covenanthousedc.org/")</f>
        <v>http://www.covenanthousedc.org/</v>
      </c>
      <c r="I350" s="6" t="s">
        <v>20</v>
      </c>
      <c r="J350" s="9" t="s">
        <v>2485</v>
      </c>
      <c r="K350" s="9" t="s">
        <v>2255</v>
      </c>
      <c r="L350" s="9" t="s">
        <v>2486</v>
      </c>
      <c r="M350" s="9" t="s">
        <v>2487</v>
      </c>
      <c r="N350" s="9" t="s">
        <v>2488</v>
      </c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 t="s">
        <v>2489</v>
      </c>
      <c r="B351" s="6" t="s">
        <v>2490</v>
      </c>
      <c r="C351" s="6" t="s">
        <v>2491</v>
      </c>
      <c r="D351" s="6" t="s">
        <v>17</v>
      </c>
      <c r="E351" s="6" t="s">
        <v>18</v>
      </c>
      <c r="F351" s="6" t="s">
        <v>2492</v>
      </c>
      <c r="G351" s="7">
        <v>5195495.0</v>
      </c>
      <c r="H351" s="8" t="str">
        <f>HYPERLINK("http://fcnl.org/about/edfund/","http://fcnl.org/about/edfund/")</f>
        <v>http://fcnl.org/about/edfund/</v>
      </c>
      <c r="I351" s="6" t="s">
        <v>20</v>
      </c>
      <c r="J351" s="9" t="s">
        <v>2185</v>
      </c>
      <c r="K351" s="9" t="s">
        <v>177</v>
      </c>
      <c r="L351" s="9" t="s">
        <v>2493</v>
      </c>
      <c r="M351" s="9" t="s">
        <v>2494</v>
      </c>
      <c r="N351" s="9" t="s">
        <v>2495</v>
      </c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 t="s">
        <v>2496</v>
      </c>
      <c r="B352" s="6" t="s">
        <v>2497</v>
      </c>
      <c r="C352" s="6" t="s">
        <v>2498</v>
      </c>
      <c r="D352" s="6" t="s">
        <v>17</v>
      </c>
      <c r="E352" s="6" t="s">
        <v>18</v>
      </c>
      <c r="F352" s="6" t="s">
        <v>2499</v>
      </c>
      <c r="G352" s="7">
        <v>5193735.0</v>
      </c>
      <c r="H352" s="8" t="str">
        <f>HYPERLINK("http://www.americanforests.org/","http://www.americanforests.org/")</f>
        <v>http://www.americanforests.org/</v>
      </c>
      <c r="I352" s="6" t="s">
        <v>20</v>
      </c>
      <c r="J352" s="9" t="s">
        <v>2500</v>
      </c>
      <c r="K352" s="9" t="s">
        <v>1185</v>
      </c>
      <c r="L352" s="9" t="s">
        <v>2501</v>
      </c>
      <c r="M352" s="9" t="s">
        <v>2502</v>
      </c>
      <c r="N352" s="9" t="s">
        <v>2503</v>
      </c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 t="s">
        <v>2504</v>
      </c>
      <c r="B353" s="6" t="s">
        <v>2505</v>
      </c>
      <c r="C353" s="6" t="s">
        <v>2506</v>
      </c>
      <c r="D353" s="6" t="s">
        <v>17</v>
      </c>
      <c r="E353" s="6" t="s">
        <v>18</v>
      </c>
      <c r="F353" s="6" t="s">
        <v>2507</v>
      </c>
      <c r="G353" s="7">
        <v>5183302.0</v>
      </c>
      <c r="H353" s="8" t="str">
        <f>HYPERLINK("http://www.civilrights.org/about/edfund/","http://www.civilrights.org/about/edfund/")</f>
        <v>http://www.civilrights.org/about/edfund/</v>
      </c>
      <c r="I353" s="6" t="s">
        <v>20</v>
      </c>
      <c r="J353" s="9" t="s">
        <v>1550</v>
      </c>
      <c r="K353" s="9" t="s">
        <v>1021</v>
      </c>
      <c r="L353" s="9" t="s">
        <v>2508</v>
      </c>
      <c r="M353" s="9" t="s">
        <v>2509</v>
      </c>
      <c r="N353" s="9" t="s">
        <v>2510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 t="s">
        <v>2511</v>
      </c>
      <c r="B354" s="6" t="s">
        <v>2512</v>
      </c>
      <c r="C354" s="6" t="s">
        <v>2513</v>
      </c>
      <c r="D354" s="6" t="s">
        <v>17</v>
      </c>
      <c r="E354" s="6" t="s">
        <v>18</v>
      </c>
      <c r="F354" s="6" t="s">
        <v>2514</v>
      </c>
      <c r="G354" s="7">
        <v>5175596.0</v>
      </c>
      <c r="H354" s="8" t="str">
        <f>HYPERLINK("http://www.memri.org/","http://www.memri.org/")</f>
        <v>http://www.memri.org/</v>
      </c>
      <c r="I354" s="6" t="s">
        <v>20</v>
      </c>
      <c r="J354" s="9" t="s">
        <v>1287</v>
      </c>
      <c r="K354" s="9" t="s">
        <v>2515</v>
      </c>
      <c r="L354" s="9" t="s">
        <v>2516</v>
      </c>
      <c r="M354" s="9" t="s">
        <v>2517</v>
      </c>
      <c r="N354" s="9" t="s">
        <v>2518</v>
      </c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0" t="s">
        <v>2519</v>
      </c>
      <c r="B355" s="11" t="s">
        <v>2520</v>
      </c>
      <c r="C355" s="11" t="s">
        <v>2521</v>
      </c>
      <c r="D355" s="11" t="s">
        <v>17</v>
      </c>
      <c r="E355" s="11" t="s">
        <v>18</v>
      </c>
      <c r="F355" s="11" t="s">
        <v>2522</v>
      </c>
      <c r="G355" s="12">
        <v>5155119.0</v>
      </c>
      <c r="H355" s="13"/>
      <c r="I355" s="11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5" t="s">
        <v>2523</v>
      </c>
      <c r="B356" s="6" t="s">
        <v>2524</v>
      </c>
      <c r="C356" s="6" t="s">
        <v>2525</v>
      </c>
      <c r="D356" s="6" t="s">
        <v>17</v>
      </c>
      <c r="E356" s="6" t="s">
        <v>18</v>
      </c>
      <c r="F356" s="6" t="s">
        <v>2526</v>
      </c>
      <c r="G356" s="7">
        <v>5065861.0</v>
      </c>
      <c r="H356" s="8" t="str">
        <f>HYPERLINK("http://oceanfdn.org/","http://oceanfdn.org/")</f>
        <v>http://oceanfdn.org/</v>
      </c>
      <c r="I356" s="6" t="s">
        <v>20</v>
      </c>
      <c r="J356" s="9" t="s">
        <v>2527</v>
      </c>
      <c r="K356" s="9" t="s">
        <v>2528</v>
      </c>
      <c r="L356" s="9" t="s">
        <v>2529</v>
      </c>
      <c r="M356" s="9" t="s">
        <v>2530</v>
      </c>
      <c r="N356" s="9" t="s">
        <v>2531</v>
      </c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0" t="s">
        <v>2532</v>
      </c>
      <c r="B357" s="11" t="s">
        <v>2533</v>
      </c>
      <c r="C357" s="11" t="s">
        <v>2534</v>
      </c>
      <c r="D357" s="11" t="s">
        <v>17</v>
      </c>
      <c r="E357" s="11" t="s">
        <v>18</v>
      </c>
      <c r="F357" s="11" t="s">
        <v>2535</v>
      </c>
      <c r="G357" s="12">
        <v>5051369.0</v>
      </c>
      <c r="H357" s="13"/>
      <c r="I357" s="11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5" t="s">
        <v>2536</v>
      </c>
      <c r="B358" s="6" t="s">
        <v>2537</v>
      </c>
      <c r="C358" s="6" t="s">
        <v>2538</v>
      </c>
      <c r="D358" s="6" t="s">
        <v>17</v>
      </c>
      <c r="E358" s="6" t="s">
        <v>18</v>
      </c>
      <c r="F358" s="6" t="s">
        <v>2539</v>
      </c>
      <c r="G358" s="7">
        <v>5026313.0</v>
      </c>
      <c r="H358" s="8" t="str">
        <f>HYPERLINK("http://www.mannadc.org/template/index.cfm","http://www.mannadc.org/template/index.cfm")</f>
        <v>http://www.mannadc.org/template/index.cfm</v>
      </c>
      <c r="I358" s="6" t="s">
        <v>20</v>
      </c>
      <c r="J358" s="9" t="s">
        <v>2540</v>
      </c>
      <c r="K358" s="9" t="s">
        <v>53</v>
      </c>
      <c r="L358" s="9" t="s">
        <v>2541</v>
      </c>
      <c r="M358" s="9" t="s">
        <v>2542</v>
      </c>
      <c r="N358" s="9" t="s">
        <v>2543</v>
      </c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 t="s">
        <v>2544</v>
      </c>
      <c r="B359" s="6" t="s">
        <v>2545</v>
      </c>
      <c r="C359" s="6" t="s">
        <v>2546</v>
      </c>
      <c r="D359" s="6" t="s">
        <v>17</v>
      </c>
      <c r="E359" s="6" t="s">
        <v>18</v>
      </c>
      <c r="F359" s="6" t="s">
        <v>1238</v>
      </c>
      <c r="G359" s="7">
        <v>4994222.0</v>
      </c>
      <c r="H359" s="8" t="str">
        <f t="shared" ref="H359:H360" si="2">HYPERLINK("http://www.advocatesforyouth.org/","http://www.advocatesforyouth.org/")</f>
        <v>http://www.advocatesforyouth.org/</v>
      </c>
      <c r="I359" s="6" t="s">
        <v>20</v>
      </c>
      <c r="J359" s="9" t="s">
        <v>2547</v>
      </c>
      <c r="K359" s="9" t="s">
        <v>2548</v>
      </c>
      <c r="L359" s="9" t="s">
        <v>2549</v>
      </c>
      <c r="M359" s="9" t="s">
        <v>2550</v>
      </c>
      <c r="N359" s="9" t="s">
        <v>2551</v>
      </c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 t="s">
        <v>2544</v>
      </c>
      <c r="B360" s="6" t="s">
        <v>2545</v>
      </c>
      <c r="C360" s="6" t="s">
        <v>2546</v>
      </c>
      <c r="D360" s="6" t="s">
        <v>17</v>
      </c>
      <c r="E360" s="6" t="s">
        <v>18</v>
      </c>
      <c r="F360" s="6" t="s">
        <v>1238</v>
      </c>
      <c r="G360" s="7">
        <v>4994222.0</v>
      </c>
      <c r="H360" s="8" t="str">
        <f t="shared" si="2"/>
        <v>http://www.advocatesforyouth.org/</v>
      </c>
      <c r="I360" s="6" t="s">
        <v>20</v>
      </c>
      <c r="J360" s="9" t="s">
        <v>2547</v>
      </c>
      <c r="K360" s="9" t="s">
        <v>2548</v>
      </c>
      <c r="L360" s="9" t="s">
        <v>2549</v>
      </c>
      <c r="M360" s="9" t="s">
        <v>2550</v>
      </c>
      <c r="N360" s="9" t="s">
        <v>2551</v>
      </c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 t="s">
        <v>2552</v>
      </c>
      <c r="B361" s="6" t="s">
        <v>2553</v>
      </c>
      <c r="C361" s="6" t="s">
        <v>2554</v>
      </c>
      <c r="D361" s="6" t="s">
        <v>17</v>
      </c>
      <c r="E361" s="6" t="s">
        <v>18</v>
      </c>
      <c r="F361" s="6" t="s">
        <v>2555</v>
      </c>
      <c r="G361" s="7">
        <v>4988774.0</v>
      </c>
      <c r="H361" s="8" t="str">
        <f>HYPERLINK("https://www.gwul.org/","https://www.gwul.org/")</f>
        <v>https://www.gwul.org/</v>
      </c>
      <c r="I361" s="6" t="s">
        <v>20</v>
      </c>
      <c r="J361" s="9" t="s">
        <v>2083</v>
      </c>
      <c r="K361" s="9" t="s">
        <v>2556</v>
      </c>
      <c r="L361" s="9" t="s">
        <v>1042</v>
      </c>
      <c r="M361" s="9" t="s">
        <v>2557</v>
      </c>
      <c r="N361" s="9" t="s">
        <v>2558</v>
      </c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 t="s">
        <v>2559</v>
      </c>
      <c r="B362" s="6" t="s">
        <v>2560</v>
      </c>
      <c r="C362" s="6" t="s">
        <v>2561</v>
      </c>
      <c r="D362" s="6" t="s">
        <v>17</v>
      </c>
      <c r="E362" s="6" t="s">
        <v>18</v>
      </c>
      <c r="F362" s="6" t="s">
        <v>2562</v>
      </c>
      <c r="G362" s="7">
        <v>4987980.0</v>
      </c>
      <c r="H362" s="8" t="str">
        <f>HYPERLINK("http://www.taps.org/","http://www.taps.org/")</f>
        <v>http://www.taps.org/</v>
      </c>
      <c r="I362" s="6" t="s">
        <v>20</v>
      </c>
      <c r="J362" s="9" t="s">
        <v>316</v>
      </c>
      <c r="K362" s="9" t="s">
        <v>2563</v>
      </c>
      <c r="L362" s="9" t="s">
        <v>2564</v>
      </c>
      <c r="M362" s="9" t="s">
        <v>2565</v>
      </c>
      <c r="N362" s="9" t="s">
        <v>2566</v>
      </c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0" t="s">
        <v>2567</v>
      </c>
      <c r="B363" s="11" t="s">
        <v>2568</v>
      </c>
      <c r="C363" s="11" t="s">
        <v>2569</v>
      </c>
      <c r="D363" s="11" t="s">
        <v>17</v>
      </c>
      <c r="E363" s="11" t="s">
        <v>18</v>
      </c>
      <c r="F363" s="11" t="s">
        <v>2570</v>
      </c>
      <c r="G363" s="12">
        <v>4975390.0</v>
      </c>
      <c r="H363" s="13"/>
      <c r="I363" s="11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5" t="s">
        <v>2571</v>
      </c>
      <c r="B364" s="6" t="s">
        <v>2572</v>
      </c>
      <c r="C364" s="6" t="s">
        <v>2573</v>
      </c>
      <c r="D364" s="6" t="s">
        <v>17</v>
      </c>
      <c r="E364" s="6" t="s">
        <v>18</v>
      </c>
      <c r="F364" s="6" t="s">
        <v>2574</v>
      </c>
      <c r="G364" s="7">
        <v>4953578.0</v>
      </c>
      <c r="H364" s="8" t="str">
        <f>HYPERLINK("https://www.pbk.org/home/index.aspx","https://www.pbk.org/home/index.aspx")</f>
        <v>https://www.pbk.org/home/index.aspx</v>
      </c>
      <c r="I364" s="6" t="s">
        <v>20</v>
      </c>
      <c r="J364" s="9" t="s">
        <v>2575</v>
      </c>
      <c r="K364" s="9" t="s">
        <v>2576</v>
      </c>
      <c r="L364" s="9" t="s">
        <v>2577</v>
      </c>
      <c r="M364" s="9" t="s">
        <v>2578</v>
      </c>
      <c r="N364" s="9" t="s">
        <v>2579</v>
      </c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0" t="s">
        <v>2580</v>
      </c>
      <c r="B365" s="11" t="s">
        <v>2581</v>
      </c>
      <c r="C365" s="11" t="s">
        <v>2582</v>
      </c>
      <c r="D365" s="11" t="s">
        <v>17</v>
      </c>
      <c r="E365" s="11" t="s">
        <v>18</v>
      </c>
      <c r="F365" s="11" t="s">
        <v>2583</v>
      </c>
      <c r="G365" s="12">
        <v>4944086.0</v>
      </c>
      <c r="H365" s="13"/>
      <c r="I365" s="11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0" t="s">
        <v>2584</v>
      </c>
      <c r="B366" s="11" t="s">
        <v>2585</v>
      </c>
      <c r="C366" s="11" t="s">
        <v>2586</v>
      </c>
      <c r="D366" s="11" t="s">
        <v>17</v>
      </c>
      <c r="E366" s="11" t="s">
        <v>18</v>
      </c>
      <c r="F366" s="11" t="s">
        <v>2587</v>
      </c>
      <c r="G366" s="12">
        <v>4932906.0</v>
      </c>
      <c r="H366" s="13"/>
      <c r="I366" s="11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5" t="s">
        <v>2588</v>
      </c>
      <c r="B367" s="6" t="s">
        <v>2589</v>
      </c>
      <c r="C367" s="6" t="s">
        <v>2590</v>
      </c>
      <c r="D367" s="6" t="s">
        <v>17</v>
      </c>
      <c r="E367" s="6" t="s">
        <v>18</v>
      </c>
      <c r="F367" s="6" t="s">
        <v>2591</v>
      </c>
      <c r="G367" s="7">
        <v>4836352.0</v>
      </c>
      <c r="H367" s="8" t="str">
        <f>HYPERLINK("http://www.catholicsforchoice.org/","http://www.catholicsforchoice.org/")</f>
        <v>http://www.catholicsforchoice.org/</v>
      </c>
      <c r="I367" s="6" t="s">
        <v>20</v>
      </c>
      <c r="J367" s="9" t="s">
        <v>570</v>
      </c>
      <c r="K367" s="9" t="s">
        <v>270</v>
      </c>
      <c r="L367" s="9" t="s">
        <v>2592</v>
      </c>
      <c r="M367" s="9" t="s">
        <v>2593</v>
      </c>
      <c r="N367" s="9" t="s">
        <v>2594</v>
      </c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 t="s">
        <v>2595</v>
      </c>
      <c r="B368" s="6" t="s">
        <v>2596</v>
      </c>
      <c r="C368" s="6" t="s">
        <v>2597</v>
      </c>
      <c r="D368" s="6" t="s">
        <v>17</v>
      </c>
      <c r="E368" s="6" t="s">
        <v>18</v>
      </c>
      <c r="F368" s="6" t="s">
        <v>2598</v>
      </c>
      <c r="G368" s="7">
        <v>4818605.0</v>
      </c>
      <c r="H368" s="8" t="str">
        <f>HYPERLINK("http://www.endhomelessness.org/","http://www.endhomelessness.org/")</f>
        <v>http://www.endhomelessness.org/</v>
      </c>
      <c r="I368" s="6" t="s">
        <v>20</v>
      </c>
      <c r="J368" s="9" t="s">
        <v>2599</v>
      </c>
      <c r="K368" s="9" t="s">
        <v>2600</v>
      </c>
      <c r="L368" s="9" t="s">
        <v>2601</v>
      </c>
      <c r="M368" s="9" t="s">
        <v>2602</v>
      </c>
      <c r="N368" s="9" t="s">
        <v>2603</v>
      </c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 t="s">
        <v>2604</v>
      </c>
      <c r="B369" s="6" t="s">
        <v>2605</v>
      </c>
      <c r="C369" s="6" t="s">
        <v>2606</v>
      </c>
      <c r="D369" s="6" t="s">
        <v>17</v>
      </c>
      <c r="E369" s="6" t="s">
        <v>18</v>
      </c>
      <c r="F369" s="6" t="s">
        <v>2607</v>
      </c>
      <c r="G369" s="7">
        <v>4818431.0</v>
      </c>
      <c r="H369" s="8" t="str">
        <f>HYPERLINK("http://www.rmhcdc.org/","http://www.rmhcdc.org/")</f>
        <v>http://www.rmhcdc.org/</v>
      </c>
      <c r="I369" s="6" t="s">
        <v>20</v>
      </c>
      <c r="J369" s="9" t="s">
        <v>456</v>
      </c>
      <c r="K369" s="9" t="s">
        <v>102</v>
      </c>
      <c r="L369" s="9" t="s">
        <v>849</v>
      </c>
      <c r="M369" s="9" t="s">
        <v>2608</v>
      </c>
      <c r="N369" s="9" t="s">
        <v>2609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0" t="s">
        <v>2610</v>
      </c>
      <c r="B370" s="11" t="s">
        <v>2611</v>
      </c>
      <c r="C370" s="11" t="s">
        <v>2612</v>
      </c>
      <c r="D370" s="11" t="s">
        <v>17</v>
      </c>
      <c r="E370" s="11" t="s">
        <v>18</v>
      </c>
      <c r="F370" s="11" t="s">
        <v>2613</v>
      </c>
      <c r="G370" s="12">
        <v>4802891.0</v>
      </c>
      <c r="H370" s="13"/>
      <c r="I370" s="11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0" t="s">
        <v>2614</v>
      </c>
      <c r="B371" s="11" t="s">
        <v>2615</v>
      </c>
      <c r="C371" s="11" t="s">
        <v>2616</v>
      </c>
      <c r="D371" s="11" t="s">
        <v>17</v>
      </c>
      <c r="E371" s="11" t="s">
        <v>18</v>
      </c>
      <c r="F371" s="11" t="s">
        <v>2617</v>
      </c>
      <c r="G371" s="12">
        <v>4773571.0</v>
      </c>
      <c r="H371" s="13"/>
      <c r="I371" s="11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5" t="s">
        <v>2618</v>
      </c>
      <c r="B372" s="6" t="s">
        <v>2619</v>
      </c>
      <c r="C372" s="6" t="s">
        <v>2620</v>
      </c>
      <c r="D372" s="6" t="s">
        <v>17</v>
      </c>
      <c r="E372" s="6" t="s">
        <v>18</v>
      </c>
      <c r="F372" s="6" t="s">
        <v>2621</v>
      </c>
      <c r="G372" s="7">
        <v>4764987.0</v>
      </c>
      <c r="H372" s="8" t="str">
        <f>HYPERLINK("http://sojo.net/","http://sojo.net/")</f>
        <v>http://sojo.net/</v>
      </c>
      <c r="I372" s="6" t="s">
        <v>20</v>
      </c>
      <c r="J372" s="9" t="s">
        <v>1726</v>
      </c>
      <c r="K372" s="9" t="s">
        <v>2622</v>
      </c>
      <c r="L372" s="9" t="s">
        <v>1633</v>
      </c>
      <c r="M372" s="9" t="s">
        <v>2623</v>
      </c>
      <c r="N372" s="9" t="s">
        <v>2624</v>
      </c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 t="s">
        <v>2625</v>
      </c>
      <c r="B373" s="6" t="s">
        <v>2626</v>
      </c>
      <c r="C373" s="6" t="s">
        <v>2627</v>
      </c>
      <c r="D373" s="6" t="s">
        <v>17</v>
      </c>
      <c r="E373" s="6" t="s">
        <v>18</v>
      </c>
      <c r="F373" s="6" t="s">
        <v>2628</v>
      </c>
      <c r="G373" s="7">
        <v>4750570.0</v>
      </c>
      <c r="H373" s="8" t="str">
        <f>HYPERLINK("http://www.sos-usa.org/","http://www.sos-usa.org/")</f>
        <v>http://www.sos-usa.org/</v>
      </c>
      <c r="I373" s="6" t="s">
        <v>20</v>
      </c>
      <c r="J373" s="9" t="s">
        <v>2629</v>
      </c>
      <c r="K373" s="9" t="s">
        <v>2630</v>
      </c>
      <c r="L373" s="9" t="s">
        <v>2631</v>
      </c>
      <c r="M373" s="9" t="s">
        <v>2632</v>
      </c>
      <c r="N373" s="9" t="s">
        <v>2633</v>
      </c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 t="s">
        <v>2634</v>
      </c>
      <c r="B374" s="6" t="s">
        <v>2635</v>
      </c>
      <c r="C374" s="6" t="s">
        <v>2636</v>
      </c>
      <c r="D374" s="6" t="s">
        <v>17</v>
      </c>
      <c r="E374" s="6" t="s">
        <v>18</v>
      </c>
      <c r="F374" s="6" t="s">
        <v>2637</v>
      </c>
      <c r="G374" s="7">
        <v>4733112.0</v>
      </c>
      <c r="H374" s="8" t="str">
        <f>HYPERLINK("http://www.commoncause.org/","http://www.commoncause.org/")</f>
        <v>http://www.commoncause.org/</v>
      </c>
      <c r="I374" s="6" t="s">
        <v>20</v>
      </c>
      <c r="J374" s="9" t="s">
        <v>1550</v>
      </c>
      <c r="K374" s="9" t="s">
        <v>1202</v>
      </c>
      <c r="L374" s="9" t="s">
        <v>2638</v>
      </c>
      <c r="M374" s="9" t="s">
        <v>2639</v>
      </c>
      <c r="N374" s="9" t="s">
        <v>2640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 t="s">
        <v>2641</v>
      </c>
      <c r="B375" s="6" t="s">
        <v>2642</v>
      </c>
      <c r="C375" s="6" t="s">
        <v>2643</v>
      </c>
      <c r="D375" s="6" t="s">
        <v>17</v>
      </c>
      <c r="E375" s="6" t="s">
        <v>18</v>
      </c>
      <c r="F375" s="6" t="s">
        <v>2644</v>
      </c>
      <c r="G375" s="7">
        <v>4702616.0</v>
      </c>
      <c r="H375" s="8" t="str">
        <f>HYPERLINK("http://zerocancer.org/","http://zerocancer.org/")</f>
        <v>http://zerocancer.org/</v>
      </c>
      <c r="I375" s="6" t="s">
        <v>20</v>
      </c>
      <c r="J375" s="9" t="s">
        <v>74</v>
      </c>
      <c r="K375" s="9" t="s">
        <v>211</v>
      </c>
      <c r="L375" s="9" t="s">
        <v>2645</v>
      </c>
      <c r="M375" s="9" t="s">
        <v>2646</v>
      </c>
      <c r="N375" s="9" t="s">
        <v>2647</v>
      </c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0" t="s">
        <v>2648</v>
      </c>
      <c r="B376" s="11" t="s">
        <v>2649</v>
      </c>
      <c r="C376" s="11" t="s">
        <v>2650</v>
      </c>
      <c r="D376" s="11" t="s">
        <v>17</v>
      </c>
      <c r="E376" s="11" t="s">
        <v>18</v>
      </c>
      <c r="F376" s="11" t="s">
        <v>2651</v>
      </c>
      <c r="G376" s="12">
        <v>4696698.0</v>
      </c>
      <c r="H376" s="13"/>
      <c r="I376" s="11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5" t="s">
        <v>2652</v>
      </c>
      <c r="B377" s="6" t="s">
        <v>2653</v>
      </c>
      <c r="C377" s="6" t="s">
        <v>2654</v>
      </c>
      <c r="D377" s="6" t="s">
        <v>17</v>
      </c>
      <c r="E377" s="6" t="s">
        <v>18</v>
      </c>
      <c r="F377" s="6" t="s">
        <v>218</v>
      </c>
      <c r="G377" s="7">
        <v>4679777.0</v>
      </c>
      <c r="H377" s="8" t="str">
        <f>HYPERLINK("http://www.partnersglobal.org/","http://www.partnersglobal.org/")</f>
        <v>http://www.partnersglobal.org/</v>
      </c>
      <c r="I377" s="6" t="s">
        <v>20</v>
      </c>
      <c r="J377" s="9" t="s">
        <v>2083</v>
      </c>
      <c r="K377" s="9" t="s">
        <v>2655</v>
      </c>
      <c r="L377" s="9" t="s">
        <v>2656</v>
      </c>
      <c r="M377" s="9" t="s">
        <v>2657</v>
      </c>
      <c r="N377" s="9" t="s">
        <v>2658</v>
      </c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0" t="s">
        <v>2659</v>
      </c>
      <c r="B378" s="11" t="s">
        <v>2660</v>
      </c>
      <c r="C378" s="11" t="s">
        <v>2661</v>
      </c>
      <c r="D378" s="11" t="s">
        <v>17</v>
      </c>
      <c r="E378" s="11" t="s">
        <v>18</v>
      </c>
      <c r="F378" s="11" t="s">
        <v>2662</v>
      </c>
      <c r="G378" s="12">
        <v>4679658.0</v>
      </c>
      <c r="H378" s="13"/>
      <c r="I378" s="11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5" t="s">
        <v>2663</v>
      </c>
      <c r="B379" s="6" t="s">
        <v>2664</v>
      </c>
      <c r="C379" s="6" t="s">
        <v>2665</v>
      </c>
      <c r="D379" s="6" t="s">
        <v>17</v>
      </c>
      <c r="E379" s="6" t="s">
        <v>18</v>
      </c>
      <c r="F379" s="6" t="s">
        <v>2666</v>
      </c>
      <c r="G379" s="7">
        <v>4669207.0</v>
      </c>
      <c r="H379" s="8" t="str">
        <f>HYPERLINK("http://dcplfoundation.org/","http://dcplfoundation.org/")</f>
        <v>http://dcplfoundation.org/</v>
      </c>
      <c r="I379" s="6" t="s">
        <v>20</v>
      </c>
      <c r="J379" s="9" t="s">
        <v>1817</v>
      </c>
      <c r="K379" s="9" t="s">
        <v>2667</v>
      </c>
      <c r="L379" s="9" t="s">
        <v>2668</v>
      </c>
      <c r="M379" s="9" t="s">
        <v>2669</v>
      </c>
      <c r="N379" s="9" t="s">
        <v>2670</v>
      </c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 t="s">
        <v>2671</v>
      </c>
      <c r="B380" s="6" t="s">
        <v>2672</v>
      </c>
      <c r="C380" s="6" t="s">
        <v>2673</v>
      </c>
      <c r="D380" s="6" t="s">
        <v>17</v>
      </c>
      <c r="E380" s="6" t="s">
        <v>18</v>
      </c>
      <c r="F380" s="6" t="s">
        <v>1615</v>
      </c>
      <c r="G380" s="7">
        <v>4651112.0</v>
      </c>
      <c r="H380" s="8" t="str">
        <f>HYPERLINK("http://jstreet.org/","http://jstreet.org/")</f>
        <v>http://jstreet.org/</v>
      </c>
      <c r="I380" s="6" t="s">
        <v>20</v>
      </c>
      <c r="J380" s="9" t="s">
        <v>2674</v>
      </c>
      <c r="K380" s="9" t="s">
        <v>2675</v>
      </c>
      <c r="L380" s="9" t="s">
        <v>2426</v>
      </c>
      <c r="M380" s="9" t="s">
        <v>2676</v>
      </c>
      <c r="N380" s="9" t="s">
        <v>2677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0" t="s">
        <v>2678</v>
      </c>
      <c r="B381" s="11" t="s">
        <v>2679</v>
      </c>
      <c r="C381" s="11" t="s">
        <v>2680</v>
      </c>
      <c r="D381" s="11" t="s">
        <v>17</v>
      </c>
      <c r="E381" s="11" t="s">
        <v>18</v>
      </c>
      <c r="F381" s="11" t="s">
        <v>2681</v>
      </c>
      <c r="G381" s="12">
        <v>4623307.0</v>
      </c>
      <c r="H381" s="13"/>
      <c r="I381" s="11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5" t="s">
        <v>2682</v>
      </c>
      <c r="B382" s="6" t="s">
        <v>2683</v>
      </c>
      <c r="C382" s="6" t="s">
        <v>2684</v>
      </c>
      <c r="D382" s="6" t="s">
        <v>17</v>
      </c>
      <c r="E382" s="6" t="s">
        <v>18</v>
      </c>
      <c r="F382" s="6" t="s">
        <v>2685</v>
      </c>
      <c r="G382" s="7">
        <v>4599867.0</v>
      </c>
      <c r="H382" s="8" t="str">
        <f>HYPERLINK("http://www.refintl.org/","http://www.refintl.org/")</f>
        <v>http://www.refintl.org/</v>
      </c>
      <c r="I382" s="6" t="s">
        <v>20</v>
      </c>
      <c r="J382" s="9" t="s">
        <v>1375</v>
      </c>
      <c r="K382" s="9" t="s">
        <v>465</v>
      </c>
      <c r="L382" s="9" t="s">
        <v>2686</v>
      </c>
      <c r="M382" s="9" t="s">
        <v>2687</v>
      </c>
      <c r="N382" s="9" t="s">
        <v>2688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 t="s">
        <v>2689</v>
      </c>
      <c r="B383" s="6" t="s">
        <v>2690</v>
      </c>
      <c r="C383" s="6" t="s">
        <v>2691</v>
      </c>
      <c r="D383" s="6" t="s">
        <v>17</v>
      </c>
      <c r="E383" s="6" t="s">
        <v>18</v>
      </c>
      <c r="F383" s="6" t="s">
        <v>2692</v>
      </c>
      <c r="G383" s="7">
        <v>4512215.0</v>
      </c>
      <c r="H383" s="8" t="str">
        <f>HYPERLINK("http://www.afj.org/","http://www.afj.org/")</f>
        <v>http://www.afj.org/</v>
      </c>
      <c r="I383" s="6" t="s">
        <v>20</v>
      </c>
      <c r="J383" s="9" t="s">
        <v>1817</v>
      </c>
      <c r="K383" s="9" t="s">
        <v>2693</v>
      </c>
      <c r="L383" s="9" t="s">
        <v>2694</v>
      </c>
      <c r="M383" s="9" t="s">
        <v>2695</v>
      </c>
      <c r="N383" s="9" t="s">
        <v>2696</v>
      </c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 t="s">
        <v>2697</v>
      </c>
      <c r="B384" s="6" t="s">
        <v>2698</v>
      </c>
      <c r="C384" s="6" t="s">
        <v>2699</v>
      </c>
      <c r="D384" s="6" t="s">
        <v>17</v>
      </c>
      <c r="E384" s="6" t="s">
        <v>18</v>
      </c>
      <c r="F384" s="6" t="s">
        <v>166</v>
      </c>
      <c r="G384" s="7">
        <v>4505268.0</v>
      </c>
      <c r="H384" s="8" t="str">
        <f>HYPERLINK("http://www.advancingequality.org/","http://www.advancingequality.org/")</f>
        <v>http://www.advancingequality.org/</v>
      </c>
      <c r="I384" s="6" t="s">
        <v>20</v>
      </c>
      <c r="J384" s="9" t="s">
        <v>2700</v>
      </c>
      <c r="K384" s="9" t="s">
        <v>2701</v>
      </c>
      <c r="L384" s="9" t="s">
        <v>2702</v>
      </c>
      <c r="M384" s="9" t="s">
        <v>2703</v>
      </c>
      <c r="N384" s="9" t="s">
        <v>2704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 t="s">
        <v>2705</v>
      </c>
      <c r="B385" s="6" t="s">
        <v>2706</v>
      </c>
      <c r="C385" s="6" t="s">
        <v>2707</v>
      </c>
      <c r="D385" s="6" t="s">
        <v>17</v>
      </c>
      <c r="E385" s="6" t="s">
        <v>18</v>
      </c>
      <c r="F385" s="6" t="s">
        <v>2708</v>
      </c>
      <c r="G385" s="7">
        <v>4484496.0</v>
      </c>
      <c r="H385" s="8" t="str">
        <f>HYPERLINK("http://www.ssusc.org/","http://www.ssusc.org/")</f>
        <v>http://www.ssusc.org/</v>
      </c>
      <c r="I385" s="6" t="s">
        <v>20</v>
      </c>
      <c r="J385" s="9" t="s">
        <v>2709</v>
      </c>
      <c r="K385" s="9" t="s">
        <v>2710</v>
      </c>
      <c r="L385" s="9" t="s">
        <v>2711</v>
      </c>
      <c r="M385" s="9" t="s">
        <v>2712</v>
      </c>
      <c r="N385" s="9" t="s">
        <v>2713</v>
      </c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 t="s">
        <v>2714</v>
      </c>
      <c r="B386" s="6" t="s">
        <v>2715</v>
      </c>
      <c r="C386" s="6" t="s">
        <v>2716</v>
      </c>
      <c r="D386" s="6" t="s">
        <v>17</v>
      </c>
      <c r="E386" s="6" t="s">
        <v>18</v>
      </c>
      <c r="F386" s="6" t="s">
        <v>2717</v>
      </c>
      <c r="G386" s="7">
        <v>4410820.0</v>
      </c>
      <c r="H386" s="8" t="str">
        <f>HYPERLINK("http://endgenocide.org/","http://endgenocide.org/")</f>
        <v>http://endgenocide.org/</v>
      </c>
      <c r="I386" s="6" t="s">
        <v>20</v>
      </c>
      <c r="J386" s="9" t="s">
        <v>2718</v>
      </c>
      <c r="K386" s="9" t="s">
        <v>2719</v>
      </c>
      <c r="L386" s="9" t="s">
        <v>2720</v>
      </c>
      <c r="M386" s="9" t="s">
        <v>2721</v>
      </c>
      <c r="N386" s="9" t="s">
        <v>2722</v>
      </c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 t="s">
        <v>2723</v>
      </c>
      <c r="B387" s="6" t="s">
        <v>2724</v>
      </c>
      <c r="C387" s="6" t="s">
        <v>2725</v>
      </c>
      <c r="D387" s="6" t="s">
        <v>17</v>
      </c>
      <c r="E387" s="6" t="s">
        <v>18</v>
      </c>
      <c r="F387" s="6" t="s">
        <v>2726</v>
      </c>
      <c r="G387" s="7">
        <v>4402541.0</v>
      </c>
      <c r="H387" s="8" t="str">
        <f>HYPERLINK("https://www.supportkind.org/en/","https://www.supportkind.org/en/")</f>
        <v>https://www.supportkind.org/en/</v>
      </c>
      <c r="I387" s="6" t="s">
        <v>20</v>
      </c>
      <c r="J387" s="9" t="s">
        <v>2727</v>
      </c>
      <c r="K387" s="9" t="s">
        <v>2728</v>
      </c>
      <c r="L387" s="9" t="s">
        <v>2729</v>
      </c>
      <c r="M387" s="9" t="s">
        <v>2730</v>
      </c>
      <c r="N387" s="9" t="s">
        <v>2731</v>
      </c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 t="s">
        <v>2732</v>
      </c>
      <c r="B388" s="6" t="s">
        <v>2733</v>
      </c>
      <c r="C388" s="6" t="s">
        <v>2734</v>
      </c>
      <c r="D388" s="6" t="s">
        <v>17</v>
      </c>
      <c r="E388" s="6" t="s">
        <v>18</v>
      </c>
      <c r="F388" s="6" t="s">
        <v>2735</v>
      </c>
      <c r="G388" s="7">
        <v>4391726.0</v>
      </c>
      <c r="H388" s="8" t="str">
        <f>HYPERLINK("http://www.dsef.org/","http://www.dsef.org/")</f>
        <v>http://www.dsef.org/</v>
      </c>
      <c r="I388" s="6" t="s">
        <v>20</v>
      </c>
      <c r="J388" s="9" t="s">
        <v>2736</v>
      </c>
      <c r="K388" s="9" t="s">
        <v>1202</v>
      </c>
      <c r="L388" s="9" t="s">
        <v>2737</v>
      </c>
      <c r="M388" s="9" t="s">
        <v>2738</v>
      </c>
      <c r="N388" s="9" t="s">
        <v>2739</v>
      </c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0" t="s">
        <v>2740</v>
      </c>
      <c r="B389" s="11" t="s">
        <v>2741</v>
      </c>
      <c r="C389" s="11" t="s">
        <v>2742</v>
      </c>
      <c r="D389" s="11" t="s">
        <v>17</v>
      </c>
      <c r="E389" s="11" t="s">
        <v>18</v>
      </c>
      <c r="F389" s="11" t="s">
        <v>2743</v>
      </c>
      <c r="G389" s="12">
        <v>4360308.0</v>
      </c>
      <c r="H389" s="13"/>
      <c r="I389" s="11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0" t="s">
        <v>2744</v>
      </c>
      <c r="B390" s="11" t="s">
        <v>2745</v>
      </c>
      <c r="C390" s="11" t="s">
        <v>2746</v>
      </c>
      <c r="D390" s="11" t="s">
        <v>17</v>
      </c>
      <c r="E390" s="11" t="s">
        <v>18</v>
      </c>
      <c r="F390" s="11" t="s">
        <v>2747</v>
      </c>
      <c r="G390" s="12">
        <v>4342615.0</v>
      </c>
      <c r="H390" s="13"/>
      <c r="I390" s="11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5" t="s">
        <v>2748</v>
      </c>
      <c r="B391" s="6" t="s">
        <v>2749</v>
      </c>
      <c r="C391" s="6" t="s">
        <v>2750</v>
      </c>
      <c r="D391" s="6" t="s">
        <v>17</v>
      </c>
      <c r="E391" s="6" t="s">
        <v>18</v>
      </c>
      <c r="F391" s="6" t="s">
        <v>2751</v>
      </c>
      <c r="G391" s="7">
        <v>4307457.0</v>
      </c>
      <c r="H391" s="8" t="str">
        <f>HYPERLINK("http://www.appletreeinstitute.org/","http://www.appletreeinstitute.org/")</f>
        <v>http://www.appletreeinstitute.org/</v>
      </c>
      <c r="I391" s="6" t="s">
        <v>20</v>
      </c>
      <c r="J391" s="9" t="s">
        <v>2752</v>
      </c>
      <c r="K391" s="9" t="s">
        <v>2753</v>
      </c>
      <c r="L391" s="9" t="s">
        <v>2754</v>
      </c>
      <c r="M391" s="9" t="s">
        <v>2755</v>
      </c>
      <c r="N391" s="9" t="s">
        <v>2756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 t="s">
        <v>2757</v>
      </c>
      <c r="B392" s="6" t="s">
        <v>2758</v>
      </c>
      <c r="C392" s="6" t="s">
        <v>2759</v>
      </c>
      <c r="D392" s="6" t="s">
        <v>17</v>
      </c>
      <c r="E392" s="6" t="s">
        <v>18</v>
      </c>
      <c r="F392" s="6" t="s">
        <v>1114</v>
      </c>
      <c r="G392" s="7">
        <v>4289792.0</v>
      </c>
      <c r="H392" s="8" t="str">
        <f>HYPERLINK("http://www.workingamerica.org/educationfund","http://www.workingamerica.org/educationfund")</f>
        <v>http://www.workingamerica.org/educationfund</v>
      </c>
      <c r="I392" s="6" t="s">
        <v>20</v>
      </c>
      <c r="J392" s="9"/>
      <c r="K392" s="9"/>
      <c r="L392" s="9"/>
      <c r="M392" s="9" t="s">
        <v>2760</v>
      </c>
      <c r="N392" s="9" t="s">
        <v>2761</v>
      </c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0" t="s">
        <v>2762</v>
      </c>
      <c r="B393" s="11" t="s">
        <v>2763</v>
      </c>
      <c r="C393" s="11" t="s">
        <v>2764</v>
      </c>
      <c r="D393" s="11" t="s">
        <v>17</v>
      </c>
      <c r="E393" s="11" t="s">
        <v>18</v>
      </c>
      <c r="F393" s="11" t="s">
        <v>2765</v>
      </c>
      <c r="G393" s="12">
        <v>4266432.0</v>
      </c>
      <c r="H393" s="13"/>
      <c r="I393" s="11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5" t="s">
        <v>2766</v>
      </c>
      <c r="B394" s="6" t="s">
        <v>2767</v>
      </c>
      <c r="C394" s="6" t="s">
        <v>2768</v>
      </c>
      <c r="D394" s="6" t="s">
        <v>17</v>
      </c>
      <c r="E394" s="6" t="s">
        <v>18</v>
      </c>
      <c r="F394" s="6" t="s">
        <v>2769</v>
      </c>
      <c r="G394" s="7">
        <v>4260008.0</v>
      </c>
      <c r="H394" s="8" t="str">
        <f>HYPERLINK("http://www.woollymammoth.net/","http://www.woollymammoth.net/")</f>
        <v>http://www.woollymammoth.net/</v>
      </c>
      <c r="I394" s="6" t="s">
        <v>20</v>
      </c>
      <c r="J394" s="9" t="s">
        <v>456</v>
      </c>
      <c r="K394" s="9" t="s">
        <v>270</v>
      </c>
      <c r="L394" s="9" t="s">
        <v>2770</v>
      </c>
      <c r="M394" s="9" t="s">
        <v>2771</v>
      </c>
      <c r="N394" s="9" t="s">
        <v>2772</v>
      </c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 t="s">
        <v>2773</v>
      </c>
      <c r="B395" s="6" t="s">
        <v>2774</v>
      </c>
      <c r="C395" s="6" t="s">
        <v>2775</v>
      </c>
      <c r="D395" s="6" t="s">
        <v>17</v>
      </c>
      <c r="E395" s="6" t="s">
        <v>18</v>
      </c>
      <c r="F395" s="6" t="s">
        <v>2776</v>
      </c>
      <c r="G395" s="7">
        <v>4249043.0</v>
      </c>
      <c r="H395" s="8" t="str">
        <f>HYPERLINK("http://www.sudanreliefund.com/","http://www.sudanreliefund.com/")</f>
        <v>http://www.sudanreliefund.com/</v>
      </c>
      <c r="I395" s="6" t="s">
        <v>20</v>
      </c>
      <c r="J395" s="9" t="s">
        <v>1287</v>
      </c>
      <c r="K395" s="9" t="s">
        <v>2777</v>
      </c>
      <c r="L395" s="9" t="s">
        <v>2778</v>
      </c>
      <c r="M395" s="9" t="s">
        <v>2779</v>
      </c>
      <c r="N395" s="9" t="s">
        <v>2780</v>
      </c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 t="s">
        <v>2781</v>
      </c>
      <c r="B396" s="6" t="s">
        <v>2782</v>
      </c>
      <c r="C396" s="6" t="s">
        <v>2783</v>
      </c>
      <c r="D396" s="6" t="s">
        <v>17</v>
      </c>
      <c r="E396" s="6" t="s">
        <v>18</v>
      </c>
      <c r="F396" s="6" t="s">
        <v>2784</v>
      </c>
      <c r="G396" s="7">
        <v>4242377.0</v>
      </c>
      <c r="H396" s="8" t="str">
        <f>HYPERLINK("http://islandpress.org/","http://islandpress.org/")</f>
        <v>http://islandpress.org/</v>
      </c>
      <c r="I396" s="6" t="s">
        <v>20</v>
      </c>
      <c r="J396" s="9" t="s">
        <v>2785</v>
      </c>
      <c r="K396" s="9" t="s">
        <v>2786</v>
      </c>
      <c r="L396" s="9" t="s">
        <v>2787</v>
      </c>
      <c r="M396" s="9" t="s">
        <v>2788</v>
      </c>
      <c r="N396" s="9" t="s">
        <v>2789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 t="s">
        <v>2790</v>
      </c>
      <c r="B397" s="6" t="s">
        <v>2791</v>
      </c>
      <c r="C397" s="6" t="s">
        <v>2792</v>
      </c>
      <c r="D397" s="6" t="s">
        <v>17</v>
      </c>
      <c r="E397" s="6" t="s">
        <v>18</v>
      </c>
      <c r="F397" s="6" t="s">
        <v>2793</v>
      </c>
      <c r="G397" s="7">
        <v>4234350.0</v>
      </c>
      <c r="H397" s="8" t="str">
        <f>HYPERLINK("http://www.cair.com/","http://www.cair.com/")</f>
        <v>http://www.cair.com/</v>
      </c>
      <c r="I397" s="6" t="s">
        <v>20</v>
      </c>
      <c r="J397" s="9" t="s">
        <v>1287</v>
      </c>
      <c r="K397" s="9" t="s">
        <v>2794</v>
      </c>
      <c r="L397" s="9" t="s">
        <v>2795</v>
      </c>
      <c r="M397" s="9" t="s">
        <v>2796</v>
      </c>
      <c r="N397" s="9" t="s">
        <v>2797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 t="s">
        <v>2798</v>
      </c>
      <c r="B398" s="6" t="s">
        <v>2799</v>
      </c>
      <c r="C398" s="6" t="s">
        <v>2800</v>
      </c>
      <c r="D398" s="6" t="s">
        <v>17</v>
      </c>
      <c r="E398" s="6" t="s">
        <v>18</v>
      </c>
      <c r="F398" s="6" t="s">
        <v>2801</v>
      </c>
      <c r="G398" s="7">
        <v>4223390.0</v>
      </c>
      <c r="H398" s="8" t="str">
        <f>HYPERLINK("http://americanactionforum.org/","http://americanactionforum.org/")</f>
        <v>http://americanactionforum.org/</v>
      </c>
      <c r="I398" s="6" t="s">
        <v>20</v>
      </c>
      <c r="J398" s="9" t="s">
        <v>456</v>
      </c>
      <c r="K398" s="9" t="s">
        <v>2802</v>
      </c>
      <c r="L398" s="9" t="s">
        <v>2803</v>
      </c>
      <c r="M398" s="9" t="s">
        <v>2804</v>
      </c>
      <c r="N398" s="9" t="s">
        <v>2805</v>
      </c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 t="s">
        <v>2806</v>
      </c>
      <c r="B399" s="6" t="s">
        <v>2807</v>
      </c>
      <c r="C399" s="6" t="s">
        <v>2808</v>
      </c>
      <c r="D399" s="6" t="s">
        <v>17</v>
      </c>
      <c r="E399" s="6" t="s">
        <v>18</v>
      </c>
      <c r="F399" s="6" t="s">
        <v>2809</v>
      </c>
      <c r="G399" s="7">
        <v>4212616.0</v>
      </c>
      <c r="H399" s="8" t="str">
        <f>HYPERLINK("http://www.icbl.org/en-gb/home.aspx","http://www.icbl.org/en-gb/home.aspx")</f>
        <v>http://www.icbl.org/en-gb/home.aspx</v>
      </c>
      <c r="I399" s="6" t="s">
        <v>20</v>
      </c>
      <c r="J399" s="9" t="s">
        <v>2810</v>
      </c>
      <c r="K399" s="9" t="s">
        <v>75</v>
      </c>
      <c r="L399" s="9" t="s">
        <v>2811</v>
      </c>
      <c r="M399" s="9" t="s">
        <v>2812</v>
      </c>
      <c r="N399" s="9" t="s">
        <v>2813</v>
      </c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 t="s">
        <v>2814</v>
      </c>
      <c r="B400" s="6" t="s">
        <v>2815</v>
      </c>
      <c r="C400" s="6" t="s">
        <v>2816</v>
      </c>
      <c r="D400" s="6" t="s">
        <v>17</v>
      </c>
      <c r="E400" s="6" t="s">
        <v>18</v>
      </c>
      <c r="F400" s="6" t="s">
        <v>2817</v>
      </c>
      <c r="G400" s="7">
        <v>4207358.0</v>
      </c>
      <c r="H400" s="8" t="str">
        <f>HYPERLINK("http://www.geneticalliance.org/","http://www.geneticalliance.org/")</f>
        <v>http://www.geneticalliance.org/</v>
      </c>
      <c r="I400" s="6" t="s">
        <v>20</v>
      </c>
      <c r="J400" s="9" t="s">
        <v>2818</v>
      </c>
      <c r="K400" s="9" t="s">
        <v>2819</v>
      </c>
      <c r="L400" s="9" t="s">
        <v>2820</v>
      </c>
      <c r="M400" s="9" t="s">
        <v>2821</v>
      </c>
      <c r="N400" s="9" t="s">
        <v>2822</v>
      </c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 t="s">
        <v>2823</v>
      </c>
      <c r="B401" s="6" t="s">
        <v>2824</v>
      </c>
      <c r="C401" s="6" t="s">
        <v>2825</v>
      </c>
      <c r="D401" s="6" t="s">
        <v>17</v>
      </c>
      <c r="E401" s="6" t="s">
        <v>18</v>
      </c>
      <c r="F401" s="6" t="s">
        <v>2826</v>
      </c>
      <c r="G401" s="7">
        <v>4174708.0</v>
      </c>
      <c r="H401" s="8" t="str">
        <f>HYPERLINK("http://www.bnaibrith.org/","http://www.bnaibrith.org/")</f>
        <v>http://www.bnaibrith.org/</v>
      </c>
      <c r="I401" s="6" t="s">
        <v>20</v>
      </c>
      <c r="J401" s="9" t="s">
        <v>2827</v>
      </c>
      <c r="K401" s="9" t="s">
        <v>857</v>
      </c>
      <c r="L401" s="9" t="s">
        <v>2828</v>
      </c>
      <c r="M401" s="9" t="s">
        <v>2829</v>
      </c>
      <c r="N401" s="9" t="s">
        <v>2830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 t="s">
        <v>2831</v>
      </c>
      <c r="B402" s="6" t="s">
        <v>2832</v>
      </c>
      <c r="C402" s="6" t="s">
        <v>2833</v>
      </c>
      <c r="D402" s="6" t="s">
        <v>17</v>
      </c>
      <c r="E402" s="6" t="s">
        <v>18</v>
      </c>
      <c r="F402" s="6" t="s">
        <v>2834</v>
      </c>
      <c r="G402" s="7">
        <v>4162567.0</v>
      </c>
      <c r="H402" s="8" t="str">
        <f>HYPERLINK("http://www.melanoma.org/","http://www.melanoma.org/")</f>
        <v>http://www.melanoma.org/</v>
      </c>
      <c r="I402" s="6" t="s">
        <v>20</v>
      </c>
      <c r="J402" s="9" t="s">
        <v>2835</v>
      </c>
      <c r="K402" s="9" t="s">
        <v>2836</v>
      </c>
      <c r="L402" s="9" t="s">
        <v>2837</v>
      </c>
      <c r="M402" s="9" t="s">
        <v>2838</v>
      </c>
      <c r="N402" s="9" t="s">
        <v>2839</v>
      </c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0" t="s">
        <v>2840</v>
      </c>
      <c r="B403" s="11" t="s">
        <v>2841</v>
      </c>
      <c r="C403" s="11" t="s">
        <v>2842</v>
      </c>
      <c r="D403" s="11" t="s">
        <v>17</v>
      </c>
      <c r="E403" s="11" t="s">
        <v>18</v>
      </c>
      <c r="F403" s="11" t="s">
        <v>2843</v>
      </c>
      <c r="G403" s="12">
        <v>4161870.0</v>
      </c>
      <c r="H403" s="13"/>
      <c r="I403" s="11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0" t="s">
        <v>2844</v>
      </c>
      <c r="B404" s="11" t="s">
        <v>2845</v>
      </c>
      <c r="C404" s="11" t="s">
        <v>2846</v>
      </c>
      <c r="D404" s="11" t="s">
        <v>17</v>
      </c>
      <c r="E404" s="11" t="s">
        <v>18</v>
      </c>
      <c r="F404" s="11" t="s">
        <v>2847</v>
      </c>
      <c r="G404" s="12">
        <v>4160671.0</v>
      </c>
      <c r="H404" s="13"/>
      <c r="I404" s="11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0" t="s">
        <v>2848</v>
      </c>
      <c r="B405" s="11" t="s">
        <v>2849</v>
      </c>
      <c r="C405" s="11" t="s">
        <v>2850</v>
      </c>
      <c r="D405" s="11" t="s">
        <v>17</v>
      </c>
      <c r="E405" s="11" t="s">
        <v>18</v>
      </c>
      <c r="F405" s="11" t="s">
        <v>2851</v>
      </c>
      <c r="G405" s="12">
        <v>4139442.0</v>
      </c>
      <c r="H405" s="13"/>
      <c r="I405" s="11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5" t="s">
        <v>2852</v>
      </c>
      <c r="B406" s="6" t="s">
        <v>2853</v>
      </c>
      <c r="C406" s="6" t="s">
        <v>2854</v>
      </c>
      <c r="D406" s="6" t="s">
        <v>17</v>
      </c>
      <c r="E406" s="6" t="s">
        <v>18</v>
      </c>
      <c r="F406" s="6" t="s">
        <v>2855</v>
      </c>
      <c r="G406" s="7">
        <v>4134521.0</v>
      </c>
      <c r="H406" s="8" t="str">
        <f>HYPERLINK("http://www.erfsc.org/","http://www.erfsc.org/")</f>
        <v>http://www.erfsc.org/</v>
      </c>
      <c r="I406" s="6" t="s">
        <v>20</v>
      </c>
      <c r="J406" s="9" t="s">
        <v>1287</v>
      </c>
      <c r="K406" s="9" t="s">
        <v>2856</v>
      </c>
      <c r="L406" s="9" t="s">
        <v>2857</v>
      </c>
      <c r="M406" s="9" t="s">
        <v>2858</v>
      </c>
      <c r="N406" s="9" t="s">
        <v>2859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 t="s">
        <v>2860</v>
      </c>
      <c r="B407" s="6" t="s">
        <v>2861</v>
      </c>
      <c r="C407" s="6" t="s">
        <v>2862</v>
      </c>
      <c r="D407" s="6" t="s">
        <v>17</v>
      </c>
      <c r="E407" s="6" t="s">
        <v>18</v>
      </c>
      <c r="F407" s="6" t="s">
        <v>2863</v>
      </c>
      <c r="G407" s="7">
        <v>4101354.0</v>
      </c>
      <c r="H407" s="8" t="str">
        <f>HYPERLINK("http://fsfsc.org/","http://fsfsc.org/")</f>
        <v>http://fsfsc.org/</v>
      </c>
      <c r="I407" s="6" t="s">
        <v>20</v>
      </c>
      <c r="J407" s="9" t="s">
        <v>1287</v>
      </c>
      <c r="K407" s="9" t="s">
        <v>2864</v>
      </c>
      <c r="L407" s="9" t="s">
        <v>2865</v>
      </c>
      <c r="M407" s="9" t="s">
        <v>2866</v>
      </c>
      <c r="N407" s="9" t="s">
        <v>2867</v>
      </c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 t="s">
        <v>2868</v>
      </c>
      <c r="B408" s="6" t="s">
        <v>2869</v>
      </c>
      <c r="C408" s="6" t="s">
        <v>2870</v>
      </c>
      <c r="D408" s="6" t="s">
        <v>17</v>
      </c>
      <c r="E408" s="6" t="s">
        <v>18</v>
      </c>
      <c r="F408" s="6" t="s">
        <v>1549</v>
      </c>
      <c r="G408" s="7">
        <v>4094398.0</v>
      </c>
      <c r="H408" s="8" t="str">
        <f>HYPERLINK("http://serpinstitute.org/","http://serpinstitute.org/")</f>
        <v>http://serpinstitute.org/</v>
      </c>
      <c r="I408" s="6" t="s">
        <v>20</v>
      </c>
      <c r="J408" s="9" t="s">
        <v>1287</v>
      </c>
      <c r="K408" s="9" t="s">
        <v>2871</v>
      </c>
      <c r="L408" s="9" t="s">
        <v>2872</v>
      </c>
      <c r="M408" s="9" t="s">
        <v>2873</v>
      </c>
      <c r="N408" s="9" t="s">
        <v>2874</v>
      </c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0" t="s">
        <v>2875</v>
      </c>
      <c r="B409" s="11" t="s">
        <v>2876</v>
      </c>
      <c r="C409" s="11" t="s">
        <v>2877</v>
      </c>
      <c r="D409" s="11" t="s">
        <v>17</v>
      </c>
      <c r="E409" s="11" t="s">
        <v>18</v>
      </c>
      <c r="F409" s="11" t="s">
        <v>2878</v>
      </c>
      <c r="G409" s="12">
        <v>4076673.0</v>
      </c>
      <c r="H409" s="13"/>
      <c r="I409" s="11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5" t="s">
        <v>2879</v>
      </c>
      <c r="B410" s="6" t="s">
        <v>2880</v>
      </c>
      <c r="C410" s="6" t="s">
        <v>2881</v>
      </c>
      <c r="D410" s="6" t="s">
        <v>17</v>
      </c>
      <c r="E410" s="6" t="s">
        <v>18</v>
      </c>
      <c r="F410" s="6" t="s">
        <v>2882</v>
      </c>
      <c r="G410" s="7">
        <v>4061562.0</v>
      </c>
      <c r="H410" s="8" t="str">
        <f>HYPERLINK("http://cornerstonedc.org/","http://cornerstonedc.org/")</f>
        <v>http://cornerstonedc.org/</v>
      </c>
      <c r="I410" s="6" t="s">
        <v>20</v>
      </c>
      <c r="J410" s="9" t="s">
        <v>2883</v>
      </c>
      <c r="K410" s="9" t="s">
        <v>2728</v>
      </c>
      <c r="L410" s="9" t="s">
        <v>2884</v>
      </c>
      <c r="M410" s="9" t="s">
        <v>2885</v>
      </c>
      <c r="N410" s="9" t="s">
        <v>2886</v>
      </c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0" t="s">
        <v>2887</v>
      </c>
      <c r="B411" s="11" t="s">
        <v>2888</v>
      </c>
      <c r="C411" s="11" t="s">
        <v>2889</v>
      </c>
      <c r="D411" s="11" t="s">
        <v>17</v>
      </c>
      <c r="E411" s="11" t="s">
        <v>18</v>
      </c>
      <c r="F411" s="11" t="s">
        <v>2890</v>
      </c>
      <c r="G411" s="12">
        <v>4057414.0</v>
      </c>
      <c r="H411" s="13"/>
      <c r="I411" s="11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0" t="s">
        <v>2891</v>
      </c>
      <c r="B412" s="11" t="s">
        <v>2892</v>
      </c>
      <c r="C412" s="11" t="s">
        <v>2893</v>
      </c>
      <c r="D412" s="11" t="s">
        <v>17</v>
      </c>
      <c r="E412" s="11" t="s">
        <v>18</v>
      </c>
      <c r="F412" s="11" t="s">
        <v>414</v>
      </c>
      <c r="G412" s="12">
        <v>4044563.0</v>
      </c>
      <c r="H412" s="13"/>
      <c r="I412" s="11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0" t="s">
        <v>2894</v>
      </c>
      <c r="B413" s="11" t="s">
        <v>2895</v>
      </c>
      <c r="C413" s="11" t="s">
        <v>2896</v>
      </c>
      <c r="D413" s="11" t="s">
        <v>17</v>
      </c>
      <c r="E413" s="11" t="s">
        <v>18</v>
      </c>
      <c r="F413" s="11" t="s">
        <v>2897</v>
      </c>
      <c r="G413" s="12">
        <v>4026532.0</v>
      </c>
      <c r="H413" s="13"/>
      <c r="I413" s="11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0" t="s">
        <v>2898</v>
      </c>
      <c r="B414" s="11" t="s">
        <v>2899</v>
      </c>
      <c r="C414" s="11" t="s">
        <v>2900</v>
      </c>
      <c r="D414" s="11" t="s">
        <v>17</v>
      </c>
      <c r="E414" s="11" t="s">
        <v>18</v>
      </c>
      <c r="F414" s="11" t="s">
        <v>2901</v>
      </c>
      <c r="G414" s="12">
        <v>4022618.0</v>
      </c>
      <c r="H414" s="13"/>
      <c r="I414" s="11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0" t="s">
        <v>2902</v>
      </c>
      <c r="B415" s="11" t="s">
        <v>2903</v>
      </c>
      <c r="C415" s="11" t="s">
        <v>2904</v>
      </c>
      <c r="D415" s="11" t="s">
        <v>17</v>
      </c>
      <c r="E415" s="11" t="s">
        <v>18</v>
      </c>
      <c r="F415" s="11" t="s">
        <v>2905</v>
      </c>
      <c r="G415" s="12">
        <v>4021565.0</v>
      </c>
      <c r="H415" s="13"/>
      <c r="I415" s="11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5" t="s">
        <v>2906</v>
      </c>
      <c r="B416" s="6" t="s">
        <v>2907</v>
      </c>
      <c r="C416" s="6" t="s">
        <v>2908</v>
      </c>
      <c r="D416" s="6" t="s">
        <v>17</v>
      </c>
      <c r="E416" s="6" t="s">
        <v>18</v>
      </c>
      <c r="F416" s="6" t="s">
        <v>2909</v>
      </c>
      <c r="G416" s="7">
        <v>4013245.0</v>
      </c>
      <c r="H416" s="8" t="str">
        <f>HYPERLINK("http://rostropovich.org/","http://rostropovich.org/")</f>
        <v>http://rostropovich.org/</v>
      </c>
      <c r="I416" s="6" t="s">
        <v>20</v>
      </c>
      <c r="J416" s="9" t="s">
        <v>1287</v>
      </c>
      <c r="K416" s="9" t="s">
        <v>2910</v>
      </c>
      <c r="L416" s="9" t="s">
        <v>2911</v>
      </c>
      <c r="M416" s="9" t="s">
        <v>2912</v>
      </c>
      <c r="N416" s="9" t="s">
        <v>2913</v>
      </c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 t="s">
        <v>2914</v>
      </c>
      <c r="B417" s="6" t="s">
        <v>2915</v>
      </c>
      <c r="C417" s="6" t="s">
        <v>2916</v>
      </c>
      <c r="D417" s="6" t="s">
        <v>17</v>
      </c>
      <c r="E417" s="6" t="s">
        <v>18</v>
      </c>
      <c r="F417" s="6" t="s">
        <v>2917</v>
      </c>
      <c r="G417" s="7">
        <v>3988063.0</v>
      </c>
      <c r="H417" s="8" t="str">
        <f>HYPERLINK("http://hillcenterdc.org/home/","http://hillcenterdc.org/home/")</f>
        <v>http://hillcenterdc.org/home/</v>
      </c>
      <c r="I417" s="6" t="s">
        <v>20</v>
      </c>
      <c r="J417" s="9" t="s">
        <v>2599</v>
      </c>
      <c r="K417" s="9" t="s">
        <v>2918</v>
      </c>
      <c r="L417" s="9" t="s">
        <v>2919</v>
      </c>
      <c r="M417" s="9" t="s">
        <v>2920</v>
      </c>
      <c r="N417" s="9" t="s">
        <v>2921</v>
      </c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0" t="s">
        <v>2922</v>
      </c>
      <c r="B418" s="11" t="s">
        <v>2923</v>
      </c>
      <c r="C418" s="11" t="s">
        <v>2924</v>
      </c>
      <c r="D418" s="11" t="s">
        <v>17</v>
      </c>
      <c r="E418" s="11" t="s">
        <v>18</v>
      </c>
      <c r="F418" s="11" t="s">
        <v>2925</v>
      </c>
      <c r="G418" s="12">
        <v>3985858.0</v>
      </c>
      <c r="H418" s="13"/>
      <c r="I418" s="11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5" t="s">
        <v>2926</v>
      </c>
      <c r="B419" s="6" t="s">
        <v>2927</v>
      </c>
      <c r="C419" s="6" t="s">
        <v>2928</v>
      </c>
      <c r="D419" s="6" t="s">
        <v>17</v>
      </c>
      <c r="E419" s="6" t="s">
        <v>18</v>
      </c>
      <c r="F419" s="6" t="s">
        <v>2929</v>
      </c>
      <c r="G419" s="7">
        <v>3981728.0</v>
      </c>
      <c r="H419" s="8" t="str">
        <f>HYPERLINK("http://www.rosemountcenter.com/","http://www.rosemountcenter.com/")</f>
        <v>http://www.rosemountcenter.com/</v>
      </c>
      <c r="I419" s="6" t="s">
        <v>20</v>
      </c>
      <c r="J419" s="9" t="s">
        <v>2930</v>
      </c>
      <c r="K419" s="9" t="s">
        <v>2931</v>
      </c>
      <c r="L419" s="9" t="s">
        <v>2378</v>
      </c>
      <c r="M419" s="9" t="s">
        <v>2932</v>
      </c>
      <c r="N419" s="9" t="s">
        <v>2933</v>
      </c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 t="s">
        <v>2934</v>
      </c>
      <c r="B420" s="6" t="s">
        <v>2935</v>
      </c>
      <c r="C420" s="6" t="s">
        <v>2936</v>
      </c>
      <c r="D420" s="6" t="s">
        <v>17</v>
      </c>
      <c r="E420" s="6" t="s">
        <v>18</v>
      </c>
      <c r="F420" s="6" t="s">
        <v>2473</v>
      </c>
      <c r="G420" s="7">
        <v>3977947.0</v>
      </c>
      <c r="H420" s="8" t="str">
        <f>HYPERLINK("http://www.mountain.org/","http://www.mountain.org/")</f>
        <v>http://www.mountain.org/</v>
      </c>
      <c r="I420" s="6" t="s">
        <v>20</v>
      </c>
      <c r="J420" s="9" t="s">
        <v>1287</v>
      </c>
      <c r="K420" s="9" t="s">
        <v>994</v>
      </c>
      <c r="L420" s="9" t="s">
        <v>2937</v>
      </c>
      <c r="M420" s="9" t="s">
        <v>2938</v>
      </c>
      <c r="N420" s="9" t="s">
        <v>2939</v>
      </c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0" t="s">
        <v>2940</v>
      </c>
      <c r="B421" s="11" t="s">
        <v>2941</v>
      </c>
      <c r="C421" s="11" t="s">
        <v>2942</v>
      </c>
      <c r="D421" s="11" t="s">
        <v>17</v>
      </c>
      <c r="E421" s="11" t="s">
        <v>18</v>
      </c>
      <c r="F421" s="11" t="s">
        <v>2943</v>
      </c>
      <c r="G421" s="12">
        <v>3976875.0</v>
      </c>
      <c r="H421" s="13"/>
      <c r="I421" s="11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5" t="s">
        <v>2944</v>
      </c>
      <c r="B422" s="6" t="s">
        <v>2945</v>
      </c>
      <c r="C422" s="6" t="s">
        <v>2946</v>
      </c>
      <c r="D422" s="6" t="s">
        <v>17</v>
      </c>
      <c r="E422" s="6" t="s">
        <v>18</v>
      </c>
      <c r="F422" s="6" t="s">
        <v>2947</v>
      </c>
      <c r="G422" s="7">
        <v>3972205.0</v>
      </c>
      <c r="H422" s="8" t="str">
        <f>HYPERLINK("http://baeo.org/","http://baeo.org/")</f>
        <v>http://baeo.org/</v>
      </c>
      <c r="I422" s="6" t="s">
        <v>20</v>
      </c>
      <c r="J422" s="9" t="s">
        <v>2948</v>
      </c>
      <c r="K422" s="9" t="s">
        <v>2949</v>
      </c>
      <c r="L422" s="9" t="s">
        <v>2950</v>
      </c>
      <c r="M422" s="9" t="s">
        <v>2951</v>
      </c>
      <c r="N422" s="9" t="s">
        <v>2952</v>
      </c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0" t="s">
        <v>2953</v>
      </c>
      <c r="B423" s="11" t="s">
        <v>2954</v>
      </c>
      <c r="C423" s="11" t="s">
        <v>2955</v>
      </c>
      <c r="D423" s="11" t="s">
        <v>17</v>
      </c>
      <c r="E423" s="11" t="s">
        <v>18</v>
      </c>
      <c r="F423" s="11" t="s">
        <v>2956</v>
      </c>
      <c r="G423" s="12">
        <v>3970025.0</v>
      </c>
      <c r="H423" s="13"/>
      <c r="I423" s="11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0" t="s">
        <v>2957</v>
      </c>
      <c r="B424" s="11" t="s">
        <v>2958</v>
      </c>
      <c r="C424" s="11" t="s">
        <v>2959</v>
      </c>
      <c r="D424" s="11" t="s">
        <v>17</v>
      </c>
      <c r="E424" s="11" t="s">
        <v>18</v>
      </c>
      <c r="F424" s="11" t="s">
        <v>2960</v>
      </c>
      <c r="G424" s="12">
        <v>3916584.0</v>
      </c>
      <c r="H424" s="13"/>
      <c r="I424" s="11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0" t="s">
        <v>2961</v>
      </c>
      <c r="B425" s="11" t="s">
        <v>2962</v>
      </c>
      <c r="C425" s="11" t="s">
        <v>2963</v>
      </c>
      <c r="D425" s="11" t="s">
        <v>17</v>
      </c>
      <c r="E425" s="11" t="s">
        <v>18</v>
      </c>
      <c r="F425" s="11" t="s">
        <v>2964</v>
      </c>
      <c r="G425" s="12">
        <v>3914787.0</v>
      </c>
      <c r="H425" s="13"/>
      <c r="I425" s="11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0" t="s">
        <v>2965</v>
      </c>
      <c r="B426" s="11" t="s">
        <v>2966</v>
      </c>
      <c r="C426" s="11" t="s">
        <v>2967</v>
      </c>
      <c r="D426" s="11" t="s">
        <v>17</v>
      </c>
      <c r="E426" s="11" t="s">
        <v>18</v>
      </c>
      <c r="F426" s="11" t="s">
        <v>2968</v>
      </c>
      <c r="G426" s="12">
        <v>3878952.0</v>
      </c>
      <c r="H426" s="13"/>
      <c r="I426" s="11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5" t="s">
        <v>2969</v>
      </c>
      <c r="B427" s="6" t="s">
        <v>2970</v>
      </c>
      <c r="C427" s="6" t="s">
        <v>2971</v>
      </c>
      <c r="D427" s="6" t="s">
        <v>17</v>
      </c>
      <c r="E427" s="6" t="s">
        <v>18</v>
      </c>
      <c r="F427" s="6" t="s">
        <v>2972</v>
      </c>
      <c r="G427" s="7">
        <v>3878677.0</v>
      </c>
      <c r="H427" s="8" t="str">
        <f>HYPERLINK("http://www.wlf.org/","http://www.wlf.org/")</f>
        <v>http://www.wlf.org/</v>
      </c>
      <c r="I427" s="6" t="s">
        <v>20</v>
      </c>
      <c r="J427" s="9" t="s">
        <v>2973</v>
      </c>
      <c r="K427" s="9" t="s">
        <v>1941</v>
      </c>
      <c r="L427" s="9" t="s">
        <v>2974</v>
      </c>
      <c r="M427" s="9" t="s">
        <v>2975</v>
      </c>
      <c r="N427" s="9" t="s">
        <v>2976</v>
      </c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 t="s">
        <v>2977</v>
      </c>
      <c r="B428" s="6" t="s">
        <v>2978</v>
      </c>
      <c r="C428" s="6" t="s">
        <v>462</v>
      </c>
      <c r="D428" s="6" t="s">
        <v>17</v>
      </c>
      <c r="E428" s="6" t="s">
        <v>18</v>
      </c>
      <c r="F428" s="6" t="s">
        <v>463</v>
      </c>
      <c r="G428" s="7">
        <v>3872000.0</v>
      </c>
      <c r="H428" s="8" t="str">
        <f>HYPERLINK("http://www.enrollamerica.org/","http://www.enrollamerica.org/")</f>
        <v>http://www.enrollamerica.org/</v>
      </c>
      <c r="I428" s="6" t="s">
        <v>20</v>
      </c>
      <c r="J428" s="9" t="s">
        <v>2979</v>
      </c>
      <c r="K428" s="9" t="s">
        <v>2980</v>
      </c>
      <c r="L428" s="9" t="s">
        <v>2981</v>
      </c>
      <c r="M428" s="9" t="s">
        <v>2982</v>
      </c>
      <c r="N428" s="9" t="s">
        <v>2983</v>
      </c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0" t="s">
        <v>2984</v>
      </c>
      <c r="B429" s="11" t="s">
        <v>2985</v>
      </c>
      <c r="C429" s="11" t="s">
        <v>2339</v>
      </c>
      <c r="D429" s="11" t="s">
        <v>17</v>
      </c>
      <c r="E429" s="11" t="s">
        <v>18</v>
      </c>
      <c r="F429" s="11" t="s">
        <v>2340</v>
      </c>
      <c r="G429" s="12">
        <v>3865020.0</v>
      </c>
      <c r="H429" s="13"/>
      <c r="I429" s="11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5" t="s">
        <v>2986</v>
      </c>
      <c r="B430" s="6" t="s">
        <v>2987</v>
      </c>
      <c r="C430" s="6" t="s">
        <v>2988</v>
      </c>
      <c r="D430" s="6" t="s">
        <v>17</v>
      </c>
      <c r="E430" s="6" t="s">
        <v>18</v>
      </c>
      <c r="F430" s="6" t="s">
        <v>2989</v>
      </c>
      <c r="G430" s="7">
        <v>3862009.0</v>
      </c>
      <c r="H430" s="8" t="str">
        <f>HYPERLINK("http://www.ercpcp.org/home0.aspx","http://www.ercpcp.org/home0.aspx")</f>
        <v>http://www.ercpcp.org/home0.aspx</v>
      </c>
      <c r="I430" s="6" t="s">
        <v>20</v>
      </c>
      <c r="J430" s="9" t="s">
        <v>2990</v>
      </c>
      <c r="K430" s="9" t="s">
        <v>2991</v>
      </c>
      <c r="L430" s="9" t="s">
        <v>2992</v>
      </c>
      <c r="M430" s="9" t="s">
        <v>2993</v>
      </c>
      <c r="N430" s="9" t="s">
        <v>2994</v>
      </c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 t="s">
        <v>2995</v>
      </c>
      <c r="B431" s="6" t="s">
        <v>2996</v>
      </c>
      <c r="C431" s="6" t="s">
        <v>2997</v>
      </c>
      <c r="D431" s="6" t="s">
        <v>17</v>
      </c>
      <c r="E431" s="6" t="s">
        <v>18</v>
      </c>
      <c r="F431" s="6" t="s">
        <v>2998</v>
      </c>
      <c r="G431" s="7">
        <v>3842886.0</v>
      </c>
      <c r="H431" s="8" t="str">
        <f>HYPERLINK("http://www.cleanwaterfund.org/","http://www.cleanwaterfund.org/")</f>
        <v>http://www.cleanwaterfund.org/</v>
      </c>
      <c r="I431" s="6" t="s">
        <v>20</v>
      </c>
      <c r="J431" s="9" t="s">
        <v>2999</v>
      </c>
      <c r="K431" s="9" t="s">
        <v>1288</v>
      </c>
      <c r="L431" s="9" t="s">
        <v>3000</v>
      </c>
      <c r="M431" s="9" t="s">
        <v>3001</v>
      </c>
      <c r="N431" s="9" t="s">
        <v>3002</v>
      </c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 t="s">
        <v>3003</v>
      </c>
      <c r="B432" s="6" t="s">
        <v>3004</v>
      </c>
      <c r="C432" s="6" t="s">
        <v>3005</v>
      </c>
      <c r="D432" s="6" t="s">
        <v>17</v>
      </c>
      <c r="E432" s="6" t="s">
        <v>18</v>
      </c>
      <c r="F432" s="6" t="s">
        <v>3006</v>
      </c>
      <c r="G432" s="7">
        <v>3826411.0</v>
      </c>
      <c r="H432" s="8" t="str">
        <f>HYPERLINK("http://www.ucpdc.org/","http://www.ucpdc.org/")</f>
        <v>http://www.ucpdc.org/</v>
      </c>
      <c r="I432" s="6" t="s">
        <v>20</v>
      </c>
      <c r="J432" s="9" t="s">
        <v>958</v>
      </c>
      <c r="K432" s="9" t="s">
        <v>1648</v>
      </c>
      <c r="L432" s="9" t="s">
        <v>3007</v>
      </c>
      <c r="M432" s="9" t="s">
        <v>3008</v>
      </c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0" t="s">
        <v>3009</v>
      </c>
      <c r="B433" s="11" t="s">
        <v>3010</v>
      </c>
      <c r="C433" s="11" t="s">
        <v>3011</v>
      </c>
      <c r="D433" s="11" t="s">
        <v>17</v>
      </c>
      <c r="E433" s="11" t="s">
        <v>18</v>
      </c>
      <c r="F433" s="11" t="s">
        <v>3012</v>
      </c>
      <c r="G433" s="12">
        <v>3822441.0</v>
      </c>
      <c r="H433" s="13"/>
      <c r="I433" s="11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0" t="s">
        <v>3013</v>
      </c>
      <c r="B434" s="11" t="s">
        <v>3014</v>
      </c>
      <c r="C434" s="11" t="s">
        <v>3015</v>
      </c>
      <c r="D434" s="11" t="s">
        <v>17</v>
      </c>
      <c r="E434" s="11" t="s">
        <v>18</v>
      </c>
      <c r="F434" s="11" t="s">
        <v>3016</v>
      </c>
      <c r="G434" s="12">
        <v>3785677.0</v>
      </c>
      <c r="H434" s="13"/>
      <c r="I434" s="11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0" t="s">
        <v>3017</v>
      </c>
      <c r="B435" s="11" t="s">
        <v>3018</v>
      </c>
      <c r="C435" s="11" t="s">
        <v>3019</v>
      </c>
      <c r="D435" s="11" t="s">
        <v>17</v>
      </c>
      <c r="E435" s="11" t="s">
        <v>18</v>
      </c>
      <c r="F435" s="11" t="s">
        <v>3020</v>
      </c>
      <c r="G435" s="12">
        <v>3783975.0</v>
      </c>
      <c r="H435" s="13"/>
      <c r="I435" s="11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5" t="s">
        <v>3021</v>
      </c>
      <c r="B436" s="6" t="s">
        <v>3022</v>
      </c>
      <c r="C436" s="6" t="s">
        <v>3023</v>
      </c>
      <c r="D436" s="6" t="s">
        <v>17</v>
      </c>
      <c r="E436" s="6" t="s">
        <v>18</v>
      </c>
      <c r="F436" s="6" t="s">
        <v>3024</v>
      </c>
      <c r="G436" s="7">
        <v>3781023.0</v>
      </c>
      <c r="H436" s="8" t="str">
        <f>HYPERLINK("http://www.uschs.org/","http://www.uschs.org/")</f>
        <v>http://www.uschs.org/</v>
      </c>
      <c r="I436" s="6" t="s">
        <v>20</v>
      </c>
      <c r="J436" s="9" t="s">
        <v>3025</v>
      </c>
      <c r="K436" s="9" t="s">
        <v>1941</v>
      </c>
      <c r="L436" s="9" t="s">
        <v>3026</v>
      </c>
      <c r="M436" s="9" t="s">
        <v>3027</v>
      </c>
      <c r="N436" s="9" t="s">
        <v>3028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0" t="s">
        <v>3029</v>
      </c>
      <c r="B437" s="11" t="s">
        <v>3030</v>
      </c>
      <c r="C437" s="11" t="s">
        <v>3031</v>
      </c>
      <c r="D437" s="11" t="s">
        <v>17</v>
      </c>
      <c r="E437" s="11" t="s">
        <v>18</v>
      </c>
      <c r="F437" s="11" t="s">
        <v>3032</v>
      </c>
      <c r="G437" s="12">
        <v>3744961.0</v>
      </c>
      <c r="H437" s="13"/>
      <c r="I437" s="11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5" t="s">
        <v>3033</v>
      </c>
      <c r="B438" s="6" t="s">
        <v>3034</v>
      </c>
      <c r="C438" s="6" t="s">
        <v>3035</v>
      </c>
      <c r="D438" s="6" t="s">
        <v>17</v>
      </c>
      <c r="E438" s="6" t="s">
        <v>18</v>
      </c>
      <c r="F438" s="6" t="s">
        <v>3036</v>
      </c>
      <c r="G438" s="7">
        <v>3740496.0</v>
      </c>
      <c r="H438" s="8" t="str">
        <f>HYPERLINK("http://helpupa.org/","http://helpupa.org/")</f>
        <v>http://helpupa.org/</v>
      </c>
      <c r="I438" s="6" t="s">
        <v>20</v>
      </c>
      <c r="J438" s="9" t="s">
        <v>456</v>
      </c>
      <c r="K438" s="9" t="s">
        <v>3037</v>
      </c>
      <c r="L438" s="9" t="s">
        <v>3038</v>
      </c>
      <c r="M438" s="9" t="s">
        <v>3039</v>
      </c>
      <c r="N438" s="9" t="s">
        <v>3040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0" t="s">
        <v>3041</v>
      </c>
      <c r="B439" s="11" t="s">
        <v>3042</v>
      </c>
      <c r="C439" s="11" t="s">
        <v>3043</v>
      </c>
      <c r="D439" s="11" t="s">
        <v>17</v>
      </c>
      <c r="E439" s="11" t="s">
        <v>18</v>
      </c>
      <c r="F439" s="11" t="s">
        <v>3044</v>
      </c>
      <c r="G439" s="12">
        <v>3732905.0</v>
      </c>
      <c r="H439" s="13"/>
      <c r="I439" s="11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0" t="s">
        <v>3045</v>
      </c>
      <c r="B440" s="11" t="s">
        <v>3046</v>
      </c>
      <c r="C440" s="11" t="s">
        <v>3047</v>
      </c>
      <c r="D440" s="11" t="s">
        <v>17</v>
      </c>
      <c r="E440" s="11" t="s">
        <v>18</v>
      </c>
      <c r="F440" s="11" t="s">
        <v>2960</v>
      </c>
      <c r="G440" s="12">
        <v>3729008.0</v>
      </c>
      <c r="H440" s="13"/>
      <c r="I440" s="11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5" t="s">
        <v>3048</v>
      </c>
      <c r="B441" s="6" t="s">
        <v>3049</v>
      </c>
      <c r="C441" s="6" t="s">
        <v>3050</v>
      </c>
      <c r="D441" s="6" t="s">
        <v>17</v>
      </c>
      <c r="E441" s="6" t="s">
        <v>18</v>
      </c>
      <c r="F441" s="6" t="s">
        <v>3051</v>
      </c>
      <c r="G441" s="7">
        <v>3728361.0</v>
      </c>
      <c r="H441" s="8" t="str">
        <f>HYPERLINK("http://www.cneonline.org/","http://www.cneonline.org/")</f>
        <v>http://www.cneonline.org/</v>
      </c>
      <c r="I441" s="6" t="s">
        <v>20</v>
      </c>
      <c r="J441" s="9" t="s">
        <v>3052</v>
      </c>
      <c r="K441" s="9" t="s">
        <v>3053</v>
      </c>
      <c r="L441" s="9" t="s">
        <v>3054</v>
      </c>
      <c r="M441" s="9" t="s">
        <v>3055</v>
      </c>
      <c r="N441" s="9" t="s">
        <v>3056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 t="s">
        <v>3057</v>
      </c>
      <c r="B442" s="6" t="s">
        <v>3058</v>
      </c>
      <c r="C442" s="6" t="s">
        <v>3059</v>
      </c>
      <c r="D442" s="6" t="s">
        <v>17</v>
      </c>
      <c r="E442" s="6" t="s">
        <v>18</v>
      </c>
      <c r="F442" s="6" t="s">
        <v>3060</v>
      </c>
      <c r="G442" s="7">
        <v>3721765.0</v>
      </c>
      <c r="H442" s="8" t="str">
        <f>HYPERLINK("http://www.neefusa.org/","http://www.neefusa.org/")</f>
        <v>http://www.neefusa.org/</v>
      </c>
      <c r="I442" s="6" t="s">
        <v>20</v>
      </c>
      <c r="J442" s="9" t="s">
        <v>74</v>
      </c>
      <c r="K442" s="9" t="s">
        <v>3061</v>
      </c>
      <c r="L442" s="9" t="s">
        <v>3062</v>
      </c>
      <c r="M442" s="9" t="s">
        <v>3063</v>
      </c>
      <c r="N442" s="9" t="s">
        <v>3064</v>
      </c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 t="s">
        <v>3065</v>
      </c>
      <c r="B443" s="6" t="s">
        <v>3066</v>
      </c>
      <c r="C443" s="6" t="s">
        <v>3067</v>
      </c>
      <c r="D443" s="6" t="s">
        <v>17</v>
      </c>
      <c r="E443" s="6" t="s">
        <v>18</v>
      </c>
      <c r="F443" s="6" t="s">
        <v>3068</v>
      </c>
      <c r="G443" s="7">
        <v>3665876.0</v>
      </c>
      <c r="H443" s="8" t="str">
        <f>HYPERLINK("http://www.jinsa.org/","http://www.jinsa.org/")</f>
        <v>http://www.jinsa.org/</v>
      </c>
      <c r="I443" s="6" t="s">
        <v>20</v>
      </c>
      <c r="J443" s="9" t="s">
        <v>3069</v>
      </c>
      <c r="K443" s="9" t="s">
        <v>194</v>
      </c>
      <c r="L443" s="9" t="s">
        <v>3070</v>
      </c>
      <c r="M443" s="9" t="s">
        <v>3071</v>
      </c>
      <c r="N443" s="9" t="s">
        <v>3072</v>
      </c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 t="s">
        <v>3073</v>
      </c>
      <c r="B444" s="6" t="s">
        <v>3074</v>
      </c>
      <c r="C444" s="6" t="s">
        <v>3075</v>
      </c>
      <c r="D444" s="6" t="s">
        <v>17</v>
      </c>
      <c r="E444" s="6" t="s">
        <v>18</v>
      </c>
      <c r="F444" s="6" t="s">
        <v>3076</v>
      </c>
      <c r="G444" s="7">
        <v>3663792.0</v>
      </c>
      <c r="H444" s="8" t="str">
        <f>HYPERLINK("http://www.ciel.org/","http://www.ciel.org/")</f>
        <v>http://www.ciel.org/</v>
      </c>
      <c r="I444" s="6" t="s">
        <v>20</v>
      </c>
      <c r="J444" s="9" t="s">
        <v>570</v>
      </c>
      <c r="K444" s="9" t="s">
        <v>2113</v>
      </c>
      <c r="L444" s="9" t="s">
        <v>3077</v>
      </c>
      <c r="M444" s="9" t="s">
        <v>3078</v>
      </c>
      <c r="N444" s="9" t="s">
        <v>3079</v>
      </c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 t="s">
        <v>3080</v>
      </c>
      <c r="B445" s="6" t="s">
        <v>3081</v>
      </c>
      <c r="C445" s="6" t="s">
        <v>3082</v>
      </c>
      <c r="D445" s="6" t="s">
        <v>17</v>
      </c>
      <c r="E445" s="6" t="s">
        <v>18</v>
      </c>
      <c r="F445" s="6" t="s">
        <v>3083</v>
      </c>
      <c r="G445" s="7">
        <v>3657633.0</v>
      </c>
      <c r="H445" s="8" t="str">
        <f>HYPERLINK("http://www.thearcdc.org/","http://www.thearcdc.org/")</f>
        <v>http://www.thearcdc.org/</v>
      </c>
      <c r="I445" s="6" t="s">
        <v>20</v>
      </c>
      <c r="J445" s="9" t="s">
        <v>456</v>
      </c>
      <c r="K445" s="9" t="s">
        <v>3084</v>
      </c>
      <c r="L445" s="9" t="s">
        <v>3085</v>
      </c>
      <c r="M445" s="9" t="s">
        <v>3086</v>
      </c>
      <c r="N445" s="9" t="s">
        <v>3087</v>
      </c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 t="s">
        <v>3088</v>
      </c>
      <c r="B446" s="6" t="s">
        <v>3089</v>
      </c>
      <c r="C446" s="6" t="s">
        <v>3090</v>
      </c>
      <c r="D446" s="6" t="s">
        <v>17</v>
      </c>
      <c r="E446" s="6" t="s">
        <v>18</v>
      </c>
      <c r="F446" s="6" t="s">
        <v>3091</v>
      </c>
      <c r="G446" s="7">
        <v>3654626.0</v>
      </c>
      <c r="H446" s="8" t="str">
        <f>HYPERLINK("http://www.micasa-inc.org/","http://www.micasa-inc.org/")</f>
        <v>http://www.micasa-inc.org/</v>
      </c>
      <c r="I446" s="6" t="s">
        <v>20</v>
      </c>
      <c r="J446" s="9" t="s">
        <v>1287</v>
      </c>
      <c r="K446" s="9" t="s">
        <v>3092</v>
      </c>
      <c r="L446" s="9" t="s">
        <v>3093</v>
      </c>
      <c r="M446" s="9" t="s">
        <v>3094</v>
      </c>
      <c r="N446" s="9" t="s">
        <v>3095</v>
      </c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 t="s">
        <v>3096</v>
      </c>
      <c r="B447" s="6" t="s">
        <v>3097</v>
      </c>
      <c r="C447" s="6" t="s">
        <v>3098</v>
      </c>
      <c r="D447" s="6" t="s">
        <v>17</v>
      </c>
      <c r="E447" s="6" t="s">
        <v>18</v>
      </c>
      <c r="F447" s="6" t="s">
        <v>3099</v>
      </c>
      <c r="G447" s="7">
        <v>3643836.0</v>
      </c>
      <c r="H447" s="8" t="str">
        <f>HYPERLINK("http://instituteforenergyresearch.org/","http://instituteforenergyresearch.org/")</f>
        <v>http://instituteforenergyresearch.org/</v>
      </c>
      <c r="I447" s="6" t="s">
        <v>20</v>
      </c>
      <c r="J447" s="9" t="s">
        <v>3100</v>
      </c>
      <c r="K447" s="9" t="s">
        <v>3101</v>
      </c>
      <c r="L447" s="9" t="s">
        <v>3102</v>
      </c>
      <c r="M447" s="9" t="s">
        <v>3103</v>
      </c>
      <c r="N447" s="9" t="s">
        <v>3104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0" t="s">
        <v>3105</v>
      </c>
      <c r="B448" s="11" t="s">
        <v>3106</v>
      </c>
      <c r="C448" s="11" t="s">
        <v>3107</v>
      </c>
      <c r="D448" s="11" t="s">
        <v>17</v>
      </c>
      <c r="E448" s="11" t="s">
        <v>18</v>
      </c>
      <c r="F448" s="11" t="s">
        <v>3108</v>
      </c>
      <c r="G448" s="12">
        <v>3626321.0</v>
      </c>
      <c r="H448" s="13"/>
      <c r="I448" s="11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5" t="s">
        <v>3109</v>
      </c>
      <c r="B449" s="6" t="s">
        <v>3110</v>
      </c>
      <c r="C449" s="6" t="s">
        <v>3111</v>
      </c>
      <c r="D449" s="6" t="s">
        <v>17</v>
      </c>
      <c r="E449" s="6" t="s">
        <v>18</v>
      </c>
      <c r="F449" s="6" t="s">
        <v>3112</v>
      </c>
      <c r="G449" s="7">
        <v>3600702.0</v>
      </c>
      <c r="H449" s="8" t="str">
        <f>HYPERLINK("http://www.nclnet.org/","http://www.nclnet.org/")</f>
        <v>http://www.nclnet.org/</v>
      </c>
      <c r="I449" s="6" t="s">
        <v>20</v>
      </c>
      <c r="J449" s="9" t="s">
        <v>3113</v>
      </c>
      <c r="K449" s="9" t="s">
        <v>211</v>
      </c>
      <c r="L449" s="9" t="s">
        <v>3114</v>
      </c>
      <c r="M449" s="9" t="s">
        <v>3115</v>
      </c>
      <c r="N449" s="9" t="s">
        <v>3116</v>
      </c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 t="s">
        <v>3117</v>
      </c>
      <c r="B450" s="6" t="s">
        <v>3118</v>
      </c>
      <c r="C450" s="6" t="s">
        <v>3119</v>
      </c>
      <c r="D450" s="6" t="s">
        <v>17</v>
      </c>
      <c r="E450" s="6" t="s">
        <v>18</v>
      </c>
      <c r="F450" s="6" t="s">
        <v>3120</v>
      </c>
      <c r="G450" s="7">
        <v>3590966.0</v>
      </c>
      <c r="H450" s="8" t="str">
        <f>HYPERLINK("http://www.savetibet.org/","http://www.savetibet.org/")</f>
        <v>http://www.savetibet.org/</v>
      </c>
      <c r="I450" s="6" t="s">
        <v>20</v>
      </c>
      <c r="J450" s="9" t="s">
        <v>456</v>
      </c>
      <c r="K450" s="9" t="s">
        <v>3121</v>
      </c>
      <c r="L450" s="9" t="s">
        <v>3122</v>
      </c>
      <c r="M450" s="9" t="s">
        <v>3123</v>
      </c>
      <c r="N450" s="9" t="s">
        <v>3124</v>
      </c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 t="s">
        <v>3125</v>
      </c>
      <c r="B451" s="6" t="s">
        <v>3126</v>
      </c>
      <c r="C451" s="6" t="s">
        <v>3127</v>
      </c>
      <c r="D451" s="6" t="s">
        <v>17</v>
      </c>
      <c r="E451" s="6" t="s">
        <v>18</v>
      </c>
      <c r="F451" s="6" t="s">
        <v>3128</v>
      </c>
      <c r="G451" s="7">
        <v>3587170.0</v>
      </c>
      <c r="H451" s="8" t="str">
        <f>HYPERLINK("http://chsfsc.org/","http://chsfsc.org/")</f>
        <v>http://chsfsc.org/</v>
      </c>
      <c r="I451" s="6" t="s">
        <v>20</v>
      </c>
      <c r="J451" s="9" t="s">
        <v>1287</v>
      </c>
      <c r="K451" s="9" t="s">
        <v>3129</v>
      </c>
      <c r="L451" s="9" t="s">
        <v>3130</v>
      </c>
      <c r="M451" s="9" t="s">
        <v>3131</v>
      </c>
      <c r="N451" s="9" t="s">
        <v>3132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 t="s">
        <v>3133</v>
      </c>
      <c r="B452" s="6" t="s">
        <v>3134</v>
      </c>
      <c r="C452" s="6" t="s">
        <v>3135</v>
      </c>
      <c r="D452" s="6" t="s">
        <v>17</v>
      </c>
      <c r="E452" s="6" t="s">
        <v>18</v>
      </c>
      <c r="F452" s="6" t="s">
        <v>3136</v>
      </c>
      <c r="G452" s="7">
        <v>3579018.0</v>
      </c>
      <c r="H452" s="8" t="str">
        <f>HYPERLINK("http://www.hungercenter.org/","http://www.hungercenter.org/")</f>
        <v>http://www.hungercenter.org/</v>
      </c>
      <c r="I452" s="6" t="s">
        <v>20</v>
      </c>
      <c r="J452" s="9" t="s">
        <v>456</v>
      </c>
      <c r="K452" s="9" t="s">
        <v>1648</v>
      </c>
      <c r="L452" s="9" t="s">
        <v>3137</v>
      </c>
      <c r="M452" s="9" t="s">
        <v>3138</v>
      </c>
      <c r="N452" s="9" t="s">
        <v>3139</v>
      </c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 t="s">
        <v>3140</v>
      </c>
      <c r="B453" s="6" t="s">
        <v>3141</v>
      </c>
      <c r="C453" s="6" t="s">
        <v>3142</v>
      </c>
      <c r="D453" s="6" t="s">
        <v>17</v>
      </c>
      <c r="E453" s="6" t="s">
        <v>18</v>
      </c>
      <c r="F453" s="6" t="s">
        <v>3143</v>
      </c>
      <c r="G453" s="7">
        <v>3577458.0</v>
      </c>
      <c r="H453" s="8" t="str">
        <f>HYPERLINK("http://www.arcdc.net/","http://www.arcdc.net/")</f>
        <v>http://www.arcdc.net/</v>
      </c>
      <c r="I453" s="6" t="s">
        <v>20</v>
      </c>
      <c r="J453" s="9" t="s">
        <v>3144</v>
      </c>
      <c r="K453" s="9" t="s">
        <v>3145</v>
      </c>
      <c r="L453" s="9" t="s">
        <v>747</v>
      </c>
      <c r="M453" s="9" t="s">
        <v>3146</v>
      </c>
      <c r="N453" s="9" t="s">
        <v>3147</v>
      </c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 t="s">
        <v>3148</v>
      </c>
      <c r="B454" s="6" t="s">
        <v>3149</v>
      </c>
      <c r="C454" s="6" t="s">
        <v>3150</v>
      </c>
      <c r="D454" s="6" t="s">
        <v>17</v>
      </c>
      <c r="E454" s="6" t="s">
        <v>18</v>
      </c>
      <c r="F454" s="6" t="s">
        <v>3151</v>
      </c>
      <c r="G454" s="7">
        <v>3576474.0</v>
      </c>
      <c r="H454" s="8" t="str">
        <f>HYPERLINK("http://www.greenamerica.org/","http://www.greenamerica.org/")</f>
        <v>http://www.greenamerica.org/</v>
      </c>
      <c r="I454" s="6" t="s">
        <v>20</v>
      </c>
      <c r="J454" s="9" t="s">
        <v>456</v>
      </c>
      <c r="K454" s="9" t="s">
        <v>441</v>
      </c>
      <c r="L454" s="9" t="s">
        <v>3152</v>
      </c>
      <c r="M454" s="9" t="s">
        <v>3153</v>
      </c>
      <c r="N454" s="9" t="s">
        <v>3154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 t="s">
        <v>3155</v>
      </c>
      <c r="B455" s="6" t="s">
        <v>3156</v>
      </c>
      <c r="C455" s="6" t="s">
        <v>3157</v>
      </c>
      <c r="D455" s="6" t="s">
        <v>17</v>
      </c>
      <c r="E455" s="6" t="s">
        <v>18</v>
      </c>
      <c r="F455" s="6" t="s">
        <v>671</v>
      </c>
      <c r="G455" s="7">
        <v>3537086.0</v>
      </c>
      <c r="H455" s="8" t="str">
        <f>HYPERLINK("http://www.thedialogue.org/","http://www.thedialogue.org/")</f>
        <v>http://www.thedialogue.org/</v>
      </c>
      <c r="I455" s="6" t="s">
        <v>20</v>
      </c>
      <c r="J455" s="9" t="s">
        <v>3158</v>
      </c>
      <c r="K455" s="9" t="s">
        <v>253</v>
      </c>
      <c r="L455" s="9" t="s">
        <v>3159</v>
      </c>
      <c r="M455" s="9" t="s">
        <v>3160</v>
      </c>
      <c r="N455" s="9" t="s">
        <v>3161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 t="s">
        <v>3162</v>
      </c>
      <c r="B456" s="6" t="s">
        <v>3163</v>
      </c>
      <c r="C456" s="6" t="s">
        <v>3164</v>
      </c>
      <c r="D456" s="6" t="s">
        <v>17</v>
      </c>
      <c r="E456" s="6" t="s">
        <v>18</v>
      </c>
      <c r="F456" s="6" t="s">
        <v>3165</v>
      </c>
      <c r="G456" s="7">
        <v>3526301.0</v>
      </c>
      <c r="H456" s="8" t="str">
        <f>HYPERLINK("http://www2.gwu.edu/~nsarchiv/","http://www2.gwu.edu/~nsarchiv/")</f>
        <v>http://www2.gwu.edu/~nsarchiv/</v>
      </c>
      <c r="I456" s="6" t="s">
        <v>20</v>
      </c>
      <c r="J456" s="9" t="s">
        <v>717</v>
      </c>
      <c r="K456" s="9" t="s">
        <v>700</v>
      </c>
      <c r="L456" s="9" t="s">
        <v>3166</v>
      </c>
      <c r="M456" s="9" t="s">
        <v>3167</v>
      </c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 t="s">
        <v>3168</v>
      </c>
      <c r="B457" s="6" t="s">
        <v>3169</v>
      </c>
      <c r="C457" s="6" t="s">
        <v>3170</v>
      </c>
      <c r="D457" s="6" t="s">
        <v>17</v>
      </c>
      <c r="E457" s="6" t="s">
        <v>18</v>
      </c>
      <c r="F457" s="6" t="s">
        <v>3171</v>
      </c>
      <c r="G457" s="7">
        <v>3516147.0</v>
      </c>
      <c r="H457" s="8" t="str">
        <f>HYPERLINK("http://www.populationconnection.org/site/PageServer","http://www.populationconnection.org/site/PageServer")</f>
        <v>http://www.populationconnection.org/site/PageServer</v>
      </c>
      <c r="I457" s="6" t="s">
        <v>20</v>
      </c>
      <c r="J457" s="9" t="s">
        <v>3172</v>
      </c>
      <c r="K457" s="9" t="s">
        <v>3173</v>
      </c>
      <c r="L457" s="9" t="s">
        <v>3174</v>
      </c>
      <c r="M457" s="9" t="s">
        <v>3175</v>
      </c>
      <c r="N457" s="9" t="s">
        <v>3176</v>
      </c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 t="s">
        <v>3177</v>
      </c>
      <c r="B458" s="6" t="s">
        <v>3178</v>
      </c>
      <c r="C458" s="6" t="s">
        <v>2546</v>
      </c>
      <c r="D458" s="6" t="s">
        <v>17</v>
      </c>
      <c r="E458" s="6" t="s">
        <v>18</v>
      </c>
      <c r="F458" s="6" t="s">
        <v>1238</v>
      </c>
      <c r="G458" s="7">
        <v>3514266.0</v>
      </c>
      <c r="H458" s="8" t="str">
        <f>HYPERLINK("http://www.jwi.org/","http://www.jwi.org/")</f>
        <v>http://www.jwi.org/</v>
      </c>
      <c r="I458" s="6" t="s">
        <v>20</v>
      </c>
      <c r="J458" s="9" t="s">
        <v>3179</v>
      </c>
      <c r="K458" s="9" t="s">
        <v>3180</v>
      </c>
      <c r="L458" s="9" t="s">
        <v>3181</v>
      </c>
      <c r="M458" s="9" t="s">
        <v>3182</v>
      </c>
      <c r="N458" s="9" t="s">
        <v>3183</v>
      </c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0" t="s">
        <v>3184</v>
      </c>
      <c r="B459" s="11" t="s">
        <v>3185</v>
      </c>
      <c r="C459" s="11" t="s">
        <v>3186</v>
      </c>
      <c r="D459" s="11" t="s">
        <v>17</v>
      </c>
      <c r="E459" s="11" t="s">
        <v>18</v>
      </c>
      <c r="F459" s="11" t="s">
        <v>3187</v>
      </c>
      <c r="G459" s="12">
        <v>3511419.0</v>
      </c>
      <c r="H459" s="13"/>
      <c r="I459" s="11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5" t="s">
        <v>3188</v>
      </c>
      <c r="B460" s="6" t="s">
        <v>3189</v>
      </c>
      <c r="C460" s="6" t="s">
        <v>3190</v>
      </c>
      <c r="D460" s="6" t="s">
        <v>17</v>
      </c>
      <c r="E460" s="6" t="s">
        <v>18</v>
      </c>
      <c r="F460" s="6" t="s">
        <v>3191</v>
      </c>
      <c r="G460" s="7">
        <v>3504435.0</v>
      </c>
      <c r="H460" s="8" t="str">
        <f>HYPERLINK("http://www.psr.org/","http://www.psr.org/")</f>
        <v>http://www.psr.org/</v>
      </c>
      <c r="I460" s="6" t="s">
        <v>20</v>
      </c>
      <c r="J460" s="9" t="s">
        <v>3192</v>
      </c>
      <c r="K460" s="9" t="s">
        <v>1542</v>
      </c>
      <c r="L460" s="9" t="s">
        <v>3000</v>
      </c>
      <c r="M460" s="9" t="s">
        <v>3193</v>
      </c>
      <c r="N460" s="9" t="s">
        <v>3194</v>
      </c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 t="s">
        <v>3195</v>
      </c>
      <c r="B461" s="6" t="s">
        <v>3196</v>
      </c>
      <c r="C461" s="6" t="s">
        <v>3197</v>
      </c>
      <c r="D461" s="6" t="s">
        <v>17</v>
      </c>
      <c r="E461" s="6" t="s">
        <v>18</v>
      </c>
      <c r="F461" s="6" t="s">
        <v>3198</v>
      </c>
      <c r="G461" s="7">
        <v>3496197.0</v>
      </c>
      <c r="H461" s="8" t="str">
        <f>HYPERLINK("http://www.trcp.org/","http://www.trcp.org/")</f>
        <v>http://www.trcp.org/</v>
      </c>
      <c r="I461" s="6" t="s">
        <v>20</v>
      </c>
      <c r="J461" s="9" t="s">
        <v>3199</v>
      </c>
      <c r="K461" s="9" t="s">
        <v>3200</v>
      </c>
      <c r="L461" s="9" t="s">
        <v>3201</v>
      </c>
      <c r="M461" s="9" t="s">
        <v>3202</v>
      </c>
      <c r="N461" s="9" t="s">
        <v>3203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0" t="s">
        <v>3204</v>
      </c>
      <c r="B462" s="11" t="s">
        <v>3205</v>
      </c>
      <c r="C462" s="11" t="s">
        <v>3206</v>
      </c>
      <c r="D462" s="11" t="s">
        <v>17</v>
      </c>
      <c r="E462" s="11" t="s">
        <v>18</v>
      </c>
      <c r="F462" s="11" t="s">
        <v>3207</v>
      </c>
      <c r="G462" s="12">
        <v>3488567.0</v>
      </c>
      <c r="H462" s="13"/>
      <c r="I462" s="11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5" t="s">
        <v>3208</v>
      </c>
      <c r="B463" s="6" t="s">
        <v>3209</v>
      </c>
      <c r="C463" s="6" t="s">
        <v>3210</v>
      </c>
      <c r="D463" s="6" t="s">
        <v>17</v>
      </c>
      <c r="E463" s="6" t="s">
        <v>18</v>
      </c>
      <c r="F463" s="6" t="s">
        <v>29</v>
      </c>
      <c r="G463" s="7">
        <v>3485634.0</v>
      </c>
      <c r="H463" s="8" t="str">
        <f>HYPERLINK("http://www.alaskawild.org/","http://www.alaskawild.org/")</f>
        <v>http://www.alaskawild.org/</v>
      </c>
      <c r="I463" s="6" t="s">
        <v>20</v>
      </c>
      <c r="J463" s="9" t="s">
        <v>708</v>
      </c>
      <c r="K463" s="9" t="s">
        <v>3061</v>
      </c>
      <c r="L463" s="9" t="s">
        <v>3211</v>
      </c>
      <c r="M463" s="9" t="s">
        <v>3212</v>
      </c>
      <c r="N463" s="9" t="s">
        <v>3213</v>
      </c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0" t="s">
        <v>3214</v>
      </c>
      <c r="B464" s="11" t="s">
        <v>3215</v>
      </c>
      <c r="C464" s="11" t="s">
        <v>3216</v>
      </c>
      <c r="D464" s="11" t="s">
        <v>17</v>
      </c>
      <c r="E464" s="11" t="s">
        <v>18</v>
      </c>
      <c r="F464" s="11" t="s">
        <v>3217</v>
      </c>
      <c r="G464" s="12">
        <v>3467976.0</v>
      </c>
      <c r="H464" s="13"/>
      <c r="I464" s="11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0" t="s">
        <v>3218</v>
      </c>
      <c r="B465" s="11" t="s">
        <v>3219</v>
      </c>
      <c r="C465" s="11" t="s">
        <v>3220</v>
      </c>
      <c r="D465" s="11" t="s">
        <v>17</v>
      </c>
      <c r="E465" s="11" t="s">
        <v>18</v>
      </c>
      <c r="F465" s="11" t="s">
        <v>3221</v>
      </c>
      <c r="G465" s="12">
        <v>3464817.0</v>
      </c>
      <c r="H465" s="13"/>
      <c r="I465" s="11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5" t="s">
        <v>3222</v>
      </c>
      <c r="B466" s="6" t="s">
        <v>3223</v>
      </c>
      <c r="C466" s="6" t="s">
        <v>3224</v>
      </c>
      <c r="D466" s="6" t="s">
        <v>17</v>
      </c>
      <c r="E466" s="6" t="s">
        <v>18</v>
      </c>
      <c r="F466" s="6" t="s">
        <v>3225</v>
      </c>
      <c r="G466" s="7">
        <v>3461231.0</v>
      </c>
      <c r="H466" s="8" t="str">
        <f>HYPERLINK("https://www.choralarts.org/","https://www.choralarts.org/")</f>
        <v>https://www.choralarts.org/</v>
      </c>
      <c r="I466" s="6" t="s">
        <v>20</v>
      </c>
      <c r="J466" s="9" t="s">
        <v>570</v>
      </c>
      <c r="K466" s="9" t="s">
        <v>1148</v>
      </c>
      <c r="L466" s="9" t="s">
        <v>3226</v>
      </c>
      <c r="M466" s="9" t="s">
        <v>3227</v>
      </c>
      <c r="N466" s="9" t="s">
        <v>3228</v>
      </c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 t="s">
        <v>3229</v>
      </c>
      <c r="B467" s="6" t="s">
        <v>3230</v>
      </c>
      <c r="C467" s="6" t="s">
        <v>3231</v>
      </c>
      <c r="D467" s="6" t="s">
        <v>17</v>
      </c>
      <c r="E467" s="6" t="s">
        <v>18</v>
      </c>
      <c r="F467" s="6" t="s">
        <v>3232</v>
      </c>
      <c r="G467" s="7">
        <v>3444587.0</v>
      </c>
      <c r="H467" s="8" t="str">
        <f>HYPERLINK("http://www.brightbeginningsinc.org/","http://www.brightbeginningsinc.org/")</f>
        <v>http://www.brightbeginningsinc.org/</v>
      </c>
      <c r="I467" s="6" t="s">
        <v>20</v>
      </c>
      <c r="J467" s="9" t="s">
        <v>74</v>
      </c>
      <c r="K467" s="9" t="s">
        <v>3233</v>
      </c>
      <c r="L467" s="9" t="s">
        <v>3234</v>
      </c>
      <c r="M467" s="9" t="s">
        <v>3235</v>
      </c>
      <c r="N467" s="9" t="s">
        <v>3236</v>
      </c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 t="s">
        <v>3237</v>
      </c>
      <c r="B468" s="6" t="s">
        <v>3238</v>
      </c>
      <c r="C468" s="6" t="s">
        <v>3239</v>
      </c>
      <c r="D468" s="6" t="s">
        <v>17</v>
      </c>
      <c r="E468" s="6" t="s">
        <v>18</v>
      </c>
      <c r="F468" s="6" t="s">
        <v>3240</v>
      </c>
      <c r="G468" s="7">
        <v>3441161.0</v>
      </c>
      <c r="H468" s="8" t="str">
        <f>HYPERLINK("http://apa.org/apf/","http://apa.org/apf/")</f>
        <v>http://apa.org/apf/</v>
      </c>
      <c r="I468" s="6" t="s">
        <v>20</v>
      </c>
      <c r="J468" s="9" t="s">
        <v>3241</v>
      </c>
      <c r="K468" s="9" t="s">
        <v>3242</v>
      </c>
      <c r="L468" s="9" t="s">
        <v>3243</v>
      </c>
      <c r="M468" s="9" t="s">
        <v>3244</v>
      </c>
      <c r="N468" s="9" t="s">
        <v>3245</v>
      </c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4" t="s">
        <v>3246</v>
      </c>
      <c r="B469" s="15" t="s">
        <v>3247</v>
      </c>
      <c r="C469" s="15" t="s">
        <v>3248</v>
      </c>
      <c r="D469" s="15" t="s">
        <v>17</v>
      </c>
      <c r="E469" s="15" t="s">
        <v>18</v>
      </c>
      <c r="F469" s="15" t="s">
        <v>3249</v>
      </c>
      <c r="G469" s="16">
        <v>3426241.0</v>
      </c>
      <c r="H469" s="17" t="str">
        <f>HYPERLINK("http://www.worldwatch.org/","http://www.worldwatch.org/")</f>
        <v>http://www.worldwatch.org/</v>
      </c>
      <c r="I469" s="15" t="s">
        <v>20</v>
      </c>
      <c r="J469" s="18" t="s">
        <v>3250</v>
      </c>
      <c r="K469" s="18" t="s">
        <v>2836</v>
      </c>
      <c r="L469" s="18" t="s">
        <v>3251</v>
      </c>
      <c r="M469" s="18" t="s">
        <v>3252</v>
      </c>
      <c r="N469" s="18" t="s">
        <v>3253</v>
      </c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4" t="s">
        <v>3254</v>
      </c>
      <c r="B470" s="15" t="s">
        <v>3255</v>
      </c>
      <c r="C470" s="15" t="s">
        <v>3256</v>
      </c>
      <c r="D470" s="15" t="s">
        <v>17</v>
      </c>
      <c r="E470" s="15" t="s">
        <v>18</v>
      </c>
      <c r="F470" s="15" t="s">
        <v>3257</v>
      </c>
      <c r="G470" s="16">
        <v>3425169.0</v>
      </c>
      <c r="H470" s="17" t="str">
        <f>HYPERLINK("http://self.org/","http://self.org/")</f>
        <v>http://self.org/</v>
      </c>
      <c r="I470" s="15" t="s">
        <v>20</v>
      </c>
      <c r="J470" s="18" t="s">
        <v>456</v>
      </c>
      <c r="K470" s="18" t="s">
        <v>2071</v>
      </c>
      <c r="L470" s="18" t="s">
        <v>3234</v>
      </c>
      <c r="M470" s="18" t="s">
        <v>3258</v>
      </c>
      <c r="N470" s="18" t="s">
        <v>3259</v>
      </c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9" t="s">
        <v>3260</v>
      </c>
      <c r="B471" s="20" t="s">
        <v>3261</v>
      </c>
      <c r="C471" s="20" t="s">
        <v>3206</v>
      </c>
      <c r="D471" s="20" t="s">
        <v>17</v>
      </c>
      <c r="E471" s="20" t="s">
        <v>18</v>
      </c>
      <c r="F471" s="20" t="s">
        <v>3207</v>
      </c>
      <c r="G471" s="21">
        <v>3407433.0</v>
      </c>
      <c r="H471" s="4"/>
      <c r="I471" s="2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4" t="s">
        <v>3262</v>
      </c>
      <c r="B472" s="15" t="s">
        <v>3263</v>
      </c>
      <c r="C472" s="15" t="s">
        <v>3264</v>
      </c>
      <c r="D472" s="15" t="s">
        <v>17</v>
      </c>
      <c r="E472" s="15" t="s">
        <v>18</v>
      </c>
      <c r="F472" s="15" t="s">
        <v>3265</v>
      </c>
      <c r="G472" s="16">
        <v>3401789.0</v>
      </c>
      <c r="H472" s="17" t="str">
        <f>HYPERLINK("http://www.danceusa.org/","http://www.danceusa.org/")</f>
        <v>http://www.danceusa.org/</v>
      </c>
      <c r="I472" s="15" t="s">
        <v>20</v>
      </c>
      <c r="J472" s="18" t="s">
        <v>456</v>
      </c>
      <c r="K472" s="18" t="s">
        <v>2630</v>
      </c>
      <c r="L472" s="18" t="s">
        <v>3266</v>
      </c>
      <c r="M472" s="18" t="s">
        <v>3267</v>
      </c>
      <c r="N472" s="18" t="s">
        <v>3268</v>
      </c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4" t="s">
        <v>3269</v>
      </c>
      <c r="B473" s="15" t="s">
        <v>3270</v>
      </c>
      <c r="C473" s="15" t="s">
        <v>3271</v>
      </c>
      <c r="D473" s="15" t="s">
        <v>17</v>
      </c>
      <c r="E473" s="15" t="s">
        <v>18</v>
      </c>
      <c r="F473" s="15" t="s">
        <v>3272</v>
      </c>
      <c r="G473" s="16">
        <v>3392490.0</v>
      </c>
      <c r="H473" s="17" t="str">
        <f>HYPERLINK("http://www.polarisproject.org/","http://www.polarisproject.org/")</f>
        <v>http://www.polarisproject.org/</v>
      </c>
      <c r="I473" s="15" t="s">
        <v>20</v>
      </c>
      <c r="J473" s="18" t="s">
        <v>456</v>
      </c>
      <c r="K473" s="18" t="s">
        <v>2008</v>
      </c>
      <c r="L473" s="18" t="s">
        <v>3273</v>
      </c>
      <c r="M473" s="18" t="s">
        <v>3274</v>
      </c>
      <c r="N473" s="18" t="s">
        <v>3275</v>
      </c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4" t="s">
        <v>3276</v>
      </c>
      <c r="B474" s="15" t="s">
        <v>3277</v>
      </c>
      <c r="C474" s="15" t="s">
        <v>3278</v>
      </c>
      <c r="D474" s="15" t="s">
        <v>17</v>
      </c>
      <c r="E474" s="15" t="s">
        <v>18</v>
      </c>
      <c r="F474" s="15" t="s">
        <v>3279</v>
      </c>
      <c r="G474" s="16">
        <v>3350671.0</v>
      </c>
      <c r="H474" s="17" t="str">
        <f>HYPERLINK("http://www.fauna-flora.org/","http://www.fauna-flora.org/")</f>
        <v>http://www.fauna-flora.org/</v>
      </c>
      <c r="I474" s="15" t="s">
        <v>20</v>
      </c>
      <c r="J474" s="18" t="s">
        <v>3280</v>
      </c>
      <c r="K474" s="18" t="s">
        <v>378</v>
      </c>
      <c r="L474" s="18" t="s">
        <v>3281</v>
      </c>
      <c r="M474" s="18" t="s">
        <v>3282</v>
      </c>
      <c r="N474" s="18" t="s">
        <v>3283</v>
      </c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4" t="s">
        <v>3284</v>
      </c>
      <c r="B475" s="15" t="s">
        <v>3285</v>
      </c>
      <c r="C475" s="15" t="s">
        <v>2825</v>
      </c>
      <c r="D475" s="15" t="s">
        <v>17</v>
      </c>
      <c r="E475" s="15" t="s">
        <v>18</v>
      </c>
      <c r="F475" s="15" t="s">
        <v>2826</v>
      </c>
      <c r="G475" s="16">
        <v>3348300.0</v>
      </c>
      <c r="H475" s="17" t="str">
        <f>HYPERLINK("http://www.bnaibrith.org/","http://www.bnaibrith.org/")</f>
        <v>http://www.bnaibrith.org/</v>
      </c>
      <c r="I475" s="15" t="s">
        <v>20</v>
      </c>
      <c r="J475" s="18" t="s">
        <v>2827</v>
      </c>
      <c r="K475" s="18" t="s">
        <v>857</v>
      </c>
      <c r="L475" s="18" t="s">
        <v>2828</v>
      </c>
      <c r="M475" s="18" t="s">
        <v>2829</v>
      </c>
      <c r="N475" s="18" t="s">
        <v>2830</v>
      </c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4" t="s">
        <v>3286</v>
      </c>
      <c r="B476" s="15" t="s">
        <v>3287</v>
      </c>
      <c r="C476" s="15" t="s">
        <v>3288</v>
      </c>
      <c r="D476" s="15" t="s">
        <v>17</v>
      </c>
      <c r="E476" s="15" t="s">
        <v>18</v>
      </c>
      <c r="F476" s="15" t="s">
        <v>3289</v>
      </c>
      <c r="G476" s="16">
        <v>3347321.0</v>
      </c>
      <c r="H476" s="17" t="str">
        <f>HYPERLINK("http://lottcarey.publishpath.com/","http://lottcarey.publishpath.com/")</f>
        <v>http://lottcarey.publishpath.com/</v>
      </c>
      <c r="I476" s="15" t="s">
        <v>20</v>
      </c>
      <c r="J476" s="18" t="s">
        <v>3290</v>
      </c>
      <c r="K476" s="18" t="s">
        <v>3291</v>
      </c>
      <c r="L476" s="18" t="s">
        <v>3292</v>
      </c>
      <c r="M476" s="18" t="s">
        <v>3293</v>
      </c>
      <c r="N476" s="18" t="s">
        <v>3294</v>
      </c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9" t="s">
        <v>3295</v>
      </c>
      <c r="B477" s="20" t="s">
        <v>3296</v>
      </c>
      <c r="C477" s="20" t="s">
        <v>3297</v>
      </c>
      <c r="D477" s="20" t="s">
        <v>17</v>
      </c>
      <c r="E477" s="20" t="s">
        <v>18</v>
      </c>
      <c r="F477" s="20" t="s">
        <v>3298</v>
      </c>
      <c r="G477" s="21">
        <v>3345694.0</v>
      </c>
      <c r="H477" s="4"/>
      <c r="I477" s="2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4" t="s">
        <v>3299</v>
      </c>
      <c r="B478" s="15" t="s">
        <v>3300</v>
      </c>
      <c r="C478" s="15" t="s">
        <v>3301</v>
      </c>
      <c r="D478" s="15" t="s">
        <v>17</v>
      </c>
      <c r="E478" s="15" t="s">
        <v>18</v>
      </c>
      <c r="F478" s="15" t="s">
        <v>3302</v>
      </c>
      <c r="G478" s="16">
        <v>3341251.0</v>
      </c>
      <c r="H478" s="17" t="str">
        <f>HYPERLINK("http://www.ebfsc.org/","http://www.ebfsc.org/")</f>
        <v>http://www.ebfsc.org/</v>
      </c>
      <c r="I478" s="15" t="s">
        <v>20</v>
      </c>
      <c r="J478" s="18" t="s">
        <v>1287</v>
      </c>
      <c r="K478" s="18" t="s">
        <v>3303</v>
      </c>
      <c r="L478" s="18" t="s">
        <v>3007</v>
      </c>
      <c r="M478" s="18" t="s">
        <v>3304</v>
      </c>
      <c r="N478" s="18" t="s">
        <v>3305</v>
      </c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4" t="s">
        <v>3306</v>
      </c>
      <c r="B479" s="15" t="s">
        <v>3307</v>
      </c>
      <c r="C479" s="15" t="s">
        <v>3308</v>
      </c>
      <c r="D479" s="15" t="s">
        <v>17</v>
      </c>
      <c r="E479" s="15" t="s">
        <v>18</v>
      </c>
      <c r="F479" s="15" t="s">
        <v>3309</v>
      </c>
      <c r="G479" s="16">
        <v>3338282.0</v>
      </c>
      <c r="H479" s="17" t="str">
        <f>HYPERLINK("http://www.myja.org/","http://www.myja.org/")</f>
        <v>http://www.myja.org/</v>
      </c>
      <c r="I479" s="15" t="s">
        <v>20</v>
      </c>
      <c r="J479" s="18" t="s">
        <v>1005</v>
      </c>
      <c r="K479" s="18" t="s">
        <v>2528</v>
      </c>
      <c r="L479" s="18" t="s">
        <v>3310</v>
      </c>
      <c r="M479" s="18" t="s">
        <v>3311</v>
      </c>
      <c r="N479" s="18" t="s">
        <v>3312</v>
      </c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9" t="s">
        <v>3313</v>
      </c>
      <c r="B480" s="20" t="s">
        <v>3314</v>
      </c>
      <c r="C480" s="20" t="s">
        <v>3315</v>
      </c>
      <c r="D480" s="20" t="s">
        <v>17</v>
      </c>
      <c r="E480" s="20" t="s">
        <v>18</v>
      </c>
      <c r="F480" s="20" t="s">
        <v>1114</v>
      </c>
      <c r="G480" s="21">
        <v>3330503.0</v>
      </c>
      <c r="H480" s="4"/>
      <c r="I480" s="2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4" t="s">
        <v>3316</v>
      </c>
      <c r="B481" s="15" t="s">
        <v>3317</v>
      </c>
      <c r="C481" s="15" t="s">
        <v>3318</v>
      </c>
      <c r="D481" s="15" t="s">
        <v>17</v>
      </c>
      <c r="E481" s="15" t="s">
        <v>18</v>
      </c>
      <c r="F481" s="15" t="s">
        <v>545</v>
      </c>
      <c r="G481" s="16">
        <v>3325052.0</v>
      </c>
      <c r="H481" s="17" t="str">
        <f>HYPERLINK("http://www.resolv.org/","http://www.resolv.org/")</f>
        <v>http://www.resolv.org/</v>
      </c>
      <c r="I481" s="15" t="s">
        <v>20</v>
      </c>
      <c r="J481" s="18" t="s">
        <v>3319</v>
      </c>
      <c r="K481" s="18" t="s">
        <v>1527</v>
      </c>
      <c r="L481" s="18" t="s">
        <v>3320</v>
      </c>
      <c r="M481" s="18" t="s">
        <v>3321</v>
      </c>
      <c r="N481" s="18" t="s">
        <v>3322</v>
      </c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4" t="s">
        <v>3323</v>
      </c>
      <c r="B482" s="15" t="s">
        <v>3324</v>
      </c>
      <c r="C482" s="15" t="s">
        <v>3325</v>
      </c>
      <c r="D482" s="15" t="s">
        <v>17</v>
      </c>
      <c r="E482" s="15" t="s">
        <v>18</v>
      </c>
      <c r="F482" s="15" t="s">
        <v>3326</v>
      </c>
      <c r="G482" s="16">
        <v>3322490.0</v>
      </c>
      <c r="H482" s="17" t="str">
        <f>HYPERLINK("http://www.archfoundation.org/","http://www.archfoundation.org/")</f>
        <v>http://www.archfoundation.org/</v>
      </c>
      <c r="I482" s="15" t="s">
        <v>20</v>
      </c>
      <c r="J482" s="18" t="s">
        <v>1450</v>
      </c>
      <c r="K482" s="18" t="s">
        <v>3327</v>
      </c>
      <c r="L482" s="18" t="s">
        <v>3328</v>
      </c>
      <c r="M482" s="18" t="s">
        <v>3329</v>
      </c>
      <c r="N482" s="18" t="s">
        <v>3330</v>
      </c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9" t="s">
        <v>3331</v>
      </c>
      <c r="B483" s="20" t="s">
        <v>3332</v>
      </c>
      <c r="C483" s="20" t="s">
        <v>3333</v>
      </c>
      <c r="D483" s="20" t="s">
        <v>17</v>
      </c>
      <c r="E483" s="20" t="s">
        <v>18</v>
      </c>
      <c r="F483" s="20" t="s">
        <v>3334</v>
      </c>
      <c r="G483" s="21">
        <v>3321082.0</v>
      </c>
      <c r="H483" s="4"/>
      <c r="I483" s="2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9" t="s">
        <v>3335</v>
      </c>
      <c r="B484" s="20" t="s">
        <v>3336</v>
      </c>
      <c r="C484" s="20" t="s">
        <v>3337</v>
      </c>
      <c r="D484" s="20" t="s">
        <v>17</v>
      </c>
      <c r="E484" s="20" t="s">
        <v>18</v>
      </c>
      <c r="F484" s="20" t="s">
        <v>3338</v>
      </c>
      <c r="G484" s="21">
        <v>3314438.0</v>
      </c>
      <c r="H484" s="4"/>
      <c r="I484" s="2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9" t="s">
        <v>3339</v>
      </c>
      <c r="B485" s="20" t="s">
        <v>3340</v>
      </c>
      <c r="C485" s="20" t="s">
        <v>3341</v>
      </c>
      <c r="D485" s="20" t="s">
        <v>17</v>
      </c>
      <c r="E485" s="20" t="s">
        <v>18</v>
      </c>
      <c r="F485" s="20" t="s">
        <v>3342</v>
      </c>
      <c r="G485" s="21">
        <v>3305286.0</v>
      </c>
      <c r="H485" s="4"/>
      <c r="I485" s="2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4" t="s">
        <v>3343</v>
      </c>
      <c r="B486" s="15" t="s">
        <v>3344</v>
      </c>
      <c r="C486" s="15" t="s">
        <v>3345</v>
      </c>
      <c r="D486" s="15" t="s">
        <v>17</v>
      </c>
      <c r="E486" s="15" t="s">
        <v>18</v>
      </c>
      <c r="F486" s="15" t="s">
        <v>3346</v>
      </c>
      <c r="G486" s="16">
        <v>3305239.0</v>
      </c>
      <c r="H486" s="17" t="str">
        <f>HYPERLINK("http://www.dchabitat.org/","http://www.dchabitat.org/")</f>
        <v>http://www.dchabitat.org/</v>
      </c>
      <c r="I486" s="15" t="s">
        <v>20</v>
      </c>
      <c r="J486" s="18" t="s">
        <v>3347</v>
      </c>
      <c r="K486" s="18" t="s">
        <v>758</v>
      </c>
      <c r="L486" s="18" t="s">
        <v>3348</v>
      </c>
      <c r="M486" s="18" t="s">
        <v>3349</v>
      </c>
      <c r="N486" s="18" t="s">
        <v>3350</v>
      </c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4" t="s">
        <v>3351</v>
      </c>
      <c r="B487" s="15" t="s">
        <v>3352</v>
      </c>
      <c r="C487" s="15" t="s">
        <v>3353</v>
      </c>
      <c r="D487" s="15" t="s">
        <v>17</v>
      </c>
      <c r="E487" s="15" t="s">
        <v>18</v>
      </c>
      <c r="F487" s="15" t="s">
        <v>3354</v>
      </c>
      <c r="G487" s="16">
        <v>3272044.0</v>
      </c>
      <c r="H487" s="17" t="str">
        <f>HYPERLINK("http://eia-global.org/","http://eia-global.org/")</f>
        <v>http://eia-global.org/</v>
      </c>
      <c r="I487" s="15" t="s">
        <v>20</v>
      </c>
      <c r="J487" s="18"/>
      <c r="K487" s="18"/>
      <c r="L487" s="18"/>
      <c r="M487" s="18" t="s">
        <v>3355</v>
      </c>
      <c r="N487" s="18" t="s">
        <v>3356</v>
      </c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4" t="s">
        <v>3357</v>
      </c>
      <c r="B488" s="15" t="s">
        <v>3358</v>
      </c>
      <c r="C488" s="15" t="s">
        <v>3359</v>
      </c>
      <c r="D488" s="15" t="s">
        <v>17</v>
      </c>
      <c r="E488" s="15" t="s">
        <v>18</v>
      </c>
      <c r="F488" s="15" t="s">
        <v>3360</v>
      </c>
      <c r="G488" s="16">
        <v>3266498.0</v>
      </c>
      <c r="H488" s="17" t="str">
        <f>HYPERLINK("http://www.cancersupportcommunity.org/","http://www.cancersupportcommunity.org/")</f>
        <v>http://www.cancersupportcommunity.org/</v>
      </c>
      <c r="I488" s="15" t="s">
        <v>20</v>
      </c>
      <c r="J488" s="18" t="s">
        <v>1005</v>
      </c>
      <c r="K488" s="18" t="s">
        <v>726</v>
      </c>
      <c r="L488" s="18" t="s">
        <v>3361</v>
      </c>
      <c r="M488" s="18" t="s">
        <v>3362</v>
      </c>
      <c r="N488" s="18" t="s">
        <v>3363</v>
      </c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9" t="s">
        <v>3364</v>
      </c>
      <c r="B489" s="20" t="s">
        <v>3365</v>
      </c>
      <c r="C489" s="20" t="s">
        <v>3366</v>
      </c>
      <c r="D489" s="20" t="s">
        <v>17</v>
      </c>
      <c r="E489" s="20" t="s">
        <v>18</v>
      </c>
      <c r="F489" s="20" t="s">
        <v>3367</v>
      </c>
      <c r="G489" s="21">
        <v>3252593.0</v>
      </c>
      <c r="H489" s="4"/>
      <c r="I489" s="2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4" t="s">
        <v>3368</v>
      </c>
      <c r="B490" s="15" t="s">
        <v>3369</v>
      </c>
      <c r="C490" s="15" t="s">
        <v>3370</v>
      </c>
      <c r="D490" s="15" t="s">
        <v>17</v>
      </c>
      <c r="E490" s="15" t="s">
        <v>18</v>
      </c>
      <c r="F490" s="15" t="s">
        <v>3371</v>
      </c>
      <c r="G490" s="16">
        <v>3247877.0</v>
      </c>
      <c r="H490" s="17" t="str">
        <f>HYPERLINK("http://www.theurbanalliance.org/","http://www.theurbanalliance.org/")</f>
        <v>http://www.theurbanalliance.org/</v>
      </c>
      <c r="I490" s="15" t="s">
        <v>20</v>
      </c>
      <c r="J490" s="18" t="s">
        <v>1287</v>
      </c>
      <c r="K490" s="18" t="s">
        <v>3372</v>
      </c>
      <c r="L490" s="18" t="s">
        <v>212</v>
      </c>
      <c r="M490" s="18" t="s">
        <v>3373</v>
      </c>
      <c r="N490" s="18" t="s">
        <v>3374</v>
      </c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4" t="s">
        <v>3375</v>
      </c>
      <c r="B491" s="15" t="s">
        <v>3376</v>
      </c>
      <c r="C491" s="15" t="s">
        <v>3377</v>
      </c>
      <c r="D491" s="15" t="s">
        <v>17</v>
      </c>
      <c r="E491" s="15" t="s">
        <v>18</v>
      </c>
      <c r="F491" s="15" t="s">
        <v>3378</v>
      </c>
      <c r="G491" s="16">
        <v>3232672.0</v>
      </c>
      <c r="H491" s="17" t="str">
        <f>HYPERLINK("http://forumfyi.org/","http://forumfyi.org/")</f>
        <v>http://forumfyi.org/</v>
      </c>
      <c r="I491" s="15" t="s">
        <v>20</v>
      </c>
      <c r="J491" s="18" t="s">
        <v>3379</v>
      </c>
      <c r="K491" s="18" t="s">
        <v>3380</v>
      </c>
      <c r="L491" s="18" t="s">
        <v>3381</v>
      </c>
      <c r="M491" s="18" t="s">
        <v>3382</v>
      </c>
      <c r="N491" s="18" t="s">
        <v>3383</v>
      </c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4" t="s">
        <v>3384</v>
      </c>
      <c r="B492" s="15" t="s">
        <v>3385</v>
      </c>
      <c r="C492" s="15" t="s">
        <v>3386</v>
      </c>
      <c r="D492" s="15" t="s">
        <v>17</v>
      </c>
      <c r="E492" s="15" t="s">
        <v>18</v>
      </c>
      <c r="F492" s="15" t="s">
        <v>3387</v>
      </c>
      <c r="G492" s="16">
        <v>3217187.0</v>
      </c>
      <c r="H492" s="17" t="str">
        <f>HYPERLINK("http://metroteenaids.org/site/","http://metroteenaids.org/site/")</f>
        <v>http://metroteenaids.org/site/</v>
      </c>
      <c r="I492" s="15" t="s">
        <v>20</v>
      </c>
      <c r="J492" s="18" t="s">
        <v>1287</v>
      </c>
      <c r="K492" s="18" t="s">
        <v>3388</v>
      </c>
      <c r="L492" s="18" t="s">
        <v>3389</v>
      </c>
      <c r="M492" s="18" t="s">
        <v>3390</v>
      </c>
      <c r="N492" s="18" t="s">
        <v>3391</v>
      </c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4" t="s">
        <v>3392</v>
      </c>
      <c r="B493" s="15" t="s">
        <v>3393</v>
      </c>
      <c r="C493" s="15" t="s">
        <v>3394</v>
      </c>
      <c r="D493" s="15" t="s">
        <v>17</v>
      </c>
      <c r="E493" s="15" t="s">
        <v>18</v>
      </c>
      <c r="F493" s="15" t="s">
        <v>3395</v>
      </c>
      <c r="G493" s="16">
        <v>3214459.0</v>
      </c>
      <c r="H493" s="17" t="str">
        <f>HYPERLINK("http://www.fightforchildren.org/","http://www.fightforchildren.org/")</f>
        <v>http://www.fightforchildren.org/</v>
      </c>
      <c r="I493" s="15" t="s">
        <v>20</v>
      </c>
      <c r="J493" s="18" t="s">
        <v>570</v>
      </c>
      <c r="K493" s="18" t="s">
        <v>3396</v>
      </c>
      <c r="L493" s="18" t="s">
        <v>3397</v>
      </c>
      <c r="M493" s="18" t="s">
        <v>3398</v>
      </c>
      <c r="N493" s="18" t="s">
        <v>3399</v>
      </c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4" t="s">
        <v>3400</v>
      </c>
      <c r="B494" s="15" t="s">
        <v>3401</v>
      </c>
      <c r="C494" s="15" t="s">
        <v>3402</v>
      </c>
      <c r="D494" s="15" t="s">
        <v>17</v>
      </c>
      <c r="E494" s="15" t="s">
        <v>18</v>
      </c>
      <c r="F494" s="15" t="s">
        <v>3403</v>
      </c>
      <c r="G494" s="16">
        <v>3195941.0</v>
      </c>
      <c r="H494" s="17" t="str">
        <f>HYPERLINK("http://www.liftcommunities.org/","http://www.liftcommunities.org/")</f>
        <v>http://www.liftcommunities.org/</v>
      </c>
      <c r="I494" s="15" t="s">
        <v>20</v>
      </c>
      <c r="J494" s="18" t="s">
        <v>3404</v>
      </c>
      <c r="K494" s="18" t="s">
        <v>3405</v>
      </c>
      <c r="L494" s="18" t="s">
        <v>3406</v>
      </c>
      <c r="M494" s="18" t="s">
        <v>3407</v>
      </c>
      <c r="N494" s="18" t="s">
        <v>3408</v>
      </c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4" t="s">
        <v>3409</v>
      </c>
      <c r="B495" s="15" t="s">
        <v>3410</v>
      </c>
      <c r="C495" s="15" t="s">
        <v>3411</v>
      </c>
      <c r="D495" s="15" t="s">
        <v>17</v>
      </c>
      <c r="E495" s="15" t="s">
        <v>18</v>
      </c>
      <c r="F495" s="15" t="s">
        <v>3412</v>
      </c>
      <c r="G495" s="16">
        <v>3181583.0</v>
      </c>
      <c r="H495" s="17" t="str">
        <f>HYPERLINK("http://www.areinc.org/","http://www.areinc.org/")</f>
        <v>http://www.areinc.org/</v>
      </c>
      <c r="I495" s="15" t="s">
        <v>20</v>
      </c>
      <c r="J495" s="18" t="s">
        <v>3413</v>
      </c>
      <c r="K495" s="18" t="s">
        <v>3414</v>
      </c>
      <c r="L495" s="18" t="s">
        <v>3415</v>
      </c>
      <c r="M495" s="18" t="s">
        <v>3416</v>
      </c>
      <c r="N495" s="18" t="s">
        <v>3417</v>
      </c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9" t="s">
        <v>3418</v>
      </c>
      <c r="B496" s="20" t="s">
        <v>3419</v>
      </c>
      <c r="C496" s="20" t="s">
        <v>3420</v>
      </c>
      <c r="D496" s="20" t="s">
        <v>17</v>
      </c>
      <c r="E496" s="20" t="s">
        <v>18</v>
      </c>
      <c r="F496" s="20" t="s">
        <v>324</v>
      </c>
      <c r="G496" s="21">
        <v>3178132.0</v>
      </c>
      <c r="H496" s="4"/>
      <c r="I496" s="2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9" t="s">
        <v>3418</v>
      </c>
      <c r="B497" s="20" t="s">
        <v>3419</v>
      </c>
      <c r="C497" s="20" t="s">
        <v>3420</v>
      </c>
      <c r="D497" s="20" t="s">
        <v>17</v>
      </c>
      <c r="E497" s="20" t="s">
        <v>18</v>
      </c>
      <c r="F497" s="20" t="s">
        <v>324</v>
      </c>
      <c r="G497" s="21">
        <v>3178132.0</v>
      </c>
      <c r="H497" s="4"/>
      <c r="I497" s="2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4" t="s">
        <v>3421</v>
      </c>
      <c r="B498" s="15" t="s">
        <v>3422</v>
      </c>
      <c r="C498" s="15" t="s">
        <v>3423</v>
      </c>
      <c r="D498" s="15" t="s">
        <v>17</v>
      </c>
      <c r="E498" s="15" t="s">
        <v>18</v>
      </c>
      <c r="F498" s="15" t="s">
        <v>3424</v>
      </c>
      <c r="G498" s="16">
        <v>3157234.0</v>
      </c>
      <c r="H498" s="17" t="str">
        <f>HYPERLINK("http://www.aqua.org/","http://www.aqua.org/")</f>
        <v>http://www.aqua.org/</v>
      </c>
      <c r="I498" s="15" t="s">
        <v>20</v>
      </c>
      <c r="J498" s="18" t="s">
        <v>3425</v>
      </c>
      <c r="K498" s="18" t="s">
        <v>1029</v>
      </c>
      <c r="L498" s="18" t="s">
        <v>3426</v>
      </c>
      <c r="M498" s="18" t="s">
        <v>3427</v>
      </c>
      <c r="N498" s="18" t="s">
        <v>3428</v>
      </c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9" t="s">
        <v>3429</v>
      </c>
      <c r="B499" s="20" t="s">
        <v>3430</v>
      </c>
      <c r="C499" s="20" t="s">
        <v>3431</v>
      </c>
      <c r="D499" s="20" t="s">
        <v>17</v>
      </c>
      <c r="E499" s="20" t="s">
        <v>18</v>
      </c>
      <c r="F499" s="20" t="s">
        <v>3432</v>
      </c>
      <c r="G499" s="21">
        <v>3143769.0</v>
      </c>
      <c r="H499" s="4"/>
      <c r="I499" s="2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9" t="s">
        <v>3433</v>
      </c>
      <c r="B500" s="20" t="s">
        <v>3434</v>
      </c>
      <c r="C500" s="20" t="s">
        <v>3435</v>
      </c>
      <c r="D500" s="20" t="s">
        <v>17</v>
      </c>
      <c r="E500" s="20" t="s">
        <v>18</v>
      </c>
      <c r="F500" s="20" t="s">
        <v>3436</v>
      </c>
      <c r="G500" s="21">
        <v>3142841.0</v>
      </c>
      <c r="H500" s="4"/>
      <c r="I500" s="2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4" t="s">
        <v>3437</v>
      </c>
      <c r="B501" s="15" t="s">
        <v>3438</v>
      </c>
      <c r="C501" s="15" t="s">
        <v>3439</v>
      </c>
      <c r="D501" s="15" t="s">
        <v>17</v>
      </c>
      <c r="E501" s="15" t="s">
        <v>18</v>
      </c>
      <c r="F501" s="15" t="s">
        <v>3440</v>
      </c>
      <c r="G501" s="16">
        <v>3112312.0</v>
      </c>
      <c r="H501" s="17" t="str">
        <f>HYPERLINK("http://www.peaceplayersintl.org/","http://www.peaceplayersintl.org/")</f>
        <v>http://www.peaceplayersintl.org/</v>
      </c>
      <c r="I501" s="15" t="s">
        <v>20</v>
      </c>
      <c r="J501" s="18" t="s">
        <v>456</v>
      </c>
      <c r="K501" s="18" t="s">
        <v>589</v>
      </c>
      <c r="L501" s="18" t="s">
        <v>3441</v>
      </c>
      <c r="M501" s="18" t="s">
        <v>3442</v>
      </c>
      <c r="N501" s="18" t="s">
        <v>3443</v>
      </c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4" t="s">
        <v>3444</v>
      </c>
      <c r="B502" s="15" t="s">
        <v>3445</v>
      </c>
      <c r="C502" s="15" t="s">
        <v>3446</v>
      </c>
      <c r="D502" s="15" t="s">
        <v>17</v>
      </c>
      <c r="E502" s="15" t="s">
        <v>18</v>
      </c>
      <c r="F502" s="15" t="s">
        <v>3447</v>
      </c>
      <c r="G502" s="16">
        <v>3111999.0</v>
      </c>
      <c r="H502" s="17" t="str">
        <f>HYPERLINK("http://www.yumadc.org/","http://www.yumadc.org/")</f>
        <v>http://www.yumadc.org/</v>
      </c>
      <c r="I502" s="15" t="s">
        <v>20</v>
      </c>
      <c r="J502" s="18" t="s">
        <v>3448</v>
      </c>
      <c r="K502" s="18" t="s">
        <v>3449</v>
      </c>
      <c r="L502" s="18" t="s">
        <v>3450</v>
      </c>
      <c r="M502" s="18" t="s">
        <v>3451</v>
      </c>
      <c r="N502" s="18" t="s">
        <v>3452</v>
      </c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4" t="s">
        <v>3453</v>
      </c>
      <c r="B503" s="15" t="s">
        <v>3454</v>
      </c>
      <c r="C503" s="15" t="s">
        <v>3455</v>
      </c>
      <c r="D503" s="15" t="s">
        <v>17</v>
      </c>
      <c r="E503" s="15" t="s">
        <v>18</v>
      </c>
      <c r="F503" s="15" t="s">
        <v>3456</v>
      </c>
      <c r="G503" s="16">
        <v>3107530.0</v>
      </c>
      <c r="H503" s="17" t="str">
        <f>HYPERLINK("http://fas.org/","http://fas.org/")</f>
        <v>http://fas.org/</v>
      </c>
      <c r="I503" s="15" t="s">
        <v>20</v>
      </c>
      <c r="J503" s="18" t="s">
        <v>3457</v>
      </c>
      <c r="K503" s="18" t="s">
        <v>344</v>
      </c>
      <c r="L503" s="18" t="s">
        <v>3458</v>
      </c>
      <c r="M503" s="18" t="s">
        <v>3459</v>
      </c>
      <c r="N503" s="18" t="s">
        <v>3460</v>
      </c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4" t="s">
        <v>3461</v>
      </c>
      <c r="B504" s="15" t="s">
        <v>3462</v>
      </c>
      <c r="C504" s="15" t="s">
        <v>3463</v>
      </c>
      <c r="D504" s="15" t="s">
        <v>17</v>
      </c>
      <c r="E504" s="15" t="s">
        <v>18</v>
      </c>
      <c r="F504" s="15" t="s">
        <v>1725</v>
      </c>
      <c r="G504" s="16">
        <v>3099848.0</v>
      </c>
      <c r="H504" s="17" t="str">
        <f>HYPERLINK("http://seaburyresources.org/","http://seaburyresources.org/")</f>
        <v>http://seaburyresources.org/</v>
      </c>
      <c r="I504" s="15" t="s">
        <v>20</v>
      </c>
      <c r="J504" s="18" t="s">
        <v>1726</v>
      </c>
      <c r="K504" s="18" t="s">
        <v>1727</v>
      </c>
      <c r="L504" s="18" t="s">
        <v>1728</v>
      </c>
      <c r="M504" s="18" t="s">
        <v>1729</v>
      </c>
      <c r="N504" s="18" t="s">
        <v>1730</v>
      </c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4" t="s">
        <v>3464</v>
      </c>
      <c r="B505" s="15" t="s">
        <v>3465</v>
      </c>
      <c r="C505" s="15" t="s">
        <v>3466</v>
      </c>
      <c r="D505" s="15" t="s">
        <v>17</v>
      </c>
      <c r="E505" s="15" t="s">
        <v>18</v>
      </c>
      <c r="F505" s="15" t="s">
        <v>3467</v>
      </c>
      <c r="G505" s="16">
        <v>3095175.0</v>
      </c>
      <c r="H505" s="17" t="str">
        <f>HYPERLINK("http://americaabroadmedia.org/","http://americaabroadmedia.org/")</f>
        <v>http://americaabroadmedia.org/</v>
      </c>
      <c r="I505" s="15" t="s">
        <v>20</v>
      </c>
      <c r="J505" s="18" t="s">
        <v>74</v>
      </c>
      <c r="K505" s="18" t="s">
        <v>3468</v>
      </c>
      <c r="L505" s="18" t="s">
        <v>3469</v>
      </c>
      <c r="M505" s="18" t="s">
        <v>3470</v>
      </c>
      <c r="N505" s="18" t="s">
        <v>3471</v>
      </c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4" t="s">
        <v>3472</v>
      </c>
      <c r="B506" s="15" t="s">
        <v>3473</v>
      </c>
      <c r="C506" s="15" t="s">
        <v>3474</v>
      </c>
      <c r="D506" s="15" t="s">
        <v>17</v>
      </c>
      <c r="E506" s="15" t="s">
        <v>18</v>
      </c>
      <c r="F506" s="15" t="s">
        <v>3475</v>
      </c>
      <c r="G506" s="16">
        <v>3092942.0</v>
      </c>
      <c r="H506" s="17" t="str">
        <f>HYPERLINK("http://whiteribbonalliance.org/","http://whiteribbonalliance.org/")</f>
        <v>http://whiteribbonalliance.org/</v>
      </c>
      <c r="I506" s="15" t="s">
        <v>20</v>
      </c>
      <c r="J506" s="18" t="s">
        <v>3476</v>
      </c>
      <c r="K506" s="18" t="s">
        <v>3477</v>
      </c>
      <c r="L506" s="18" t="s">
        <v>3478</v>
      </c>
      <c r="M506" s="18" t="s">
        <v>3479</v>
      </c>
      <c r="N506" s="18" t="s">
        <v>3480</v>
      </c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4" t="s">
        <v>3481</v>
      </c>
      <c r="B507" s="15" t="s">
        <v>3482</v>
      </c>
      <c r="C507" s="15" t="s">
        <v>3483</v>
      </c>
      <c r="D507" s="15" t="s">
        <v>17</v>
      </c>
      <c r="E507" s="15" t="s">
        <v>18</v>
      </c>
      <c r="F507" s="15" t="s">
        <v>3484</v>
      </c>
      <c r="G507" s="16">
        <v>3084218.0</v>
      </c>
      <c r="H507" s="17" t="str">
        <f>HYPERLINK("http://www.biblicalarchaeology.org/","http://www.biblicalarchaeology.org/")</f>
        <v>http://www.biblicalarchaeology.org/</v>
      </c>
      <c r="I507" s="15" t="s">
        <v>20</v>
      </c>
      <c r="J507" s="18" t="s">
        <v>3485</v>
      </c>
      <c r="K507" s="18" t="s">
        <v>3486</v>
      </c>
      <c r="L507" s="18" t="s">
        <v>3487</v>
      </c>
      <c r="M507" s="18" t="s">
        <v>3488</v>
      </c>
      <c r="N507" s="18" t="s">
        <v>3489</v>
      </c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9" t="s">
        <v>3490</v>
      </c>
      <c r="B508" s="20" t="s">
        <v>3491</v>
      </c>
      <c r="C508" s="20" t="s">
        <v>3492</v>
      </c>
      <c r="D508" s="20" t="s">
        <v>17</v>
      </c>
      <c r="E508" s="20" t="s">
        <v>18</v>
      </c>
      <c r="F508" s="20" t="s">
        <v>2747</v>
      </c>
      <c r="G508" s="21">
        <v>3075311.0</v>
      </c>
      <c r="H508" s="4"/>
      <c r="I508" s="2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4" t="s">
        <v>3493</v>
      </c>
      <c r="B509" s="15" t="s">
        <v>3494</v>
      </c>
      <c r="C509" s="15" t="s">
        <v>3495</v>
      </c>
      <c r="D509" s="15" t="s">
        <v>17</v>
      </c>
      <c r="E509" s="15" t="s">
        <v>18</v>
      </c>
      <c r="F509" s="15" t="s">
        <v>3496</v>
      </c>
      <c r="G509" s="16">
        <v>3074877.0</v>
      </c>
      <c r="H509" s="17" t="str">
        <f>HYPERLINK("http://www.mcclendoncenter.org/","http://www.mcclendoncenter.org/")</f>
        <v>http://www.mcclendoncenter.org/</v>
      </c>
      <c r="I509" s="15" t="s">
        <v>20</v>
      </c>
      <c r="J509" s="18" t="s">
        <v>456</v>
      </c>
      <c r="K509" s="18" t="s">
        <v>3497</v>
      </c>
      <c r="L509" s="18" t="s">
        <v>3498</v>
      </c>
      <c r="M509" s="18" t="s">
        <v>3499</v>
      </c>
      <c r="N509" s="18" t="s">
        <v>3500</v>
      </c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4" t="s">
        <v>3501</v>
      </c>
      <c r="B510" s="15" t="s">
        <v>3502</v>
      </c>
      <c r="C510" s="15" t="s">
        <v>3503</v>
      </c>
      <c r="D510" s="15" t="s">
        <v>17</v>
      </c>
      <c r="E510" s="15" t="s">
        <v>18</v>
      </c>
      <c r="F510" s="15" t="s">
        <v>3504</v>
      </c>
      <c r="G510" s="16">
        <v>3056878.0</v>
      </c>
      <c r="H510" s="17" t="str">
        <f>HYPERLINK("http://www.seaburyresources.org/index.html","http://www.seaburyresources.org/index.html")</f>
        <v>http://www.seaburyresources.org/index.html</v>
      </c>
      <c r="I510" s="15" t="s">
        <v>20</v>
      </c>
      <c r="J510" s="18" t="s">
        <v>1726</v>
      </c>
      <c r="K510" s="18" t="s">
        <v>1727</v>
      </c>
      <c r="L510" s="18" t="s">
        <v>1728</v>
      </c>
      <c r="M510" s="18" t="s">
        <v>1729</v>
      </c>
      <c r="N510" s="18" t="s">
        <v>1730</v>
      </c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4" t="s">
        <v>3505</v>
      </c>
      <c r="B511" s="15" t="s">
        <v>3506</v>
      </c>
      <c r="C511" s="15" t="s">
        <v>3507</v>
      </c>
      <c r="D511" s="15" t="s">
        <v>17</v>
      </c>
      <c r="E511" s="15" t="s">
        <v>18</v>
      </c>
      <c r="F511" s="15" t="s">
        <v>3508</v>
      </c>
      <c r="G511" s="16">
        <v>3055487.0</v>
      </c>
      <c r="H511" s="17" t="str">
        <f>HYPERLINK("http://www.probonoinst.org/","http://www.probonoinst.org/")</f>
        <v>http://www.probonoinst.org/</v>
      </c>
      <c r="I511" s="15" t="s">
        <v>20</v>
      </c>
      <c r="J511" s="18" t="s">
        <v>3509</v>
      </c>
      <c r="K511" s="18" t="s">
        <v>120</v>
      </c>
      <c r="L511" s="18" t="s">
        <v>3510</v>
      </c>
      <c r="M511" s="18" t="s">
        <v>3511</v>
      </c>
      <c r="N511" s="18" t="s">
        <v>3512</v>
      </c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9" t="s">
        <v>3513</v>
      </c>
      <c r="B512" s="20" t="s">
        <v>3514</v>
      </c>
      <c r="C512" s="20" t="s">
        <v>3515</v>
      </c>
      <c r="D512" s="20" t="s">
        <v>17</v>
      </c>
      <c r="E512" s="20" t="s">
        <v>18</v>
      </c>
      <c r="F512" s="20" t="s">
        <v>3516</v>
      </c>
      <c r="G512" s="21">
        <v>3039289.0</v>
      </c>
      <c r="H512" s="4"/>
      <c r="I512" s="2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4" t="s">
        <v>3517</v>
      </c>
      <c r="B513" s="15" t="s">
        <v>3518</v>
      </c>
      <c r="C513" s="15" t="s">
        <v>3519</v>
      </c>
      <c r="D513" s="15" t="s">
        <v>17</v>
      </c>
      <c r="E513" s="15" t="s">
        <v>18</v>
      </c>
      <c r="F513" s="15" t="s">
        <v>3520</v>
      </c>
      <c r="G513" s="16">
        <v>3038772.0</v>
      </c>
      <c r="H513" s="17" t="str">
        <f>HYPERLINK("http://environmentalintegrity.org/","http://environmentalintegrity.org/")</f>
        <v>http://environmentalintegrity.org/</v>
      </c>
      <c r="I513" s="15" t="s">
        <v>20</v>
      </c>
      <c r="J513" s="18" t="s">
        <v>847</v>
      </c>
      <c r="K513" s="18" t="s">
        <v>2071</v>
      </c>
      <c r="L513" s="18" t="s">
        <v>3521</v>
      </c>
      <c r="M513" s="18" t="s">
        <v>3522</v>
      </c>
      <c r="N513" s="18" t="s">
        <v>3523</v>
      </c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9" t="s">
        <v>3524</v>
      </c>
      <c r="B514" s="20" t="s">
        <v>3525</v>
      </c>
      <c r="C514" s="20" t="s">
        <v>3526</v>
      </c>
      <c r="D514" s="20" t="s">
        <v>17</v>
      </c>
      <c r="E514" s="20" t="s">
        <v>18</v>
      </c>
      <c r="F514" s="20" t="s">
        <v>3527</v>
      </c>
      <c r="G514" s="21">
        <v>3025425.0</v>
      </c>
      <c r="H514" s="4"/>
      <c r="I514" s="2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4" t="s">
        <v>3528</v>
      </c>
      <c r="B515" s="15" t="s">
        <v>3529</v>
      </c>
      <c r="C515" s="15" t="s">
        <v>3530</v>
      </c>
      <c r="D515" s="15" t="s">
        <v>17</v>
      </c>
      <c r="E515" s="15" t="s">
        <v>18</v>
      </c>
      <c r="F515" s="15" t="s">
        <v>3531</v>
      </c>
      <c r="G515" s="16">
        <v>3022839.0</v>
      </c>
      <c r="H515" s="17" t="str">
        <f>HYPERLINK("http://www.bettermarkets.com/","http://www.bettermarkets.com/")</f>
        <v>http://www.bettermarkets.com/</v>
      </c>
      <c r="I515" s="15" t="s">
        <v>20</v>
      </c>
      <c r="J515" s="18" t="s">
        <v>3532</v>
      </c>
      <c r="K515" s="18" t="s">
        <v>3533</v>
      </c>
      <c r="L515" s="18" t="s">
        <v>3534</v>
      </c>
      <c r="M515" s="18" t="s">
        <v>3535</v>
      </c>
      <c r="N515" s="18" t="s">
        <v>3536</v>
      </c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9" t="s">
        <v>3537</v>
      </c>
      <c r="B516" s="20" t="s">
        <v>3538</v>
      </c>
      <c r="C516" s="20" t="s">
        <v>3539</v>
      </c>
      <c r="D516" s="20" t="s">
        <v>17</v>
      </c>
      <c r="E516" s="20" t="s">
        <v>18</v>
      </c>
      <c r="F516" s="20" t="s">
        <v>3540</v>
      </c>
      <c r="G516" s="21">
        <v>3016030.0</v>
      </c>
      <c r="H516" s="4"/>
      <c r="I516" s="2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4" t="s">
        <v>3541</v>
      </c>
      <c r="B517" s="15" t="s">
        <v>3542</v>
      </c>
      <c r="C517" s="15" t="s">
        <v>3543</v>
      </c>
      <c r="D517" s="15" t="s">
        <v>17</v>
      </c>
      <c r="E517" s="15" t="s">
        <v>18</v>
      </c>
      <c r="F517" s="15" t="s">
        <v>3544</v>
      </c>
      <c r="G517" s="16">
        <v>3013995.0</v>
      </c>
      <c r="H517" s="17" t="str">
        <f>HYPERLINK("http://350.org/","http://350.org/")</f>
        <v>http://350.org/</v>
      </c>
      <c r="I517" s="15" t="s">
        <v>20</v>
      </c>
      <c r="J517" s="18" t="s">
        <v>1817</v>
      </c>
      <c r="K517" s="18" t="s">
        <v>102</v>
      </c>
      <c r="L517" s="18" t="s">
        <v>3545</v>
      </c>
      <c r="M517" s="18" t="s">
        <v>3546</v>
      </c>
      <c r="N517" s="18" t="s">
        <v>3547</v>
      </c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4" t="s">
        <v>3548</v>
      </c>
      <c r="B518" s="15" t="s">
        <v>3549</v>
      </c>
      <c r="C518" s="15" t="s">
        <v>3550</v>
      </c>
      <c r="D518" s="15" t="s">
        <v>17</v>
      </c>
      <c r="E518" s="15" t="s">
        <v>18</v>
      </c>
      <c r="F518" s="15" t="s">
        <v>3551</v>
      </c>
      <c r="G518" s="16">
        <v>3003211.0</v>
      </c>
      <c r="H518" s="17" t="str">
        <f>HYPERLINK("http://museum.gwu.edu/","http://museum.gwu.edu/")</f>
        <v>http://museum.gwu.edu/</v>
      </c>
      <c r="I518" s="15" t="s">
        <v>20</v>
      </c>
      <c r="J518" s="18" t="s">
        <v>456</v>
      </c>
      <c r="K518" s="18" t="s">
        <v>3552</v>
      </c>
      <c r="L518" s="18" t="s">
        <v>2884</v>
      </c>
      <c r="M518" s="18" t="s">
        <v>3553</v>
      </c>
      <c r="N518" s="18" t="s">
        <v>3554</v>
      </c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4" t="s">
        <v>3555</v>
      </c>
      <c r="B519" s="15" t="s">
        <v>3556</v>
      </c>
      <c r="C519" s="15" t="s">
        <v>3019</v>
      </c>
      <c r="D519" s="15" t="s">
        <v>17</v>
      </c>
      <c r="E519" s="15" t="s">
        <v>18</v>
      </c>
      <c r="F519" s="15" t="s">
        <v>3020</v>
      </c>
      <c r="G519" s="16">
        <v>3002235.0</v>
      </c>
      <c r="H519" s="17" t="str">
        <f>HYPERLINK("http://www.naral.org/","http://www.naral.org/")</f>
        <v>http://www.naral.org/</v>
      </c>
      <c r="I519" s="15" t="s">
        <v>20</v>
      </c>
      <c r="J519" s="18" t="s">
        <v>1041</v>
      </c>
      <c r="K519" s="18" t="s">
        <v>3557</v>
      </c>
      <c r="L519" s="18" t="s">
        <v>3558</v>
      </c>
      <c r="M519" s="18" t="s">
        <v>3559</v>
      </c>
      <c r="N519" s="18" t="s">
        <v>3560</v>
      </c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4" t="s">
        <v>3561</v>
      </c>
      <c r="B520" s="15" t="s">
        <v>3562</v>
      </c>
      <c r="C520" s="15" t="s">
        <v>3563</v>
      </c>
      <c r="D520" s="15" t="s">
        <v>17</v>
      </c>
      <c r="E520" s="15" t="s">
        <v>18</v>
      </c>
      <c r="F520" s="15" t="s">
        <v>3564</v>
      </c>
      <c r="G520" s="16">
        <v>3000498.0</v>
      </c>
      <c r="H520" s="17" t="str">
        <f>HYPERLINK("http://ptfund.org/","http://ptfund.org/")</f>
        <v>http://ptfund.org/</v>
      </c>
      <c r="I520" s="15" t="s">
        <v>20</v>
      </c>
      <c r="J520" s="18" t="s">
        <v>3565</v>
      </c>
      <c r="K520" s="18" t="s">
        <v>3566</v>
      </c>
      <c r="L520" s="18" t="s">
        <v>3567</v>
      </c>
      <c r="M520" s="18" t="s">
        <v>3568</v>
      </c>
      <c r="N520" s="18" t="s">
        <v>3569</v>
      </c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4" t="s">
        <v>3570</v>
      </c>
      <c r="B521" s="15" t="s">
        <v>3571</v>
      </c>
      <c r="C521" s="15" t="s">
        <v>3572</v>
      </c>
      <c r="D521" s="15" t="s">
        <v>17</v>
      </c>
      <c r="E521" s="15" t="s">
        <v>18</v>
      </c>
      <c r="F521" s="15" t="s">
        <v>3573</v>
      </c>
      <c r="G521" s="16">
        <v>2999580.0</v>
      </c>
      <c r="H521" s="17" t="str">
        <f>HYPERLINK("https://www.freetheslaves.net/","https://www.freetheslaves.net/")</f>
        <v>https://www.freetheslaves.net/</v>
      </c>
      <c r="I521" s="15" t="s">
        <v>20</v>
      </c>
      <c r="J521" s="18" t="s">
        <v>570</v>
      </c>
      <c r="K521" s="18" t="s">
        <v>3574</v>
      </c>
      <c r="L521" s="18" t="s">
        <v>3575</v>
      </c>
      <c r="M521" s="18" t="s">
        <v>3576</v>
      </c>
      <c r="N521" s="18" t="s">
        <v>3577</v>
      </c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4" t="s">
        <v>3578</v>
      </c>
      <c r="B522" s="15" t="s">
        <v>3579</v>
      </c>
      <c r="C522" s="15" t="s">
        <v>3580</v>
      </c>
      <c r="D522" s="15" t="s">
        <v>17</v>
      </c>
      <c r="E522" s="15" t="s">
        <v>18</v>
      </c>
      <c r="F522" s="15" t="s">
        <v>3581</v>
      </c>
      <c r="G522" s="16">
        <v>2996804.0</v>
      </c>
      <c r="H522" s="17" t="str">
        <f>HYPERLINK("http://lwv.org/","http://lwv.org/")</f>
        <v>http://lwv.org/</v>
      </c>
      <c r="I522" s="15" t="s">
        <v>20</v>
      </c>
      <c r="J522" s="18" t="s">
        <v>343</v>
      </c>
      <c r="K522" s="18" t="s">
        <v>1941</v>
      </c>
      <c r="L522" s="18" t="s">
        <v>3582</v>
      </c>
      <c r="M522" s="18" t="s">
        <v>3583</v>
      </c>
      <c r="N522" s="18" t="s">
        <v>3584</v>
      </c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4" t="s">
        <v>3585</v>
      </c>
      <c r="B523" s="15" t="s">
        <v>3586</v>
      </c>
      <c r="C523" s="15" t="s">
        <v>3587</v>
      </c>
      <c r="D523" s="15" t="s">
        <v>17</v>
      </c>
      <c r="E523" s="15" t="s">
        <v>18</v>
      </c>
      <c r="F523" s="15" t="s">
        <v>3588</v>
      </c>
      <c r="G523" s="16">
        <v>2985194.0</v>
      </c>
      <c r="H523" s="17" t="str">
        <f>HYPERLINK("http://www.cfact.org/","http://www.cfact.org/")</f>
        <v>http://www.cfact.org/</v>
      </c>
      <c r="I523" s="15" t="s">
        <v>20</v>
      </c>
      <c r="J523" s="18" t="s">
        <v>1375</v>
      </c>
      <c r="K523" s="18" t="s">
        <v>726</v>
      </c>
      <c r="L523" s="18" t="s">
        <v>3589</v>
      </c>
      <c r="M523" s="18" t="s">
        <v>3590</v>
      </c>
      <c r="N523" s="18" t="s">
        <v>3591</v>
      </c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4" t="s">
        <v>3592</v>
      </c>
      <c r="B524" s="15" t="s">
        <v>3593</v>
      </c>
      <c r="C524" s="15" t="s">
        <v>3594</v>
      </c>
      <c r="D524" s="15" t="s">
        <v>17</v>
      </c>
      <c r="E524" s="15" t="s">
        <v>18</v>
      </c>
      <c r="F524" s="15" t="s">
        <v>3595</v>
      </c>
      <c r="G524" s="16">
        <v>2983225.0</v>
      </c>
      <c r="H524" s="17" t="str">
        <f>HYPERLINK("http://www.bradycampaign.org/","http://www.bradycampaign.org/")</f>
        <v>http://www.bradycampaign.org/</v>
      </c>
      <c r="I524" s="15" t="s">
        <v>20</v>
      </c>
      <c r="J524" s="18" t="s">
        <v>2083</v>
      </c>
      <c r="K524" s="18" t="s">
        <v>177</v>
      </c>
      <c r="L524" s="18" t="s">
        <v>3596</v>
      </c>
      <c r="M524" s="18" t="s">
        <v>3597</v>
      </c>
      <c r="N524" s="18" t="s">
        <v>3598</v>
      </c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4" t="s">
        <v>3599</v>
      </c>
      <c r="B525" s="15" t="s">
        <v>3600</v>
      </c>
      <c r="C525" s="15" t="s">
        <v>3601</v>
      </c>
      <c r="D525" s="15" t="s">
        <v>17</v>
      </c>
      <c r="E525" s="15" t="s">
        <v>18</v>
      </c>
      <c r="F525" s="15" t="s">
        <v>3602</v>
      </c>
      <c r="G525" s="16">
        <v>2959960.0</v>
      </c>
      <c r="H525" s="17" t="str">
        <f>HYPERLINK("http://efe.org/","http://efe.org/")</f>
        <v>http://efe.org/</v>
      </c>
      <c r="I525" s="15" t="s">
        <v>20</v>
      </c>
      <c r="J525" s="18" t="s">
        <v>3603</v>
      </c>
      <c r="K525" s="18" t="s">
        <v>3604</v>
      </c>
      <c r="L525" s="18" t="s">
        <v>3605</v>
      </c>
      <c r="M525" s="18" t="s">
        <v>3606</v>
      </c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4" t="s">
        <v>3607</v>
      </c>
      <c r="B526" s="15" t="s">
        <v>3608</v>
      </c>
      <c r="C526" s="15" t="s">
        <v>3609</v>
      </c>
      <c r="D526" s="15" t="s">
        <v>17</v>
      </c>
      <c r="E526" s="15" t="s">
        <v>18</v>
      </c>
      <c r="F526" s="15" t="s">
        <v>3610</v>
      </c>
      <c r="G526" s="16">
        <v>2952428.0</v>
      </c>
      <c r="H526" s="17" t="str">
        <f>HYPERLINK("http://www.nstreetvillage.org/","http://www.nstreetvillage.org/")</f>
        <v>http://www.nstreetvillage.org/</v>
      </c>
      <c r="I526" s="15" t="s">
        <v>20</v>
      </c>
      <c r="J526" s="18" t="s">
        <v>3611</v>
      </c>
      <c r="K526" s="18" t="s">
        <v>1727</v>
      </c>
      <c r="L526" s="18" t="s">
        <v>3612</v>
      </c>
      <c r="M526" s="18" t="s">
        <v>3613</v>
      </c>
      <c r="N526" s="18" t="s">
        <v>3614</v>
      </c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4" t="s">
        <v>3615</v>
      </c>
      <c r="B527" s="15" t="s">
        <v>3616</v>
      </c>
      <c r="C527" s="15" t="s">
        <v>3617</v>
      </c>
      <c r="D527" s="15" t="s">
        <v>17</v>
      </c>
      <c r="E527" s="15" t="s">
        <v>18</v>
      </c>
      <c r="F527" s="15" t="s">
        <v>3618</v>
      </c>
      <c r="G527" s="16">
        <v>2952338.0</v>
      </c>
      <c r="H527" s="17" t="str">
        <f>HYPERLINK("http://www.beaconhousedc.org/","http://www.beaconhousedc.org/")</f>
        <v>http://www.beaconhousedc.org/</v>
      </c>
      <c r="I527" s="15" t="s">
        <v>20</v>
      </c>
      <c r="J527" s="18" t="s">
        <v>1287</v>
      </c>
      <c r="K527" s="18" t="s">
        <v>3619</v>
      </c>
      <c r="L527" s="18" t="s">
        <v>3620</v>
      </c>
      <c r="M527" s="18" t="s">
        <v>3621</v>
      </c>
      <c r="N527" s="18" t="s">
        <v>3622</v>
      </c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9" t="s">
        <v>3623</v>
      </c>
      <c r="B528" s="20" t="s">
        <v>3624</v>
      </c>
      <c r="C528" s="20" t="s">
        <v>1927</v>
      </c>
      <c r="D528" s="20" t="s">
        <v>17</v>
      </c>
      <c r="E528" s="20" t="s">
        <v>18</v>
      </c>
      <c r="F528" s="20" t="s">
        <v>1928</v>
      </c>
      <c r="G528" s="21">
        <v>2946797.0</v>
      </c>
      <c r="H528" s="4"/>
      <c r="I528" s="2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4" t="s">
        <v>3625</v>
      </c>
      <c r="B529" s="15" t="s">
        <v>3626</v>
      </c>
      <c r="C529" s="15" t="s">
        <v>3627</v>
      </c>
      <c r="D529" s="15" t="s">
        <v>17</v>
      </c>
      <c r="E529" s="15" t="s">
        <v>18</v>
      </c>
      <c r="F529" s="15" t="s">
        <v>3628</v>
      </c>
      <c r="G529" s="16">
        <v>2939704.0</v>
      </c>
      <c r="H529" s="17" t="str">
        <f>HYPERLINK("http://mundoverdepcs.org/","http://mundoverdepcs.org/")</f>
        <v>http://mundoverdepcs.org/</v>
      </c>
      <c r="I529" s="15" t="s">
        <v>20</v>
      </c>
      <c r="J529" s="18" t="s">
        <v>74</v>
      </c>
      <c r="K529" s="18" t="s">
        <v>3629</v>
      </c>
      <c r="L529" s="18" t="s">
        <v>3630</v>
      </c>
      <c r="M529" s="18" t="s">
        <v>3631</v>
      </c>
      <c r="N529" s="18" t="s">
        <v>3632</v>
      </c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9" t="s">
        <v>3633</v>
      </c>
      <c r="B530" s="20" t="s">
        <v>3634</v>
      </c>
      <c r="C530" s="20" t="s">
        <v>3635</v>
      </c>
      <c r="D530" s="20" t="s">
        <v>17</v>
      </c>
      <c r="E530" s="20" t="s">
        <v>18</v>
      </c>
      <c r="F530" s="20" t="s">
        <v>3636</v>
      </c>
      <c r="G530" s="21">
        <v>2938316.0</v>
      </c>
      <c r="H530" s="4"/>
      <c r="I530" s="2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4" t="s">
        <v>3637</v>
      </c>
      <c r="B531" s="15" t="s">
        <v>3638</v>
      </c>
      <c r="C531" s="15" t="s">
        <v>3639</v>
      </c>
      <c r="D531" s="15" t="s">
        <v>17</v>
      </c>
      <c r="E531" s="15" t="s">
        <v>18</v>
      </c>
      <c r="F531" s="15" t="s">
        <v>3640</v>
      </c>
      <c r="G531" s="16">
        <v>2925767.0</v>
      </c>
      <c r="H531" s="17" t="str">
        <f>HYPERLINK("http://www.results.org/","http://www.results.org/")</f>
        <v>http://www.results.org/</v>
      </c>
      <c r="I531" s="15" t="s">
        <v>20</v>
      </c>
      <c r="J531" s="18" t="s">
        <v>2070</v>
      </c>
      <c r="K531" s="18" t="s">
        <v>3641</v>
      </c>
      <c r="L531" s="18" t="s">
        <v>3642</v>
      </c>
      <c r="M531" s="18" t="s">
        <v>3643</v>
      </c>
      <c r="N531" s="18" t="s">
        <v>3644</v>
      </c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4" t="s">
        <v>3645</v>
      </c>
      <c r="B532" s="15" t="s">
        <v>3646</v>
      </c>
      <c r="C532" s="15" t="s">
        <v>3647</v>
      </c>
      <c r="D532" s="15" t="s">
        <v>17</v>
      </c>
      <c r="E532" s="15" t="s">
        <v>18</v>
      </c>
      <c r="F532" s="15" t="s">
        <v>3225</v>
      </c>
      <c r="G532" s="16">
        <v>2920223.0</v>
      </c>
      <c r="H532" s="17" t="str">
        <f>HYPERLINK("http://monkinstitute.org/","http://monkinstitute.org/")</f>
        <v>http://monkinstitute.org/</v>
      </c>
      <c r="I532" s="15" t="s">
        <v>20</v>
      </c>
      <c r="J532" s="18" t="s">
        <v>3648</v>
      </c>
      <c r="K532" s="18" t="s">
        <v>1519</v>
      </c>
      <c r="L532" s="18" t="s">
        <v>3649</v>
      </c>
      <c r="M532" s="18" t="s">
        <v>3650</v>
      </c>
      <c r="N532" s="18" t="s">
        <v>3651</v>
      </c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4" t="s">
        <v>3652</v>
      </c>
      <c r="B533" s="15" t="s">
        <v>3653</v>
      </c>
      <c r="C533" s="15" t="s">
        <v>3654</v>
      </c>
      <c r="D533" s="15" t="s">
        <v>17</v>
      </c>
      <c r="E533" s="15" t="s">
        <v>18</v>
      </c>
      <c r="F533" s="15" t="s">
        <v>3655</v>
      </c>
      <c r="G533" s="16">
        <v>2908093.0</v>
      </c>
      <c r="H533" s="17" t="str">
        <f>HYPERLINK("http://www.centerforfoodsafety.org/","http://www.centerforfoodsafety.org/")</f>
        <v>http://www.centerforfoodsafety.org/</v>
      </c>
      <c r="I533" s="15" t="s">
        <v>20</v>
      </c>
      <c r="J533" s="18" t="s">
        <v>1817</v>
      </c>
      <c r="K533" s="18" t="s">
        <v>3656</v>
      </c>
      <c r="L533" s="18" t="s">
        <v>3657</v>
      </c>
      <c r="M533" s="18" t="s">
        <v>3658</v>
      </c>
      <c r="N533" s="18" t="s">
        <v>3659</v>
      </c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4" t="s">
        <v>3660</v>
      </c>
      <c r="B534" s="15" t="s">
        <v>3661</v>
      </c>
      <c r="C534" s="15" t="s">
        <v>3662</v>
      </c>
      <c r="D534" s="15" t="s">
        <v>17</v>
      </c>
      <c r="E534" s="15" t="s">
        <v>18</v>
      </c>
      <c r="F534" s="15" t="s">
        <v>3663</v>
      </c>
      <c r="G534" s="16">
        <v>2907230.0</v>
      </c>
      <c r="H534" s="17" t="str">
        <f>HYPERLINK("http://www.farmworkerjustice.org/","http://www.farmworkerjustice.org/")</f>
        <v>http://www.farmworkerjustice.org/</v>
      </c>
      <c r="I534" s="15" t="s">
        <v>20</v>
      </c>
      <c r="J534" s="18" t="s">
        <v>3664</v>
      </c>
      <c r="K534" s="18" t="s">
        <v>3665</v>
      </c>
      <c r="L534" s="18" t="s">
        <v>3666</v>
      </c>
      <c r="M534" s="18" t="s">
        <v>3667</v>
      </c>
      <c r="N534" s="18" t="s">
        <v>3668</v>
      </c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4" t="s">
        <v>3669</v>
      </c>
      <c r="B535" s="15" t="s">
        <v>3670</v>
      </c>
      <c r="C535" s="15" t="s">
        <v>3671</v>
      </c>
      <c r="D535" s="15" t="s">
        <v>17</v>
      </c>
      <c r="E535" s="15" t="s">
        <v>18</v>
      </c>
      <c r="F535" s="15" t="s">
        <v>3672</v>
      </c>
      <c r="G535" s="16">
        <v>2886162.0</v>
      </c>
      <c r="H535" s="17" t="str">
        <f>HYPERLINK("http://www.atlasarts.org/","http://www.atlasarts.org/")</f>
        <v>http://www.atlasarts.org/</v>
      </c>
      <c r="I535" s="15" t="s">
        <v>20</v>
      </c>
      <c r="J535" s="18" t="s">
        <v>456</v>
      </c>
      <c r="K535" s="18" t="s">
        <v>3673</v>
      </c>
      <c r="L535" s="18" t="s">
        <v>3674</v>
      </c>
      <c r="M535" s="18" t="s">
        <v>3675</v>
      </c>
      <c r="N535" s="18" t="s">
        <v>3676</v>
      </c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4" t="s">
        <v>3677</v>
      </c>
      <c r="B536" s="15" t="s">
        <v>3678</v>
      </c>
      <c r="C536" s="15" t="s">
        <v>439</v>
      </c>
      <c r="D536" s="15" t="s">
        <v>17</v>
      </c>
      <c r="E536" s="15" t="s">
        <v>18</v>
      </c>
      <c r="F536" s="15" t="s">
        <v>440</v>
      </c>
      <c r="G536" s="16">
        <v>2876372.0</v>
      </c>
      <c r="H536" s="17" t="str">
        <f>HYPERLINK("http://israelcc.org/","http://israelcc.org/")</f>
        <v>http://israelcc.org/</v>
      </c>
      <c r="I536" s="15" t="s">
        <v>20</v>
      </c>
      <c r="J536" s="18" t="s">
        <v>1287</v>
      </c>
      <c r="K536" s="18" t="s">
        <v>3679</v>
      </c>
      <c r="L536" s="18" t="s">
        <v>3680</v>
      </c>
      <c r="M536" s="18" t="s">
        <v>3681</v>
      </c>
      <c r="N536" s="18" t="s">
        <v>3682</v>
      </c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9" t="s">
        <v>3683</v>
      </c>
      <c r="B537" s="20" t="s">
        <v>3684</v>
      </c>
      <c r="C537" s="20" t="s">
        <v>3685</v>
      </c>
      <c r="D537" s="20" t="s">
        <v>17</v>
      </c>
      <c r="E537" s="20" t="s">
        <v>18</v>
      </c>
      <c r="F537" s="20" t="s">
        <v>3686</v>
      </c>
      <c r="G537" s="21">
        <v>2866503.0</v>
      </c>
      <c r="H537" s="4"/>
      <c r="I537" s="2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4" t="s">
        <v>3687</v>
      </c>
      <c r="B538" s="15" t="s">
        <v>3688</v>
      </c>
      <c r="C538" s="15" t="s">
        <v>3689</v>
      </c>
      <c r="D538" s="15" t="s">
        <v>17</v>
      </c>
      <c r="E538" s="15" t="s">
        <v>18</v>
      </c>
      <c r="F538" s="15" t="s">
        <v>3690</v>
      </c>
      <c r="G538" s="16">
        <v>2856597.0</v>
      </c>
      <c r="H538" s="17" t="str">
        <f>HYPERLINK("http://woodleyhouse.org/","http://woodleyhouse.org/")</f>
        <v>http://woodleyhouse.org/</v>
      </c>
      <c r="I538" s="15" t="s">
        <v>20</v>
      </c>
      <c r="J538" s="18" t="s">
        <v>570</v>
      </c>
      <c r="K538" s="18" t="s">
        <v>810</v>
      </c>
      <c r="L538" s="18" t="s">
        <v>3691</v>
      </c>
      <c r="M538" s="18" t="s">
        <v>3692</v>
      </c>
      <c r="N538" s="18" t="s">
        <v>3693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4" t="s">
        <v>3694</v>
      </c>
      <c r="B539" s="15" t="s">
        <v>3695</v>
      </c>
      <c r="C539" s="15" t="s">
        <v>3696</v>
      </c>
      <c r="D539" s="15" t="s">
        <v>17</v>
      </c>
      <c r="E539" s="15" t="s">
        <v>18</v>
      </c>
      <c r="F539" s="15" t="s">
        <v>3697</v>
      </c>
      <c r="G539" s="16">
        <v>2852387.0</v>
      </c>
      <c r="H539" s="17" t="str">
        <f>HYPERLINK("http://oilembargo40.org/","http://oilembargo40.org/")</f>
        <v>http://oilembargo40.org/</v>
      </c>
      <c r="I539" s="15" t="s">
        <v>20</v>
      </c>
      <c r="J539" s="18" t="s">
        <v>482</v>
      </c>
      <c r="K539" s="18" t="s">
        <v>1502</v>
      </c>
      <c r="L539" s="18" t="s">
        <v>3698</v>
      </c>
      <c r="M539" s="18" t="s">
        <v>3699</v>
      </c>
      <c r="N539" s="18" t="s">
        <v>3700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9" t="s">
        <v>3701</v>
      </c>
      <c r="B540" s="20" t="s">
        <v>3702</v>
      </c>
      <c r="C540" s="20" t="s">
        <v>3703</v>
      </c>
      <c r="D540" s="20" t="s">
        <v>17</v>
      </c>
      <c r="E540" s="20" t="s">
        <v>18</v>
      </c>
      <c r="F540" s="20" t="s">
        <v>3704</v>
      </c>
      <c r="G540" s="21">
        <v>2821533.0</v>
      </c>
      <c r="H540" s="4"/>
      <c r="I540" s="2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4" t="s">
        <v>3705</v>
      </c>
      <c r="B541" s="15" t="s">
        <v>3706</v>
      </c>
      <c r="C541" s="15" t="s">
        <v>3707</v>
      </c>
      <c r="D541" s="15" t="s">
        <v>17</v>
      </c>
      <c r="E541" s="15" t="s">
        <v>18</v>
      </c>
      <c r="F541" s="15" t="s">
        <v>3708</v>
      </c>
      <c r="G541" s="16">
        <v>2810090.0</v>
      </c>
      <c r="H541" s="17" t="str">
        <f>HYPERLINK("http://www.seedfoundation.com/","http://www.seedfoundation.com/")</f>
        <v>http://www.seedfoundation.com/</v>
      </c>
      <c r="I541" s="15" t="s">
        <v>20</v>
      </c>
      <c r="J541" s="18" t="s">
        <v>3709</v>
      </c>
      <c r="K541" s="18" t="s">
        <v>3710</v>
      </c>
      <c r="L541" s="18" t="s">
        <v>3711</v>
      </c>
      <c r="M541" s="18" t="s">
        <v>3712</v>
      </c>
      <c r="N541" s="18" t="s">
        <v>3713</v>
      </c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9" t="s">
        <v>3714</v>
      </c>
      <c r="B542" s="20" t="s">
        <v>3715</v>
      </c>
      <c r="C542" s="20" t="s">
        <v>3716</v>
      </c>
      <c r="D542" s="20" t="s">
        <v>17</v>
      </c>
      <c r="E542" s="20" t="s">
        <v>18</v>
      </c>
      <c r="F542" s="20" t="s">
        <v>3717</v>
      </c>
      <c r="G542" s="21">
        <v>2809864.0</v>
      </c>
      <c r="H542" s="4"/>
      <c r="I542" s="2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9" t="s">
        <v>3718</v>
      </c>
      <c r="B543" s="20" t="s">
        <v>3719</v>
      </c>
      <c r="C543" s="20" t="s">
        <v>3720</v>
      </c>
      <c r="D543" s="20" t="s">
        <v>17</v>
      </c>
      <c r="E543" s="20" t="s">
        <v>18</v>
      </c>
      <c r="F543" s="20" t="s">
        <v>3721</v>
      </c>
      <c r="G543" s="21">
        <v>2809355.0</v>
      </c>
      <c r="H543" s="4"/>
      <c r="I543" s="2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9" t="s">
        <v>3722</v>
      </c>
      <c r="B544" s="20" t="s">
        <v>3723</v>
      </c>
      <c r="C544" s="20" t="s">
        <v>3724</v>
      </c>
      <c r="D544" s="20" t="s">
        <v>17</v>
      </c>
      <c r="E544" s="20" t="s">
        <v>18</v>
      </c>
      <c r="F544" s="20" t="s">
        <v>3725</v>
      </c>
      <c r="G544" s="21">
        <v>2804338.0</v>
      </c>
      <c r="H544" s="4"/>
      <c r="I544" s="2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4" t="s">
        <v>3726</v>
      </c>
      <c r="B545" s="15" t="s">
        <v>3727</v>
      </c>
      <c r="C545" s="15" t="s">
        <v>3728</v>
      </c>
      <c r="D545" s="15" t="s">
        <v>17</v>
      </c>
      <c r="E545" s="15" t="s">
        <v>18</v>
      </c>
      <c r="F545" s="15" t="s">
        <v>1441</v>
      </c>
      <c r="G545" s="16">
        <v>2803835.0</v>
      </c>
      <c r="H545" s="17" t="str">
        <f>HYPERLINK("http://www.afterschoolalliance.org/","http://www.afterschoolalliance.org/")</f>
        <v>http://www.afterschoolalliance.org/</v>
      </c>
      <c r="I545" s="15" t="s">
        <v>20</v>
      </c>
      <c r="J545" s="18" t="s">
        <v>30</v>
      </c>
      <c r="K545" s="18" t="s">
        <v>1021</v>
      </c>
      <c r="L545" s="18" t="s">
        <v>3729</v>
      </c>
      <c r="M545" s="18" t="s">
        <v>3730</v>
      </c>
      <c r="N545" s="18" t="s">
        <v>3731</v>
      </c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4" t="s">
        <v>3732</v>
      </c>
      <c r="B546" s="15" t="s">
        <v>3733</v>
      </c>
      <c r="C546" s="15" t="s">
        <v>3734</v>
      </c>
      <c r="D546" s="15" t="s">
        <v>17</v>
      </c>
      <c r="E546" s="15" t="s">
        <v>18</v>
      </c>
      <c r="F546" s="15" t="s">
        <v>3735</v>
      </c>
      <c r="G546" s="16">
        <v>2792003.0</v>
      </c>
      <c r="H546" s="17" t="str">
        <f>HYPERLINK("http://www.becketfund.org/","http://www.becketfund.org/")</f>
        <v>http://www.becketfund.org/</v>
      </c>
      <c r="I546" s="15" t="s">
        <v>20</v>
      </c>
      <c r="J546" s="18" t="s">
        <v>456</v>
      </c>
      <c r="K546" s="18" t="s">
        <v>1407</v>
      </c>
      <c r="L546" s="18" t="s">
        <v>3736</v>
      </c>
      <c r="M546" s="18" t="s">
        <v>3737</v>
      </c>
      <c r="N546" s="18" t="s">
        <v>3738</v>
      </c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4" t="s">
        <v>3739</v>
      </c>
      <c r="B547" s="15" t="s">
        <v>3740</v>
      </c>
      <c r="C547" s="15" t="s">
        <v>3741</v>
      </c>
      <c r="D547" s="15" t="s">
        <v>17</v>
      </c>
      <c r="E547" s="15" t="s">
        <v>18</v>
      </c>
      <c r="F547" s="15" t="s">
        <v>3742</v>
      </c>
      <c r="G547" s="16">
        <v>2787972.0</v>
      </c>
      <c r="H547" s="17" t="str">
        <f>HYPERLINK("http://www.christchilddc.org/","http://www.christchilddc.org/")</f>
        <v>http://www.christchilddc.org/</v>
      </c>
      <c r="I547" s="15" t="s">
        <v>20</v>
      </c>
      <c r="J547" s="18" t="s">
        <v>3743</v>
      </c>
      <c r="K547" s="18" t="s">
        <v>3744</v>
      </c>
      <c r="L547" s="18" t="s">
        <v>3226</v>
      </c>
      <c r="M547" s="18" t="s">
        <v>3745</v>
      </c>
      <c r="N547" s="18" t="s">
        <v>3746</v>
      </c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9" t="s">
        <v>3747</v>
      </c>
      <c r="B548" s="20" t="s">
        <v>3748</v>
      </c>
      <c r="C548" s="20" t="s">
        <v>3749</v>
      </c>
      <c r="D548" s="20" t="s">
        <v>17</v>
      </c>
      <c r="E548" s="20" t="s">
        <v>18</v>
      </c>
      <c r="F548" s="20" t="s">
        <v>3750</v>
      </c>
      <c r="G548" s="21">
        <v>2786260.0</v>
      </c>
      <c r="H548" s="4"/>
      <c r="I548" s="2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4" t="s">
        <v>3751</v>
      </c>
      <c r="B549" s="15" t="s">
        <v>3752</v>
      </c>
      <c r="C549" s="15" t="s">
        <v>3753</v>
      </c>
      <c r="D549" s="15" t="s">
        <v>17</v>
      </c>
      <c r="E549" s="15" t="s">
        <v>18</v>
      </c>
      <c r="F549" s="15" t="s">
        <v>3754</v>
      </c>
      <c r="G549" s="16">
        <v>2776208.0</v>
      </c>
      <c r="H549" s="17" t="str">
        <f>HYPERLINK("http://americasvoice.org/","http://americasvoice.org/")</f>
        <v>http://americasvoice.org/</v>
      </c>
      <c r="I549" s="15" t="s">
        <v>20</v>
      </c>
      <c r="J549" s="18" t="s">
        <v>3755</v>
      </c>
      <c r="K549" s="18" t="s">
        <v>3756</v>
      </c>
      <c r="L549" s="18" t="s">
        <v>3757</v>
      </c>
      <c r="M549" s="18" t="s">
        <v>3758</v>
      </c>
      <c r="N549" s="18" t="s">
        <v>3759</v>
      </c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9" t="s">
        <v>3760</v>
      </c>
      <c r="B550" s="20" t="s">
        <v>3761</v>
      </c>
      <c r="C550" s="20" t="s">
        <v>3762</v>
      </c>
      <c r="D550" s="20" t="s">
        <v>17</v>
      </c>
      <c r="E550" s="20" t="s">
        <v>18</v>
      </c>
      <c r="F550" s="20" t="s">
        <v>2535</v>
      </c>
      <c r="G550" s="21">
        <v>2776104.0</v>
      </c>
      <c r="H550" s="4"/>
      <c r="I550" s="2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4" t="s">
        <v>3763</v>
      </c>
      <c r="B551" s="15" t="s">
        <v>3764</v>
      </c>
      <c r="C551" s="15" t="s">
        <v>3765</v>
      </c>
      <c r="D551" s="15" t="s">
        <v>17</v>
      </c>
      <c r="E551" s="15" t="s">
        <v>18</v>
      </c>
      <c r="F551" s="15" t="s">
        <v>3766</v>
      </c>
      <c r="G551" s="16">
        <v>2773383.0</v>
      </c>
      <c r="H551" s="17" t="str">
        <f>HYPERLINK("http://www.nasi.org/","http://www.nasi.org/")</f>
        <v>http://www.nasi.org/</v>
      </c>
      <c r="I551" s="15" t="s">
        <v>20</v>
      </c>
      <c r="J551" s="18" t="s">
        <v>1817</v>
      </c>
      <c r="K551" s="18" t="s">
        <v>3767</v>
      </c>
      <c r="L551" s="18" t="s">
        <v>3768</v>
      </c>
      <c r="M551" s="18" t="s">
        <v>3769</v>
      </c>
      <c r="N551" s="18" t="s">
        <v>3770</v>
      </c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4" t="s">
        <v>3771</v>
      </c>
      <c r="B552" s="15" t="s">
        <v>3772</v>
      </c>
      <c r="C552" s="15" t="s">
        <v>3773</v>
      </c>
      <c r="D552" s="15" t="s">
        <v>17</v>
      </c>
      <c r="E552" s="15" t="s">
        <v>18</v>
      </c>
      <c r="F552" s="15" t="s">
        <v>3774</v>
      </c>
      <c r="G552" s="16">
        <v>2764742.0</v>
      </c>
      <c r="H552" s="17" t="str">
        <f>HYPERLINK("http://www.ccalliance.org/","http://www.ccalliance.org/")</f>
        <v>http://www.ccalliance.org/</v>
      </c>
      <c r="I552" s="15" t="s">
        <v>20</v>
      </c>
      <c r="J552" s="18" t="s">
        <v>482</v>
      </c>
      <c r="K552" s="18" t="s">
        <v>3775</v>
      </c>
      <c r="L552" s="18" t="s">
        <v>3776</v>
      </c>
      <c r="M552" s="18" t="s">
        <v>3777</v>
      </c>
      <c r="N552" s="18" t="s">
        <v>3778</v>
      </c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4" t="s">
        <v>3779</v>
      </c>
      <c r="B553" s="15" t="s">
        <v>3780</v>
      </c>
      <c r="C553" s="15" t="s">
        <v>3781</v>
      </c>
      <c r="D553" s="15" t="s">
        <v>17</v>
      </c>
      <c r="E553" s="15" t="s">
        <v>18</v>
      </c>
      <c r="F553" s="15" t="s">
        <v>1763</v>
      </c>
      <c r="G553" s="16">
        <v>2761868.0</v>
      </c>
      <c r="H553" s="17" t="str">
        <f>HYPERLINK("http://www.usactioneducationfund.org/","http://www.usactioneducationfund.org/")</f>
        <v>http://www.usactioneducationfund.org/</v>
      </c>
      <c r="I553" s="15" t="s">
        <v>20</v>
      </c>
      <c r="J553" s="18" t="s">
        <v>831</v>
      </c>
      <c r="K553" s="18" t="s">
        <v>3782</v>
      </c>
      <c r="L553" s="18" t="s">
        <v>3783</v>
      </c>
      <c r="M553" s="18" t="s">
        <v>3784</v>
      </c>
      <c r="N553" s="18" t="s">
        <v>3785</v>
      </c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4" t="s">
        <v>3786</v>
      </c>
      <c r="B554" s="15" t="s">
        <v>3787</v>
      </c>
      <c r="C554" s="15" t="s">
        <v>3788</v>
      </c>
      <c r="D554" s="15" t="s">
        <v>17</v>
      </c>
      <c r="E554" s="15" t="s">
        <v>18</v>
      </c>
      <c r="F554" s="15" t="s">
        <v>3789</v>
      </c>
      <c r="G554" s="16">
        <v>2752095.0</v>
      </c>
      <c r="H554" s="17" t="str">
        <f>HYPERLINK("http://www.constitutionproject.org/","http://www.constitutionproject.org/")</f>
        <v>http://www.constitutionproject.org/</v>
      </c>
      <c r="I554" s="15" t="s">
        <v>20</v>
      </c>
      <c r="J554" s="18" t="s">
        <v>3790</v>
      </c>
      <c r="K554" s="18" t="s">
        <v>177</v>
      </c>
      <c r="L554" s="18" t="s">
        <v>3791</v>
      </c>
      <c r="M554" s="18" t="s">
        <v>3792</v>
      </c>
      <c r="N554" s="18" t="s">
        <v>3793</v>
      </c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4" t="s">
        <v>3794</v>
      </c>
      <c r="B555" s="15" t="s">
        <v>3795</v>
      </c>
      <c r="C555" s="15" t="s">
        <v>3796</v>
      </c>
      <c r="D555" s="15" t="s">
        <v>17</v>
      </c>
      <c r="E555" s="15" t="s">
        <v>18</v>
      </c>
      <c r="F555" s="15" t="s">
        <v>3797</v>
      </c>
      <c r="G555" s="16">
        <v>2751962.0</v>
      </c>
      <c r="H555" s="17" t="str">
        <f>HYPERLINK("http://www.womenheart.org/","http://www.womenheart.org/")</f>
        <v>http://www.womenheart.org/</v>
      </c>
      <c r="I555" s="15" t="s">
        <v>20</v>
      </c>
      <c r="J555" s="18" t="s">
        <v>3798</v>
      </c>
      <c r="K555" s="18" t="s">
        <v>3799</v>
      </c>
      <c r="L555" s="18" t="s">
        <v>3800</v>
      </c>
      <c r="M555" s="18" t="s">
        <v>3801</v>
      </c>
      <c r="N555" s="18" t="s">
        <v>3802</v>
      </c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9" t="s">
        <v>3803</v>
      </c>
      <c r="B556" s="20" t="s">
        <v>3804</v>
      </c>
      <c r="C556" s="20" t="s">
        <v>3805</v>
      </c>
      <c r="D556" s="20" t="s">
        <v>17</v>
      </c>
      <c r="E556" s="20" t="s">
        <v>18</v>
      </c>
      <c r="F556" s="20" t="s">
        <v>3806</v>
      </c>
      <c r="G556" s="21">
        <v>2724187.0</v>
      </c>
      <c r="H556" s="4"/>
      <c r="I556" s="2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4" t="s">
        <v>3807</v>
      </c>
      <c r="B557" s="15" t="s">
        <v>3808</v>
      </c>
      <c r="C557" s="15" t="s">
        <v>3809</v>
      </c>
      <c r="D557" s="15" t="s">
        <v>17</v>
      </c>
      <c r="E557" s="15" t="s">
        <v>18</v>
      </c>
      <c r="F557" s="15" t="s">
        <v>3810</v>
      </c>
      <c r="G557" s="16">
        <v>2720325.0</v>
      </c>
      <c r="H557" s="17" t="str">
        <f>HYPERLINK("http://www.eesi.org/","http://www.eesi.org/")</f>
        <v>http://www.eesi.org/</v>
      </c>
      <c r="I557" s="15" t="s">
        <v>20</v>
      </c>
      <c r="J557" s="18" t="s">
        <v>456</v>
      </c>
      <c r="K557" s="18" t="s">
        <v>1472</v>
      </c>
      <c r="L557" s="18" t="s">
        <v>3007</v>
      </c>
      <c r="M557" s="18" t="s">
        <v>3811</v>
      </c>
      <c r="N557" s="18" t="s">
        <v>3812</v>
      </c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4" t="s">
        <v>3813</v>
      </c>
      <c r="B558" s="15" t="s">
        <v>3814</v>
      </c>
      <c r="C558" s="15" t="s">
        <v>3815</v>
      </c>
      <c r="D558" s="15" t="s">
        <v>17</v>
      </c>
      <c r="E558" s="15" t="s">
        <v>18</v>
      </c>
      <c r="F558" s="15" t="s">
        <v>2692</v>
      </c>
      <c r="G558" s="16">
        <v>2710239.0</v>
      </c>
      <c r="H558" s="17" t="str">
        <f>HYPERLINK("http://www.washlaw.org/","http://www.washlaw.org/")</f>
        <v>http://www.washlaw.org/</v>
      </c>
      <c r="I558" s="15" t="s">
        <v>20</v>
      </c>
      <c r="J558" s="18" t="s">
        <v>3816</v>
      </c>
      <c r="K558" s="18" t="s">
        <v>3817</v>
      </c>
      <c r="L558" s="18" t="s">
        <v>3818</v>
      </c>
      <c r="M558" s="18" t="s">
        <v>3819</v>
      </c>
      <c r="N558" s="18"/>
      <c r="O558" s="18" t="s">
        <v>3820</v>
      </c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9" t="s">
        <v>3821</v>
      </c>
      <c r="B559" s="20" t="s">
        <v>3822</v>
      </c>
      <c r="C559" s="20" t="s">
        <v>3823</v>
      </c>
      <c r="D559" s="20" t="s">
        <v>17</v>
      </c>
      <c r="E559" s="20" t="s">
        <v>18</v>
      </c>
      <c r="F559" s="20" t="s">
        <v>3824</v>
      </c>
      <c r="G559" s="21">
        <v>2689326.0</v>
      </c>
      <c r="H559" s="4"/>
      <c r="I559" s="2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4" t="s">
        <v>3825</v>
      </c>
      <c r="B560" s="15" t="s">
        <v>3826</v>
      </c>
      <c r="C560" s="15" t="s">
        <v>3827</v>
      </c>
      <c r="D560" s="15" t="s">
        <v>17</v>
      </c>
      <c r="E560" s="15" t="s">
        <v>18</v>
      </c>
      <c r="F560" s="15" t="s">
        <v>3828</v>
      </c>
      <c r="G560" s="16">
        <v>2687134.0</v>
      </c>
      <c r="H560" s="17" t="str">
        <f>HYPERLINK("http://prospect.org/","http://prospect.org/")</f>
        <v>http://prospect.org/</v>
      </c>
      <c r="I560" s="15" t="s">
        <v>20</v>
      </c>
      <c r="J560" s="18" t="s">
        <v>1296</v>
      </c>
      <c r="K560" s="18" t="s">
        <v>3829</v>
      </c>
      <c r="L560" s="18" t="s">
        <v>3830</v>
      </c>
      <c r="M560" s="18" t="s">
        <v>3831</v>
      </c>
      <c r="N560" s="18" t="s">
        <v>3832</v>
      </c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4" t="s">
        <v>3833</v>
      </c>
      <c r="B561" s="15" t="s">
        <v>3834</v>
      </c>
      <c r="C561" s="15" t="s">
        <v>3835</v>
      </c>
      <c r="D561" s="15" t="s">
        <v>17</v>
      </c>
      <c r="E561" s="15" t="s">
        <v>18</v>
      </c>
      <c r="F561" s="15" t="s">
        <v>3836</v>
      </c>
      <c r="G561" s="16">
        <v>2679743.0</v>
      </c>
      <c r="H561" s="17" t="str">
        <f>HYPERLINK("http://www.nationalskillscoalition.org/","http://www.nationalskillscoalition.org/")</f>
        <v>http://www.nationalskillscoalition.org/</v>
      </c>
      <c r="I561" s="15" t="s">
        <v>20</v>
      </c>
      <c r="J561" s="18" t="s">
        <v>3837</v>
      </c>
      <c r="K561" s="18" t="s">
        <v>270</v>
      </c>
      <c r="L561" s="18" t="s">
        <v>3838</v>
      </c>
      <c r="M561" s="18" t="s">
        <v>3839</v>
      </c>
      <c r="N561" s="18" t="s">
        <v>3840</v>
      </c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9" t="s">
        <v>3841</v>
      </c>
      <c r="B562" s="20" t="s">
        <v>3842</v>
      </c>
      <c r="C562" s="20" t="s">
        <v>3843</v>
      </c>
      <c r="D562" s="20" t="s">
        <v>17</v>
      </c>
      <c r="E562" s="20" t="s">
        <v>18</v>
      </c>
      <c r="F562" s="20" t="s">
        <v>414</v>
      </c>
      <c r="G562" s="21">
        <v>2665570.0</v>
      </c>
      <c r="H562" s="4"/>
      <c r="I562" s="2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4" t="s">
        <v>3844</v>
      </c>
      <c r="B563" s="15" t="s">
        <v>3845</v>
      </c>
      <c r="C563" s="15" t="s">
        <v>3846</v>
      </c>
      <c r="D563" s="15" t="s">
        <v>17</v>
      </c>
      <c r="E563" s="15" t="s">
        <v>18</v>
      </c>
      <c r="F563" s="15" t="s">
        <v>3847</v>
      </c>
      <c r="G563" s="16">
        <v>2616735.0</v>
      </c>
      <c r="H563" s="17" t="str">
        <f>HYPERLINK("http://www.aicongress.org/","http://www.aicongress.org/")</f>
        <v>http://www.aicongress.org/</v>
      </c>
      <c r="I563" s="15" t="s">
        <v>20</v>
      </c>
      <c r="J563" s="18" t="s">
        <v>3848</v>
      </c>
      <c r="K563" s="18" t="s">
        <v>3849</v>
      </c>
      <c r="L563" s="18" t="s">
        <v>3850</v>
      </c>
      <c r="M563" s="18" t="s">
        <v>3851</v>
      </c>
      <c r="N563" s="18" t="s">
        <v>3852</v>
      </c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4" t="s">
        <v>3853</v>
      </c>
      <c r="B564" s="15" t="s">
        <v>3854</v>
      </c>
      <c r="C564" s="15" t="s">
        <v>3855</v>
      </c>
      <c r="D564" s="15" t="s">
        <v>17</v>
      </c>
      <c r="E564" s="15" t="s">
        <v>18</v>
      </c>
      <c r="F564" s="15" t="s">
        <v>3856</v>
      </c>
      <c r="G564" s="16">
        <v>2608617.0</v>
      </c>
      <c r="H564" s="17" t="str">
        <f>HYPERLINK("http://cmbm.org/","http://cmbm.org/")</f>
        <v>http://cmbm.org/</v>
      </c>
      <c r="I564" s="15" t="s">
        <v>20</v>
      </c>
      <c r="J564" s="18" t="s">
        <v>456</v>
      </c>
      <c r="K564" s="18" t="s">
        <v>3857</v>
      </c>
      <c r="L564" s="18" t="s">
        <v>3858</v>
      </c>
      <c r="M564" s="18" t="s">
        <v>3859</v>
      </c>
      <c r="N564" s="18" t="s">
        <v>3860</v>
      </c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4" t="s">
        <v>3861</v>
      </c>
      <c r="B565" s="15" t="s">
        <v>3862</v>
      </c>
      <c r="C565" s="15" t="s">
        <v>3863</v>
      </c>
      <c r="D565" s="15" t="s">
        <v>17</v>
      </c>
      <c r="E565" s="15" t="s">
        <v>18</v>
      </c>
      <c r="F565" s="15" t="s">
        <v>3864</v>
      </c>
      <c r="G565" s="16">
        <v>2556064.0</v>
      </c>
      <c r="H565" s="17" t="str">
        <f>HYPERLINK("http://www.larche-gwdc.org/","http://www.larche-gwdc.org/")</f>
        <v>http://www.larche-gwdc.org/</v>
      </c>
      <c r="I565" s="15" t="s">
        <v>20</v>
      </c>
      <c r="J565" s="18" t="s">
        <v>3865</v>
      </c>
      <c r="K565" s="18" t="s">
        <v>3866</v>
      </c>
      <c r="L565" s="18" t="s">
        <v>3867</v>
      </c>
      <c r="M565" s="18" t="s">
        <v>3868</v>
      </c>
      <c r="N565" s="18" t="s">
        <v>3869</v>
      </c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4" t="s">
        <v>3870</v>
      </c>
      <c r="B566" s="15" t="s">
        <v>3871</v>
      </c>
      <c r="C566" s="15" t="s">
        <v>3872</v>
      </c>
      <c r="D566" s="15" t="s">
        <v>17</v>
      </c>
      <c r="E566" s="15" t="s">
        <v>18</v>
      </c>
      <c r="F566" s="15" t="s">
        <v>3873</v>
      </c>
      <c r="G566" s="16">
        <v>2541188.0</v>
      </c>
      <c r="H566" s="17" t="str">
        <f>HYPERLINK("http://community.pflag.org/Page.aspx?pid=194&amp;srcid=-2","http://community.pflag.org/Page.aspx?pid=194&amp;srcid=-2")</f>
        <v>http://community.pflag.org/Page.aspx?pid=194&amp;srcid=-2</v>
      </c>
      <c r="I566" s="15" t="s">
        <v>20</v>
      </c>
      <c r="J566" s="18" t="s">
        <v>456</v>
      </c>
      <c r="K566" s="18" t="s">
        <v>2345</v>
      </c>
      <c r="L566" s="18" t="s">
        <v>3874</v>
      </c>
      <c r="M566" s="18" t="s">
        <v>3875</v>
      </c>
      <c r="N566" s="18" t="s">
        <v>3876</v>
      </c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4" t="s">
        <v>3877</v>
      </c>
      <c r="B567" s="15" t="s">
        <v>3878</v>
      </c>
      <c r="C567" s="15" t="s">
        <v>3781</v>
      </c>
      <c r="D567" s="15" t="s">
        <v>17</v>
      </c>
      <c r="E567" s="15" t="s">
        <v>18</v>
      </c>
      <c r="F567" s="15" t="s">
        <v>1763</v>
      </c>
      <c r="G567" s="16">
        <v>2536476.0</v>
      </c>
      <c r="H567" s="17" t="str">
        <f>HYPERLINK("http://www.forworkingfamilies.org/","http://www.forworkingfamilies.org/")</f>
        <v>http://www.forworkingfamilies.org/</v>
      </c>
      <c r="I567" s="15" t="s">
        <v>20</v>
      </c>
      <c r="J567" s="18" t="s">
        <v>1287</v>
      </c>
      <c r="K567" s="18" t="s">
        <v>3879</v>
      </c>
      <c r="L567" s="18" t="s">
        <v>3880</v>
      </c>
      <c r="M567" s="18" t="s">
        <v>3881</v>
      </c>
      <c r="N567" s="18" t="s">
        <v>3882</v>
      </c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4" t="s">
        <v>3883</v>
      </c>
      <c r="B568" s="15" t="s">
        <v>3884</v>
      </c>
      <c r="C568" s="15" t="s">
        <v>3885</v>
      </c>
      <c r="D568" s="15" t="s">
        <v>17</v>
      </c>
      <c r="E568" s="15" t="s">
        <v>18</v>
      </c>
      <c r="F568" s="15" t="s">
        <v>3886</v>
      </c>
      <c r="G568" s="16">
        <v>2531571.0</v>
      </c>
      <c r="H568" s="17" t="str">
        <f>HYPERLINK("http://www.justiceatstake.org/","http://www.justiceatstake.org/")</f>
        <v>http://www.justiceatstake.org/</v>
      </c>
      <c r="I568" s="15" t="s">
        <v>20</v>
      </c>
      <c r="J568" s="18" t="s">
        <v>3887</v>
      </c>
      <c r="K568" s="18" t="s">
        <v>3888</v>
      </c>
      <c r="L568" s="18" t="s">
        <v>3889</v>
      </c>
      <c r="M568" s="18" t="s">
        <v>3890</v>
      </c>
      <c r="N568" s="18" t="s">
        <v>3891</v>
      </c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4" t="s">
        <v>3892</v>
      </c>
      <c r="B569" s="15" t="s">
        <v>3893</v>
      </c>
      <c r="C569" s="15" t="s">
        <v>3894</v>
      </c>
      <c r="D569" s="15" t="s">
        <v>17</v>
      </c>
      <c r="E569" s="15" t="s">
        <v>18</v>
      </c>
      <c r="F569" s="15" t="s">
        <v>3895</v>
      </c>
      <c r="G569" s="16">
        <v>2529147.0</v>
      </c>
      <c r="H569" s="17" t="str">
        <f>HYPERLINK("http://www.whistleblower.org/","http://www.whistleblower.org/")</f>
        <v>http://www.whistleblower.org/</v>
      </c>
      <c r="I569" s="15" t="s">
        <v>20</v>
      </c>
      <c r="J569" s="18" t="s">
        <v>3896</v>
      </c>
      <c r="K569" s="18" t="s">
        <v>3897</v>
      </c>
      <c r="L569" s="18" t="s">
        <v>3898</v>
      </c>
      <c r="M569" s="18" t="s">
        <v>3899</v>
      </c>
      <c r="N569" s="18" t="s">
        <v>3900</v>
      </c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9" t="s">
        <v>3901</v>
      </c>
      <c r="B570" s="20" t="s">
        <v>3902</v>
      </c>
      <c r="C570" s="20" t="s">
        <v>3903</v>
      </c>
      <c r="D570" s="20" t="s">
        <v>17</v>
      </c>
      <c r="E570" s="20" t="s">
        <v>18</v>
      </c>
      <c r="F570" s="20" t="s">
        <v>3904</v>
      </c>
      <c r="G570" s="21">
        <v>2517820.0</v>
      </c>
      <c r="H570" s="4"/>
      <c r="I570" s="2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4" t="s">
        <v>3905</v>
      </c>
      <c r="B571" s="15" t="s">
        <v>3906</v>
      </c>
      <c r="C571" s="15" t="s">
        <v>3907</v>
      </c>
      <c r="D571" s="15" t="s">
        <v>17</v>
      </c>
      <c r="E571" s="15" t="s">
        <v>18</v>
      </c>
      <c r="F571" s="15" t="s">
        <v>3908</v>
      </c>
      <c r="G571" s="16">
        <v>2511178.0</v>
      </c>
      <c r="H571" s="17" t="str">
        <f>HYPERLINK("http://njdc.info/","http://njdc.info/")</f>
        <v>http://njdc.info/</v>
      </c>
      <c r="I571" s="15" t="s">
        <v>20</v>
      </c>
      <c r="J571" s="18" t="s">
        <v>3909</v>
      </c>
      <c r="K571" s="18" t="s">
        <v>3910</v>
      </c>
      <c r="L571" s="18" t="s">
        <v>3791</v>
      </c>
      <c r="M571" s="18" t="s">
        <v>3911</v>
      </c>
      <c r="N571" s="18" t="s">
        <v>3912</v>
      </c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4" t="s">
        <v>3913</v>
      </c>
      <c r="B572" s="15" t="s">
        <v>3914</v>
      </c>
      <c r="C572" s="15" t="s">
        <v>3915</v>
      </c>
      <c r="D572" s="15" t="s">
        <v>17</v>
      </c>
      <c r="E572" s="15" t="s">
        <v>18</v>
      </c>
      <c r="F572" s="15" t="s">
        <v>3916</v>
      </c>
      <c r="G572" s="16">
        <v>2509321.0</v>
      </c>
      <c r="H572" s="17" t="str">
        <f>HYPERLINK("http://www.sportsmenslink.org/","http://www.sportsmenslink.org/")</f>
        <v>http://www.sportsmenslink.org/</v>
      </c>
      <c r="I572" s="15" t="s">
        <v>20</v>
      </c>
      <c r="J572" s="18" t="s">
        <v>3917</v>
      </c>
      <c r="K572" s="18" t="s">
        <v>3918</v>
      </c>
      <c r="L572" s="18" t="s">
        <v>3919</v>
      </c>
      <c r="M572" s="18" t="s">
        <v>3920</v>
      </c>
      <c r="N572" s="18" t="s">
        <v>3921</v>
      </c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4" t="s">
        <v>3922</v>
      </c>
      <c r="B573" s="15" t="s">
        <v>3923</v>
      </c>
      <c r="C573" s="15" t="s">
        <v>3924</v>
      </c>
      <c r="D573" s="15" t="s">
        <v>17</v>
      </c>
      <c r="E573" s="15" t="s">
        <v>18</v>
      </c>
      <c r="F573" s="15" t="s">
        <v>1260</v>
      </c>
      <c r="G573" s="16">
        <v>2506070.0</v>
      </c>
      <c r="H573" s="17" t="str">
        <f>HYPERLINK("http://start.org/","http://start.org/")</f>
        <v>http://start.org/</v>
      </c>
      <c r="I573" s="15" t="s">
        <v>20</v>
      </c>
      <c r="J573" s="18" t="s">
        <v>1252</v>
      </c>
      <c r="K573" s="18" t="s">
        <v>41</v>
      </c>
      <c r="L573" s="18" t="s">
        <v>3925</v>
      </c>
      <c r="M573" s="18" t="s">
        <v>3926</v>
      </c>
      <c r="N573" s="18" t="s">
        <v>3927</v>
      </c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4" t="s">
        <v>3928</v>
      </c>
      <c r="B574" s="15" t="s">
        <v>3929</v>
      </c>
      <c r="C574" s="15" t="s">
        <v>3930</v>
      </c>
      <c r="D574" s="15" t="s">
        <v>17</v>
      </c>
      <c r="E574" s="15" t="s">
        <v>18</v>
      </c>
      <c r="F574" s="15" t="s">
        <v>1114</v>
      </c>
      <c r="G574" s="16">
        <v>2502280.0</v>
      </c>
      <c r="H574" s="17" t="str">
        <f>HYPERLINK("http://thewomensfoundation.org/","http://thewomensfoundation.org/")</f>
        <v>http://thewomensfoundation.org/</v>
      </c>
      <c r="I574" s="15" t="s">
        <v>20</v>
      </c>
      <c r="J574" s="18" t="s">
        <v>3931</v>
      </c>
      <c r="K574" s="18" t="s">
        <v>3932</v>
      </c>
      <c r="L574" s="18" t="s">
        <v>3933</v>
      </c>
      <c r="M574" s="18" t="s">
        <v>3934</v>
      </c>
      <c r="N574" s="18" t="s">
        <v>3935</v>
      </c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9" t="s">
        <v>3936</v>
      </c>
      <c r="B575" s="20" t="s">
        <v>3937</v>
      </c>
      <c r="C575" s="20" t="s">
        <v>3938</v>
      </c>
      <c r="D575" s="20" t="s">
        <v>17</v>
      </c>
      <c r="E575" s="20" t="s">
        <v>18</v>
      </c>
      <c r="F575" s="20" t="s">
        <v>3939</v>
      </c>
      <c r="G575" s="21">
        <v>2498562.0</v>
      </c>
      <c r="H575" s="4"/>
      <c r="I575" s="2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9" t="s">
        <v>3940</v>
      </c>
      <c r="B576" s="20" t="s">
        <v>3941</v>
      </c>
      <c r="C576" s="20" t="s">
        <v>3942</v>
      </c>
      <c r="D576" s="20" t="s">
        <v>17</v>
      </c>
      <c r="E576" s="20" t="s">
        <v>18</v>
      </c>
      <c r="F576" s="20" t="s">
        <v>3943</v>
      </c>
      <c r="G576" s="21">
        <v>2498235.0</v>
      </c>
      <c r="H576" s="4"/>
      <c r="I576" s="2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9" t="s">
        <v>3944</v>
      </c>
      <c r="B577" s="20" t="s">
        <v>3945</v>
      </c>
      <c r="C577" s="20" t="s">
        <v>3946</v>
      </c>
      <c r="D577" s="20" t="s">
        <v>17</v>
      </c>
      <c r="E577" s="20" t="s">
        <v>18</v>
      </c>
      <c r="F577" s="20" t="s">
        <v>3947</v>
      </c>
      <c r="G577" s="21">
        <v>2484629.0</v>
      </c>
      <c r="H577" s="4"/>
      <c r="I577" s="2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4" t="s">
        <v>3948</v>
      </c>
      <c r="B578" s="15" t="s">
        <v>3949</v>
      </c>
      <c r="C578" s="15" t="s">
        <v>3950</v>
      </c>
      <c r="D578" s="15" t="s">
        <v>17</v>
      </c>
      <c r="E578" s="15" t="s">
        <v>18</v>
      </c>
      <c r="F578" s="15" t="s">
        <v>3951</v>
      </c>
      <c r="G578" s="16">
        <v>2478061.0</v>
      </c>
      <c r="H578" s="17" t="str">
        <f>HYPERLINK("http://ourfuture.org/","http://ourfuture.org/")</f>
        <v>http://ourfuture.org/</v>
      </c>
      <c r="I578" s="15" t="s">
        <v>20</v>
      </c>
      <c r="J578" s="18" t="s">
        <v>831</v>
      </c>
      <c r="K578" s="18" t="s">
        <v>3604</v>
      </c>
      <c r="L578" s="18" t="s">
        <v>3952</v>
      </c>
      <c r="M578" s="18" t="s">
        <v>3953</v>
      </c>
      <c r="N578" s="18" t="s">
        <v>3954</v>
      </c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4" t="s">
        <v>3955</v>
      </c>
      <c r="B579" s="15" t="s">
        <v>3956</v>
      </c>
      <c r="C579" s="15" t="s">
        <v>3957</v>
      </c>
      <c r="D579" s="15" t="s">
        <v>17</v>
      </c>
      <c r="E579" s="15" t="s">
        <v>18</v>
      </c>
      <c r="F579" s="15" t="s">
        <v>3298</v>
      </c>
      <c r="G579" s="16">
        <v>2476330.0</v>
      </c>
      <c r="H579" s="17" t="str">
        <f>HYPERLINK("http://www.aannet.org/","http://www.aannet.org/")</f>
        <v>http://www.aannet.org/</v>
      </c>
      <c r="I579" s="15" t="s">
        <v>20</v>
      </c>
      <c r="J579" s="18" t="s">
        <v>3958</v>
      </c>
      <c r="K579" s="18" t="s">
        <v>2255</v>
      </c>
      <c r="L579" s="18" t="s">
        <v>3959</v>
      </c>
      <c r="M579" s="18" t="s">
        <v>3960</v>
      </c>
      <c r="N579" s="18" t="s">
        <v>3961</v>
      </c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4" t="s">
        <v>3962</v>
      </c>
      <c r="B580" s="15" t="s">
        <v>3963</v>
      </c>
      <c r="C580" s="15" t="s">
        <v>3964</v>
      </c>
      <c r="D580" s="15" t="s">
        <v>17</v>
      </c>
      <c r="E580" s="15" t="s">
        <v>18</v>
      </c>
      <c r="F580" s="15" t="s">
        <v>3965</v>
      </c>
      <c r="G580" s="16">
        <v>2454805.0</v>
      </c>
      <c r="H580" s="17" t="str">
        <f>HYPERLINK("https://www.nationformarriage.org/main/ourwork/nom-education-fund","https://www.nationformarriage.org/main/ourwork/nom-education-fund")</f>
        <v>https://www.nationformarriage.org/main/ourwork/nom-education-fund</v>
      </c>
      <c r="I580" s="15" t="s">
        <v>20</v>
      </c>
      <c r="J580" s="18" t="s">
        <v>1041</v>
      </c>
      <c r="K580" s="18" t="s">
        <v>589</v>
      </c>
      <c r="L580" s="18" t="s">
        <v>3966</v>
      </c>
      <c r="M580" s="18" t="s">
        <v>3967</v>
      </c>
      <c r="N580" s="18" t="s">
        <v>3968</v>
      </c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9" t="s">
        <v>3969</v>
      </c>
      <c r="B581" s="20" t="s">
        <v>3970</v>
      </c>
      <c r="C581" s="20" t="s">
        <v>3150</v>
      </c>
      <c r="D581" s="20" t="s">
        <v>17</v>
      </c>
      <c r="E581" s="20" t="s">
        <v>18</v>
      </c>
      <c r="F581" s="20" t="s">
        <v>3151</v>
      </c>
      <c r="G581" s="21">
        <v>2447853.0</v>
      </c>
      <c r="H581" s="4"/>
      <c r="I581" s="2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4" t="s">
        <v>3971</v>
      </c>
      <c r="B582" s="15" t="s">
        <v>3972</v>
      </c>
      <c r="C582" s="15" t="s">
        <v>3973</v>
      </c>
      <c r="D582" s="15" t="s">
        <v>17</v>
      </c>
      <c r="E582" s="15" t="s">
        <v>18</v>
      </c>
      <c r="F582" s="15" t="s">
        <v>3974</v>
      </c>
      <c r="G582" s="16">
        <v>2439264.0</v>
      </c>
      <c r="H582" s="17" t="str">
        <f>HYPERLINK("http://www.wisconsinproject.org/","http://www.wisconsinproject.org/")</f>
        <v>http://www.wisconsinproject.org/</v>
      </c>
      <c r="I582" s="15" t="s">
        <v>20</v>
      </c>
      <c r="J582" s="18" t="s">
        <v>1287</v>
      </c>
      <c r="K582" s="18" t="s">
        <v>3405</v>
      </c>
      <c r="L582" s="18" t="s">
        <v>3975</v>
      </c>
      <c r="M582" s="18" t="s">
        <v>3976</v>
      </c>
      <c r="N582" s="18" t="s">
        <v>3977</v>
      </c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9" t="s">
        <v>3978</v>
      </c>
      <c r="B583" s="20" t="s">
        <v>3979</v>
      </c>
      <c r="C583" s="20" t="s">
        <v>3980</v>
      </c>
      <c r="D583" s="20" t="s">
        <v>17</v>
      </c>
      <c r="E583" s="20" t="s">
        <v>18</v>
      </c>
      <c r="F583" s="20" t="s">
        <v>3981</v>
      </c>
      <c r="G583" s="21">
        <v>2438173.0</v>
      </c>
      <c r="H583" s="4"/>
      <c r="I583" s="2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9" t="s">
        <v>3982</v>
      </c>
      <c r="B584" s="20" t="s">
        <v>3983</v>
      </c>
      <c r="C584" s="20" t="s">
        <v>3984</v>
      </c>
      <c r="D584" s="20" t="s">
        <v>17</v>
      </c>
      <c r="E584" s="20" t="s">
        <v>18</v>
      </c>
      <c r="F584" s="20" t="s">
        <v>3985</v>
      </c>
      <c r="G584" s="21">
        <v>2420811.0</v>
      </c>
      <c r="H584" s="4"/>
      <c r="I584" s="2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9" t="s">
        <v>3986</v>
      </c>
      <c r="B585" s="20" t="s">
        <v>3987</v>
      </c>
      <c r="C585" s="20" t="s">
        <v>3988</v>
      </c>
      <c r="D585" s="20" t="s">
        <v>17</v>
      </c>
      <c r="E585" s="20" t="s">
        <v>18</v>
      </c>
      <c r="F585" s="20" t="s">
        <v>3989</v>
      </c>
      <c r="G585" s="21">
        <v>2413200.0</v>
      </c>
      <c r="H585" s="4"/>
      <c r="I585" s="2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4" t="s">
        <v>3990</v>
      </c>
      <c r="B586" s="15" t="s">
        <v>3991</v>
      </c>
      <c r="C586" s="15" t="s">
        <v>3992</v>
      </c>
      <c r="D586" s="15" t="s">
        <v>17</v>
      </c>
      <c r="E586" s="15" t="s">
        <v>18</v>
      </c>
      <c r="F586" s="15" t="s">
        <v>3993</v>
      </c>
      <c r="G586" s="16">
        <v>2411544.0</v>
      </c>
      <c r="H586" s="17" t="str">
        <f>HYPERLINK("http://communityeducationgroup.org/","http://communityeducationgroup.org/")</f>
        <v>http://communityeducationgroup.org/</v>
      </c>
      <c r="I586" s="15" t="s">
        <v>20</v>
      </c>
      <c r="J586" s="18" t="s">
        <v>3994</v>
      </c>
      <c r="K586" s="18" t="s">
        <v>3995</v>
      </c>
      <c r="L586" s="18" t="s">
        <v>3996</v>
      </c>
      <c r="M586" s="18" t="s">
        <v>3997</v>
      </c>
      <c r="N586" s="18" t="s">
        <v>3998</v>
      </c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9" t="s">
        <v>3999</v>
      </c>
      <c r="B587" s="20" t="s">
        <v>4000</v>
      </c>
      <c r="C587" s="20" t="s">
        <v>4001</v>
      </c>
      <c r="D587" s="20" t="s">
        <v>17</v>
      </c>
      <c r="E587" s="20" t="s">
        <v>18</v>
      </c>
      <c r="F587" s="20" t="s">
        <v>4002</v>
      </c>
      <c r="G587" s="21">
        <v>2411349.0</v>
      </c>
      <c r="H587" s="4"/>
      <c r="I587" s="2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4" t="s">
        <v>4003</v>
      </c>
      <c r="B588" s="15" t="s">
        <v>4004</v>
      </c>
      <c r="C588" s="15" t="s">
        <v>4005</v>
      </c>
      <c r="D588" s="15" t="s">
        <v>17</v>
      </c>
      <c r="E588" s="15" t="s">
        <v>18</v>
      </c>
      <c r="F588" s="15" t="s">
        <v>4006</v>
      </c>
      <c r="G588" s="16">
        <v>2403146.0</v>
      </c>
      <c r="H588" s="17" t="str">
        <f>HYPERLINK("http://www.si.edu/SEEC","http://www.si.edu/SEEC")</f>
        <v>http://www.si.edu/SEEC</v>
      </c>
      <c r="I588" s="15" t="s">
        <v>20</v>
      </c>
      <c r="J588" s="18" t="s">
        <v>39</v>
      </c>
      <c r="K588" s="18" t="s">
        <v>40</v>
      </c>
      <c r="L588" s="18" t="s">
        <v>41</v>
      </c>
      <c r="M588" s="18" t="s">
        <v>42</v>
      </c>
      <c r="N588" s="18" t="s">
        <v>43</v>
      </c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9" t="s">
        <v>4007</v>
      </c>
      <c r="B589" s="20" t="s">
        <v>4008</v>
      </c>
      <c r="C589" s="20" t="s">
        <v>4009</v>
      </c>
      <c r="D589" s="20" t="s">
        <v>17</v>
      </c>
      <c r="E589" s="20" t="s">
        <v>18</v>
      </c>
      <c r="F589" s="20" t="s">
        <v>4010</v>
      </c>
      <c r="G589" s="21">
        <v>2396406.0</v>
      </c>
      <c r="H589" s="4"/>
      <c r="I589" s="2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4" t="s">
        <v>4011</v>
      </c>
      <c r="B590" s="15" t="s">
        <v>4012</v>
      </c>
      <c r="C590" s="15" t="s">
        <v>4013</v>
      </c>
      <c r="D590" s="15" t="s">
        <v>17</v>
      </c>
      <c r="E590" s="15" t="s">
        <v>18</v>
      </c>
      <c r="F590" s="15" t="s">
        <v>4014</v>
      </c>
      <c r="G590" s="16">
        <v>2391948.0</v>
      </c>
      <c r="H590" s="17" t="str">
        <f>HYPERLINK("http://www.iwmf.org/","http://www.iwmf.org/")</f>
        <v>http://www.iwmf.org/</v>
      </c>
      <c r="I590" s="15" t="s">
        <v>20</v>
      </c>
      <c r="J590" s="18" t="s">
        <v>456</v>
      </c>
      <c r="K590" s="18" t="s">
        <v>2836</v>
      </c>
      <c r="L590" s="18" t="s">
        <v>4015</v>
      </c>
      <c r="M590" s="18" t="s">
        <v>4016</v>
      </c>
      <c r="N590" s="18" t="s">
        <v>4017</v>
      </c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4" t="s">
        <v>4018</v>
      </c>
      <c r="B591" s="15" t="s">
        <v>4019</v>
      </c>
      <c r="C591" s="15" t="s">
        <v>4020</v>
      </c>
      <c r="D591" s="15" t="s">
        <v>17</v>
      </c>
      <c r="E591" s="15" t="s">
        <v>18</v>
      </c>
      <c r="F591" s="15" t="s">
        <v>3371</v>
      </c>
      <c r="G591" s="16">
        <v>2390819.0</v>
      </c>
      <c r="H591" s="17" t="str">
        <f>HYPERLINK("http://www.fonkoze.org/","http://www.fonkoze.org/")</f>
        <v>http://www.fonkoze.org/</v>
      </c>
      <c r="I591" s="15" t="s">
        <v>20</v>
      </c>
      <c r="J591" s="18" t="s">
        <v>1287</v>
      </c>
      <c r="K591" s="18" t="s">
        <v>4021</v>
      </c>
      <c r="L591" s="18" t="s">
        <v>719</v>
      </c>
      <c r="M591" s="18" t="s">
        <v>4022</v>
      </c>
      <c r="N591" s="18" t="s">
        <v>4023</v>
      </c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9" t="s">
        <v>4024</v>
      </c>
      <c r="B592" s="20" t="s">
        <v>4025</v>
      </c>
      <c r="C592" s="20" t="s">
        <v>4026</v>
      </c>
      <c r="D592" s="20" t="s">
        <v>17</v>
      </c>
      <c r="E592" s="20" t="s">
        <v>18</v>
      </c>
      <c r="F592" s="20" t="s">
        <v>4027</v>
      </c>
      <c r="G592" s="21">
        <v>2380130.0</v>
      </c>
      <c r="H592" s="4"/>
      <c r="I592" s="2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4" t="s">
        <v>4028</v>
      </c>
      <c r="B593" s="15" t="s">
        <v>4029</v>
      </c>
      <c r="C593" s="15" t="s">
        <v>4030</v>
      </c>
      <c r="D593" s="15" t="s">
        <v>17</v>
      </c>
      <c r="E593" s="15" t="s">
        <v>18</v>
      </c>
      <c r="F593" s="15" t="s">
        <v>4031</v>
      </c>
      <c r="G593" s="16">
        <v>2379337.0</v>
      </c>
      <c r="H593" s="17" t="str">
        <f>HYPERLINK("http://www.bikeleague.org/","http://www.bikeleague.org/")</f>
        <v>http://www.bikeleague.org/</v>
      </c>
      <c r="I593" s="15" t="s">
        <v>20</v>
      </c>
      <c r="J593" s="18" t="s">
        <v>4032</v>
      </c>
      <c r="K593" s="18" t="s">
        <v>4033</v>
      </c>
      <c r="L593" s="18" t="s">
        <v>4034</v>
      </c>
      <c r="M593" s="18" t="s">
        <v>4035</v>
      </c>
      <c r="N593" s="18" t="s">
        <v>4036</v>
      </c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4" t="s">
        <v>4037</v>
      </c>
      <c r="B594" s="15" t="s">
        <v>4038</v>
      </c>
      <c r="C594" s="15" t="s">
        <v>4039</v>
      </c>
      <c r="D594" s="15" t="s">
        <v>17</v>
      </c>
      <c r="E594" s="15" t="s">
        <v>18</v>
      </c>
      <c r="F594" s="15" t="s">
        <v>1615</v>
      </c>
      <c r="G594" s="16">
        <v>2369061.0</v>
      </c>
      <c r="H594" s="17" t="str">
        <f>HYPERLINK("http://www.wola.org/","http://www.wola.org/")</f>
        <v>http://www.wola.org/</v>
      </c>
      <c r="I594" s="15" t="s">
        <v>20</v>
      </c>
      <c r="J594" s="18" t="s">
        <v>570</v>
      </c>
      <c r="K594" s="18" t="s">
        <v>4040</v>
      </c>
      <c r="L594" s="18" t="s">
        <v>4041</v>
      </c>
      <c r="M594" s="18" t="s">
        <v>4042</v>
      </c>
      <c r="N594" s="18" t="s">
        <v>4043</v>
      </c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4" t="s">
        <v>4044</v>
      </c>
      <c r="B595" s="15" t="s">
        <v>4045</v>
      </c>
      <c r="C595" s="15" t="s">
        <v>4046</v>
      </c>
      <c r="D595" s="15" t="s">
        <v>17</v>
      </c>
      <c r="E595" s="15" t="s">
        <v>18</v>
      </c>
      <c r="F595" s="15" t="s">
        <v>4047</v>
      </c>
      <c r="G595" s="16">
        <v>2345945.0</v>
      </c>
      <c r="H595" s="17" t="str">
        <f>HYPERLINK("http://www.leasefoundation.org/","http://www.leasefoundation.org/")</f>
        <v>http://www.leasefoundation.org/</v>
      </c>
      <c r="I595" s="15" t="s">
        <v>20</v>
      </c>
      <c r="J595" s="18" t="s">
        <v>1287</v>
      </c>
      <c r="K595" s="18" t="s">
        <v>244</v>
      </c>
      <c r="L595" s="18" t="s">
        <v>4048</v>
      </c>
      <c r="M595" s="18" t="s">
        <v>4049</v>
      </c>
      <c r="N595" s="18" t="s">
        <v>4050</v>
      </c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4" t="s">
        <v>4051</v>
      </c>
      <c r="B596" s="15" t="s">
        <v>4052</v>
      </c>
      <c r="C596" s="15" t="s">
        <v>4053</v>
      </c>
      <c r="D596" s="15" t="s">
        <v>17</v>
      </c>
      <c r="E596" s="15" t="s">
        <v>18</v>
      </c>
      <c r="F596" s="15" t="s">
        <v>4054</v>
      </c>
      <c r="G596" s="16">
        <v>2314351.0</v>
      </c>
      <c r="H596" s="17" t="str">
        <f>HYPERLINK("http://www.conservation-us.org/foundation#.VMCcBEfF-So","http://www.conservation-us.org/foundation#.VMCcBEfF-So")</f>
        <v>http://www.conservation-us.org/foundation#.VMCcBEfF-So</v>
      </c>
      <c r="I596" s="15" t="s">
        <v>20</v>
      </c>
      <c r="J596" s="18" t="s">
        <v>4055</v>
      </c>
      <c r="K596" s="18" t="s">
        <v>2377</v>
      </c>
      <c r="L596" s="18" t="s">
        <v>4056</v>
      </c>
      <c r="M596" s="18" t="s">
        <v>4057</v>
      </c>
      <c r="N596" s="18" t="s">
        <v>4058</v>
      </c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4" t="s">
        <v>4059</v>
      </c>
      <c r="B597" s="15" t="s">
        <v>4060</v>
      </c>
      <c r="C597" s="15" t="s">
        <v>4061</v>
      </c>
      <c r="D597" s="15" t="s">
        <v>17</v>
      </c>
      <c r="E597" s="15" t="s">
        <v>18</v>
      </c>
      <c r="F597" s="15" t="s">
        <v>4062</v>
      </c>
      <c r="G597" s="16">
        <v>2303169.0</v>
      </c>
      <c r="H597" s="17" t="str">
        <f>HYPERLINK("http://www.iraqfoundation.org/","http://www.iraqfoundation.org/")</f>
        <v>http://www.iraqfoundation.org/</v>
      </c>
      <c r="I597" s="15" t="s">
        <v>20</v>
      </c>
      <c r="J597" s="18" t="s">
        <v>3069</v>
      </c>
      <c r="K597" s="18" t="s">
        <v>4063</v>
      </c>
      <c r="L597" s="18" t="s">
        <v>4064</v>
      </c>
      <c r="M597" s="18" t="s">
        <v>4065</v>
      </c>
      <c r="N597" s="18" t="s">
        <v>4066</v>
      </c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9" t="s">
        <v>4067</v>
      </c>
      <c r="B598" s="20" t="s">
        <v>4068</v>
      </c>
      <c r="C598" s="20" t="s">
        <v>4069</v>
      </c>
      <c r="D598" s="20" t="s">
        <v>17</v>
      </c>
      <c r="E598" s="20" t="s">
        <v>18</v>
      </c>
      <c r="F598" s="20" t="s">
        <v>4070</v>
      </c>
      <c r="G598" s="21">
        <v>2294063.0</v>
      </c>
      <c r="H598" s="4"/>
      <c r="I598" s="2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9" t="s">
        <v>4071</v>
      </c>
      <c r="B599" s="20" t="s">
        <v>4072</v>
      </c>
      <c r="C599" s="20" t="s">
        <v>4073</v>
      </c>
      <c r="D599" s="20" t="s">
        <v>17</v>
      </c>
      <c r="E599" s="20" t="s">
        <v>18</v>
      </c>
      <c r="F599" s="20" t="s">
        <v>4074</v>
      </c>
      <c r="G599" s="21">
        <v>2291544.0</v>
      </c>
      <c r="H599" s="4"/>
      <c r="I599" s="2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4" t="s">
        <v>4075</v>
      </c>
      <c r="B600" s="15" t="s">
        <v>4076</v>
      </c>
      <c r="C600" s="15" t="s">
        <v>4077</v>
      </c>
      <c r="D600" s="15" t="s">
        <v>17</v>
      </c>
      <c r="E600" s="15" t="s">
        <v>18</v>
      </c>
      <c r="F600" s="15" t="s">
        <v>4078</v>
      </c>
      <c r="G600" s="16">
        <v>2271067.0</v>
      </c>
      <c r="H600" s="17" t="str">
        <f>HYPERLINK("http://www.nasaa-arts.org/","http://www.nasaa-arts.org/")</f>
        <v>http://www.nasaa-arts.org/</v>
      </c>
      <c r="I600" s="15" t="s">
        <v>20</v>
      </c>
      <c r="J600" s="18" t="s">
        <v>1726</v>
      </c>
      <c r="K600" s="18" t="s">
        <v>1941</v>
      </c>
      <c r="L600" s="18" t="s">
        <v>1042</v>
      </c>
      <c r="M600" s="18" t="s">
        <v>4079</v>
      </c>
      <c r="N600" s="18" t="s">
        <v>4080</v>
      </c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4" t="s">
        <v>4081</v>
      </c>
      <c r="B601" s="15" t="s">
        <v>4082</v>
      </c>
      <c r="C601" s="15" t="s">
        <v>4083</v>
      </c>
      <c r="D601" s="15" t="s">
        <v>17</v>
      </c>
      <c r="E601" s="15" t="s">
        <v>18</v>
      </c>
      <c r="F601" s="15" t="s">
        <v>1913</v>
      </c>
      <c r="G601" s="16">
        <v>2266691.0</v>
      </c>
      <c r="H601" s="17" t="str">
        <f>HYPERLINK("http://chctdc.org/","http://chctdc.org/")</f>
        <v>http://chctdc.org/</v>
      </c>
      <c r="I601" s="15" t="s">
        <v>20</v>
      </c>
      <c r="J601" s="18" t="s">
        <v>958</v>
      </c>
      <c r="K601" s="18" t="s">
        <v>4084</v>
      </c>
      <c r="L601" s="18" t="s">
        <v>849</v>
      </c>
      <c r="M601" s="18" t="s">
        <v>4085</v>
      </c>
      <c r="N601" s="18" t="s">
        <v>4086</v>
      </c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4" t="s">
        <v>4087</v>
      </c>
      <c r="B602" s="15" t="s">
        <v>4088</v>
      </c>
      <c r="C602" s="15" t="s">
        <v>4089</v>
      </c>
      <c r="D602" s="15" t="s">
        <v>17</v>
      </c>
      <c r="E602" s="15" t="s">
        <v>18</v>
      </c>
      <c r="F602" s="15" t="s">
        <v>4090</v>
      </c>
      <c r="G602" s="16">
        <v>2253724.0</v>
      </c>
      <c r="H602" s="17" t="str">
        <f>HYPERLINK("http://www.kidsave.org/","http://www.kidsave.org/")</f>
        <v>http://www.kidsave.org/</v>
      </c>
      <c r="I602" s="15" t="s">
        <v>20</v>
      </c>
      <c r="J602" s="18" t="s">
        <v>4091</v>
      </c>
      <c r="K602" s="18" t="s">
        <v>4092</v>
      </c>
      <c r="L602" s="18" t="s">
        <v>4093</v>
      </c>
      <c r="M602" s="18" t="s">
        <v>4094</v>
      </c>
      <c r="N602" s="18" t="s">
        <v>4095</v>
      </c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4" t="s">
        <v>4096</v>
      </c>
      <c r="B603" s="15" t="s">
        <v>4097</v>
      </c>
      <c r="C603" s="15" t="s">
        <v>4098</v>
      </c>
      <c r="D603" s="15" t="s">
        <v>17</v>
      </c>
      <c r="E603" s="15" t="s">
        <v>18</v>
      </c>
      <c r="F603" s="15" t="s">
        <v>4099</v>
      </c>
      <c r="G603" s="16">
        <v>2236086.0</v>
      </c>
      <c r="H603" s="17" t="str">
        <f>HYPERLINK("http://www.goodweave.org/home.php","http://www.goodweave.org/home.php")</f>
        <v>http://www.goodweave.org/home.php</v>
      </c>
      <c r="I603" s="15" t="s">
        <v>20</v>
      </c>
      <c r="J603" s="18" t="s">
        <v>1287</v>
      </c>
      <c r="K603" s="18" t="s">
        <v>499</v>
      </c>
      <c r="L603" s="18" t="s">
        <v>1042</v>
      </c>
      <c r="M603" s="18" t="s">
        <v>4100</v>
      </c>
      <c r="N603" s="18" t="s">
        <v>4101</v>
      </c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4" t="s">
        <v>4102</v>
      </c>
      <c r="B604" s="15" t="s">
        <v>4103</v>
      </c>
      <c r="C604" s="15" t="s">
        <v>4104</v>
      </c>
      <c r="D604" s="15" t="s">
        <v>17</v>
      </c>
      <c r="E604" s="15" t="s">
        <v>18</v>
      </c>
      <c r="F604" s="15" t="s">
        <v>4105</v>
      </c>
      <c r="G604" s="16">
        <v>2235729.0</v>
      </c>
      <c r="H604" s="17" t="str">
        <f>HYPERLINK("http://www.dalitnetwork.org/go?/dfn/index","http://www.dalitnetwork.org/go?/dfn/index")</f>
        <v>http://www.dalitnetwork.org/go?/dfn/index</v>
      </c>
      <c r="I604" s="15" t="s">
        <v>20</v>
      </c>
      <c r="J604" s="18" t="s">
        <v>4106</v>
      </c>
      <c r="K604" s="18" t="s">
        <v>1564</v>
      </c>
      <c r="L604" s="18" t="s">
        <v>4107</v>
      </c>
      <c r="M604" s="18" t="s">
        <v>4108</v>
      </c>
      <c r="N604" s="18" t="s">
        <v>4109</v>
      </c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9" t="s">
        <v>4110</v>
      </c>
      <c r="B605" s="20" t="s">
        <v>4111</v>
      </c>
      <c r="C605" s="20" t="s">
        <v>4112</v>
      </c>
      <c r="D605" s="20" t="s">
        <v>17</v>
      </c>
      <c r="E605" s="20" t="s">
        <v>18</v>
      </c>
      <c r="F605" s="20" t="s">
        <v>2743</v>
      </c>
      <c r="G605" s="21">
        <v>2229895.0</v>
      </c>
      <c r="H605" s="4"/>
      <c r="I605" s="2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4" t="s">
        <v>4113</v>
      </c>
      <c r="B606" s="15" t="s">
        <v>4114</v>
      </c>
      <c r="C606" s="15" t="s">
        <v>4115</v>
      </c>
      <c r="D606" s="15" t="s">
        <v>17</v>
      </c>
      <c r="E606" s="15" t="s">
        <v>18</v>
      </c>
      <c r="F606" s="15" t="s">
        <v>4116</v>
      </c>
      <c r="G606" s="16">
        <v>2227813.0</v>
      </c>
      <c r="H606" s="17" t="str">
        <f>HYPERLINK("https://assoc.drupal.org/","https://assoc.drupal.org/")</f>
        <v>https://assoc.drupal.org/</v>
      </c>
      <c r="I606" s="15" t="s">
        <v>20</v>
      </c>
      <c r="J606" s="18" t="s">
        <v>4117</v>
      </c>
      <c r="K606" s="18" t="s">
        <v>4118</v>
      </c>
      <c r="L606" s="18" t="s">
        <v>4119</v>
      </c>
      <c r="M606" s="18" t="s">
        <v>4120</v>
      </c>
      <c r="N606" s="18" t="s">
        <v>4121</v>
      </c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4" t="s">
        <v>4122</v>
      </c>
      <c r="B607" s="15" t="s">
        <v>4123</v>
      </c>
      <c r="C607" s="15" t="s">
        <v>4124</v>
      </c>
      <c r="D607" s="15" t="s">
        <v>17</v>
      </c>
      <c r="E607" s="15" t="s">
        <v>18</v>
      </c>
      <c r="F607" s="15" t="s">
        <v>2685</v>
      </c>
      <c r="G607" s="16">
        <v>2223804.0</v>
      </c>
      <c r="H607" s="17" t="str">
        <f>HYPERLINK("http://www.501ctech.org/","http://www.501ctech.org/")</f>
        <v>http://www.501ctech.org/</v>
      </c>
      <c r="I607" s="15" t="s">
        <v>20</v>
      </c>
      <c r="J607" s="18" t="s">
        <v>4125</v>
      </c>
      <c r="K607" s="18" t="s">
        <v>4126</v>
      </c>
      <c r="L607" s="18" t="s">
        <v>4127</v>
      </c>
      <c r="M607" s="18" t="s">
        <v>4128</v>
      </c>
      <c r="N607" s="18" t="s">
        <v>4129</v>
      </c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4" t="s">
        <v>4130</v>
      </c>
      <c r="B608" s="15" t="s">
        <v>4131</v>
      </c>
      <c r="C608" s="15" t="s">
        <v>4132</v>
      </c>
      <c r="D608" s="15" t="s">
        <v>17</v>
      </c>
      <c r="E608" s="15" t="s">
        <v>18</v>
      </c>
      <c r="F608" s="15" t="s">
        <v>4133</v>
      </c>
      <c r="G608" s="16">
        <v>2197227.0</v>
      </c>
      <c r="H608" s="17" t="str">
        <f>HYPERLINK("http://www.nbcdi.org/","http://www.nbcdi.org/")</f>
        <v>http://www.nbcdi.org/</v>
      </c>
      <c r="I608" s="15" t="s">
        <v>20</v>
      </c>
      <c r="J608" s="18" t="s">
        <v>1450</v>
      </c>
      <c r="K608" s="18" t="s">
        <v>4134</v>
      </c>
      <c r="L608" s="18" t="s">
        <v>4135</v>
      </c>
      <c r="M608" s="18" t="s">
        <v>4136</v>
      </c>
      <c r="N608" s="18" t="s">
        <v>4137</v>
      </c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4" t="s">
        <v>4138</v>
      </c>
      <c r="B609" s="15" t="s">
        <v>4139</v>
      </c>
      <c r="C609" s="15" t="s">
        <v>4140</v>
      </c>
      <c r="D609" s="15" t="s">
        <v>17</v>
      </c>
      <c r="E609" s="15" t="s">
        <v>18</v>
      </c>
      <c r="F609" s="15" t="s">
        <v>4141</v>
      </c>
      <c r="G609" s="16">
        <v>2194994.0</v>
      </c>
      <c r="H609" s="17" t="str">
        <f>HYPERLINK("http://www.jobshavepriority.org/","http://www.jobshavepriority.org/")</f>
        <v>http://www.jobshavepriority.org/</v>
      </c>
      <c r="I609" s="15" t="s">
        <v>20</v>
      </c>
      <c r="J609" s="18" t="s">
        <v>1287</v>
      </c>
      <c r="K609" s="18" t="s">
        <v>4142</v>
      </c>
      <c r="L609" s="18" t="s">
        <v>4143</v>
      </c>
      <c r="M609" s="18" t="s">
        <v>4144</v>
      </c>
      <c r="N609" s="18" t="s">
        <v>4145</v>
      </c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9" t="s">
        <v>4146</v>
      </c>
      <c r="B610" s="20" t="s">
        <v>4147</v>
      </c>
      <c r="C610" s="20" t="s">
        <v>4148</v>
      </c>
      <c r="D610" s="20" t="s">
        <v>17</v>
      </c>
      <c r="E610" s="20" t="s">
        <v>18</v>
      </c>
      <c r="F610" s="20" t="s">
        <v>4149</v>
      </c>
      <c r="G610" s="21">
        <v>2193464.0</v>
      </c>
      <c r="H610" s="4"/>
      <c r="I610" s="2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4" t="s">
        <v>4150</v>
      </c>
      <c r="B611" s="15" t="s">
        <v>4151</v>
      </c>
      <c r="C611" s="15" t="s">
        <v>4152</v>
      </c>
      <c r="D611" s="15" t="s">
        <v>17</v>
      </c>
      <c r="E611" s="15" t="s">
        <v>18</v>
      </c>
      <c r="F611" s="15" t="s">
        <v>4153</v>
      </c>
      <c r="G611" s="16">
        <v>2181661.0</v>
      </c>
      <c r="H611" s="17" t="str">
        <f>HYPERLINK("http://www.nationalcapacd.org/","http://www.nationalcapacd.org/")</f>
        <v>http://www.nationalcapacd.org/</v>
      </c>
      <c r="I611" s="15" t="s">
        <v>20</v>
      </c>
      <c r="J611" s="18" t="s">
        <v>4154</v>
      </c>
      <c r="K611" s="18" t="s">
        <v>4155</v>
      </c>
      <c r="L611" s="18" t="s">
        <v>4156</v>
      </c>
      <c r="M611" s="18" t="s">
        <v>4157</v>
      </c>
      <c r="N611" s="18" t="s">
        <v>4158</v>
      </c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4" t="s">
        <v>4159</v>
      </c>
      <c r="B612" s="15" t="s">
        <v>4160</v>
      </c>
      <c r="C612" s="15" t="s">
        <v>4161</v>
      </c>
      <c r="D612" s="15" t="s">
        <v>17</v>
      </c>
      <c r="E612" s="15" t="s">
        <v>18</v>
      </c>
      <c r="F612" s="15" t="s">
        <v>4162</v>
      </c>
      <c r="G612" s="16">
        <v>2178571.0</v>
      </c>
      <c r="H612" s="17" t="str">
        <f>HYPERLINK("http://www.consumerfed.org/","http://www.consumerfed.org/")</f>
        <v>http://www.consumerfed.org/</v>
      </c>
      <c r="I612" s="15" t="s">
        <v>20</v>
      </c>
      <c r="J612" s="18" t="s">
        <v>1287</v>
      </c>
      <c r="K612" s="18" t="s">
        <v>2166</v>
      </c>
      <c r="L612" s="18" t="s">
        <v>4163</v>
      </c>
      <c r="M612" s="18" t="s">
        <v>4164</v>
      </c>
      <c r="N612" s="18" t="s">
        <v>4165</v>
      </c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4" t="s">
        <v>4166</v>
      </c>
      <c r="B613" s="15" t="s">
        <v>4167</v>
      </c>
      <c r="C613" s="15" t="s">
        <v>4168</v>
      </c>
      <c r="D613" s="15" t="s">
        <v>17</v>
      </c>
      <c r="E613" s="15" t="s">
        <v>18</v>
      </c>
      <c r="F613" s="15" t="s">
        <v>4169</v>
      </c>
      <c r="G613" s="16">
        <v>2175773.0</v>
      </c>
      <c r="H613" s="17" t="str">
        <f>HYPERLINK("http://www.diabetesaction.org/site/PageServer?pagename=index","http://www.diabetesaction.org/site/PageServer?pagename=index")</f>
        <v>http://www.diabetesaction.org/site/PageServer?pagename=index</v>
      </c>
      <c r="I613" s="15" t="s">
        <v>20</v>
      </c>
      <c r="J613" s="18" t="s">
        <v>1287</v>
      </c>
      <c r="K613" s="18" t="s">
        <v>4170</v>
      </c>
      <c r="L613" s="18" t="s">
        <v>4171</v>
      </c>
      <c r="M613" s="18" t="s">
        <v>4172</v>
      </c>
      <c r="N613" s="18" t="s">
        <v>4173</v>
      </c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4" t="s">
        <v>4174</v>
      </c>
      <c r="B614" s="15" t="s">
        <v>4175</v>
      </c>
      <c r="C614" s="15" t="s">
        <v>4176</v>
      </c>
      <c r="D614" s="15" t="s">
        <v>17</v>
      </c>
      <c r="E614" s="15" t="s">
        <v>18</v>
      </c>
      <c r="F614" s="15" t="s">
        <v>4177</v>
      </c>
      <c r="G614" s="16">
        <v>2171838.0</v>
      </c>
      <c r="H614" s="17" t="str">
        <f>HYPERLINK("http://www.bicusa.org/","http://www.bicusa.org/")</f>
        <v>http://www.bicusa.org/</v>
      </c>
      <c r="I614" s="15" t="s">
        <v>20</v>
      </c>
      <c r="J614" s="18" t="s">
        <v>570</v>
      </c>
      <c r="K614" s="18" t="s">
        <v>4178</v>
      </c>
      <c r="L614" s="18" t="s">
        <v>4179</v>
      </c>
      <c r="M614" s="18" t="s">
        <v>4180</v>
      </c>
      <c r="N614" s="18" t="s">
        <v>4181</v>
      </c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9" t="s">
        <v>4182</v>
      </c>
      <c r="B615" s="20" t="s">
        <v>4183</v>
      </c>
      <c r="C615" s="20" t="s">
        <v>4184</v>
      </c>
      <c r="D615" s="20" t="s">
        <v>17</v>
      </c>
      <c r="E615" s="20" t="s">
        <v>18</v>
      </c>
      <c r="F615" s="20" t="s">
        <v>4185</v>
      </c>
      <c r="G615" s="21">
        <v>2166325.0</v>
      </c>
      <c r="H615" s="4"/>
      <c r="I615" s="2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9" t="s">
        <v>4186</v>
      </c>
      <c r="B616" s="20" t="s">
        <v>4187</v>
      </c>
      <c r="C616" s="20" t="s">
        <v>4188</v>
      </c>
      <c r="D616" s="20" t="s">
        <v>17</v>
      </c>
      <c r="E616" s="20" t="s">
        <v>18</v>
      </c>
      <c r="F616" s="20" t="s">
        <v>4189</v>
      </c>
      <c r="G616" s="21">
        <v>2160618.0</v>
      </c>
      <c r="H616" s="4"/>
      <c r="I616" s="2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9" t="s">
        <v>4190</v>
      </c>
      <c r="B617" s="20" t="s">
        <v>4191</v>
      </c>
      <c r="C617" s="20" t="s">
        <v>4192</v>
      </c>
      <c r="D617" s="20" t="s">
        <v>17</v>
      </c>
      <c r="E617" s="20" t="s">
        <v>18</v>
      </c>
      <c r="F617" s="20" t="s">
        <v>4193</v>
      </c>
      <c r="G617" s="21">
        <v>2158263.0</v>
      </c>
      <c r="H617" s="4"/>
      <c r="I617" s="2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4" t="s">
        <v>4194</v>
      </c>
      <c r="B618" s="15" t="s">
        <v>4195</v>
      </c>
      <c r="C618" s="15" t="s">
        <v>4196</v>
      </c>
      <c r="D618" s="15" t="s">
        <v>17</v>
      </c>
      <c r="E618" s="15" t="s">
        <v>18</v>
      </c>
      <c r="F618" s="15" t="s">
        <v>4197</v>
      </c>
      <c r="G618" s="16">
        <v>2120517.0</v>
      </c>
      <c r="H618" s="17" t="str">
        <f>HYPERLINK("http://immigrationforum.org/","http://immigrationforum.org/")</f>
        <v>http://immigrationforum.org/</v>
      </c>
      <c r="I618" s="15" t="s">
        <v>20</v>
      </c>
      <c r="J618" s="18" t="s">
        <v>4198</v>
      </c>
      <c r="K618" s="18" t="s">
        <v>4199</v>
      </c>
      <c r="L618" s="18" t="s">
        <v>4200</v>
      </c>
      <c r="M618" s="18" t="s">
        <v>4201</v>
      </c>
      <c r="N618" s="18" t="s">
        <v>4202</v>
      </c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4" t="s">
        <v>4203</v>
      </c>
      <c r="B619" s="15" t="s">
        <v>4204</v>
      </c>
      <c r="C619" s="15" t="s">
        <v>4205</v>
      </c>
      <c r="D619" s="15" t="s">
        <v>17</v>
      </c>
      <c r="E619" s="15" t="s">
        <v>18</v>
      </c>
      <c r="F619" s="15" t="s">
        <v>4206</v>
      </c>
      <c r="G619" s="16">
        <v>2118841.0</v>
      </c>
      <c r="H619" s="17" t="str">
        <f>HYPERLINK("http://www.samaritaninns.org/","http://www.samaritaninns.org/")</f>
        <v>http://www.samaritaninns.org/</v>
      </c>
      <c r="I619" s="15" t="s">
        <v>20</v>
      </c>
      <c r="J619" s="18" t="s">
        <v>3413</v>
      </c>
      <c r="K619" s="18" t="s">
        <v>4207</v>
      </c>
      <c r="L619" s="18" t="s">
        <v>4208</v>
      </c>
      <c r="M619" s="18" t="s">
        <v>4209</v>
      </c>
      <c r="N619" s="18" t="s">
        <v>4210</v>
      </c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4" t="s">
        <v>4211</v>
      </c>
      <c r="B620" s="15" t="s">
        <v>4212</v>
      </c>
      <c r="C620" s="15" t="s">
        <v>4213</v>
      </c>
      <c r="D620" s="15" t="s">
        <v>17</v>
      </c>
      <c r="E620" s="15" t="s">
        <v>18</v>
      </c>
      <c r="F620" s="15" t="s">
        <v>4214</v>
      </c>
      <c r="G620" s="16">
        <v>2115362.0</v>
      </c>
      <c r="H620" s="17" t="str">
        <f>HYPERLINK("http://ishdc.org/","http://ishdc.org/")</f>
        <v>http://ishdc.org/</v>
      </c>
      <c r="I620" s="15" t="s">
        <v>20</v>
      </c>
      <c r="J620" s="18" t="s">
        <v>4215</v>
      </c>
      <c r="K620" s="18" t="s">
        <v>202</v>
      </c>
      <c r="L620" s="18" t="s">
        <v>4216</v>
      </c>
      <c r="M620" s="18" t="s">
        <v>4217</v>
      </c>
      <c r="N620" s="18" t="s">
        <v>4218</v>
      </c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4" t="s">
        <v>4219</v>
      </c>
      <c r="B621" s="15" t="s">
        <v>4220</v>
      </c>
      <c r="C621" s="15" t="s">
        <v>4221</v>
      </c>
      <c r="D621" s="15" t="s">
        <v>17</v>
      </c>
      <c r="E621" s="15" t="s">
        <v>18</v>
      </c>
      <c r="F621" s="15" t="s">
        <v>4222</v>
      </c>
      <c r="G621" s="16">
        <v>2109297.0</v>
      </c>
      <c r="H621" s="17" t="str">
        <f>HYPERLINK("https://www.cir-usa.org/","https://www.cir-usa.org/")</f>
        <v>https://www.cir-usa.org/</v>
      </c>
      <c r="I621" s="15" t="s">
        <v>20</v>
      </c>
      <c r="J621" s="18" t="s">
        <v>1041</v>
      </c>
      <c r="K621" s="18" t="s">
        <v>3053</v>
      </c>
      <c r="L621" s="18" t="s">
        <v>4223</v>
      </c>
      <c r="M621" s="18" t="s">
        <v>4224</v>
      </c>
      <c r="N621" s="18" t="s">
        <v>4225</v>
      </c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9" t="s">
        <v>4226</v>
      </c>
      <c r="B622" s="20" t="s">
        <v>4227</v>
      </c>
      <c r="C622" s="20" t="s">
        <v>4228</v>
      </c>
      <c r="D622" s="20" t="s">
        <v>17</v>
      </c>
      <c r="E622" s="20" t="s">
        <v>18</v>
      </c>
      <c r="F622" s="20" t="s">
        <v>4229</v>
      </c>
      <c r="G622" s="21">
        <v>2099993.0</v>
      </c>
      <c r="H622" s="4"/>
      <c r="I622" s="2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4" t="s">
        <v>4230</v>
      </c>
      <c r="B623" s="15" t="s">
        <v>4231</v>
      </c>
      <c r="C623" s="15" t="s">
        <v>4232</v>
      </c>
      <c r="D623" s="15" t="s">
        <v>17</v>
      </c>
      <c r="E623" s="15" t="s">
        <v>18</v>
      </c>
      <c r="F623" s="15" t="s">
        <v>4233</v>
      </c>
      <c r="G623" s="16">
        <v>2097963.0</v>
      </c>
      <c r="H623" s="17" t="str">
        <f>HYPERLINK("http://refugeassociation.org/","http://refugeassociation.org/")</f>
        <v>http://refugeassociation.org/</v>
      </c>
      <c r="I623" s="15" t="s">
        <v>20</v>
      </c>
      <c r="J623" s="18" t="s">
        <v>4234</v>
      </c>
      <c r="K623" s="18" t="s">
        <v>1542</v>
      </c>
      <c r="L623" s="18" t="s">
        <v>4235</v>
      </c>
      <c r="M623" s="18" t="s">
        <v>4236</v>
      </c>
      <c r="N623" s="18" t="s">
        <v>4237</v>
      </c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4" t="s">
        <v>4238</v>
      </c>
      <c r="B624" s="15" t="s">
        <v>4239</v>
      </c>
      <c r="C624" s="15" t="s">
        <v>4240</v>
      </c>
      <c r="D624" s="15" t="s">
        <v>17</v>
      </c>
      <c r="E624" s="15" t="s">
        <v>18</v>
      </c>
      <c r="F624" s="15" t="s">
        <v>4241</v>
      </c>
      <c r="G624" s="16">
        <v>2097421.0</v>
      </c>
      <c r="H624" s="17" t="str">
        <f>HYPERLINK("http://www.usmexicofound.org/","http://www.usmexicofound.org/")</f>
        <v>http://www.usmexicofound.org/</v>
      </c>
      <c r="I624" s="15" t="s">
        <v>20</v>
      </c>
      <c r="J624" s="18" t="s">
        <v>1375</v>
      </c>
      <c r="K624" s="18" t="s">
        <v>1305</v>
      </c>
      <c r="L624" s="18" t="s">
        <v>1376</v>
      </c>
      <c r="M624" s="18" t="s">
        <v>1377</v>
      </c>
      <c r="N624" s="18" t="s">
        <v>1378</v>
      </c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4" t="s">
        <v>4242</v>
      </c>
      <c r="B625" s="15" t="s">
        <v>4243</v>
      </c>
      <c r="C625" s="15" t="s">
        <v>4244</v>
      </c>
      <c r="D625" s="15" t="s">
        <v>17</v>
      </c>
      <c r="E625" s="15" t="s">
        <v>18</v>
      </c>
      <c r="F625" s="15" t="s">
        <v>4245</v>
      </c>
      <c r="G625" s="16">
        <v>2088017.0</v>
      </c>
      <c r="H625" s="17" t="str">
        <f>HYPERLINK("http://afgj.org/","http://afgj.org/")</f>
        <v>http://afgj.org/</v>
      </c>
      <c r="I625" s="15" t="s">
        <v>20</v>
      </c>
      <c r="J625" s="18" t="s">
        <v>4246</v>
      </c>
      <c r="K625" s="18" t="s">
        <v>1865</v>
      </c>
      <c r="L625" s="18" t="s">
        <v>4247</v>
      </c>
      <c r="M625" s="18" t="s">
        <v>4248</v>
      </c>
      <c r="N625" s="18" t="s">
        <v>4249</v>
      </c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4" t="s">
        <v>4250</v>
      </c>
      <c r="B626" s="15" t="s">
        <v>4251</v>
      </c>
      <c r="C626" s="15" t="s">
        <v>4252</v>
      </c>
      <c r="D626" s="15" t="s">
        <v>17</v>
      </c>
      <c r="E626" s="15" t="s">
        <v>18</v>
      </c>
      <c r="F626" s="15" t="s">
        <v>4253</v>
      </c>
      <c r="G626" s="16">
        <v>2087291.0</v>
      </c>
      <c r="H626" s="17" t="str">
        <f>HYPERLINK("http://www.tudorplace.org/","http://www.tudorplace.org/")</f>
        <v>http://www.tudorplace.org/</v>
      </c>
      <c r="I626" s="15" t="s">
        <v>20</v>
      </c>
      <c r="J626" s="18" t="s">
        <v>4254</v>
      </c>
      <c r="K626" s="18" t="s">
        <v>4255</v>
      </c>
      <c r="L626" s="18" t="s">
        <v>4256</v>
      </c>
      <c r="M626" s="18" t="s">
        <v>4257</v>
      </c>
      <c r="N626" s="18" t="s">
        <v>4258</v>
      </c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4" t="s">
        <v>4259</v>
      </c>
      <c r="B627" s="15" t="s">
        <v>4260</v>
      </c>
      <c r="C627" s="15" t="s">
        <v>4261</v>
      </c>
      <c r="D627" s="15" t="s">
        <v>17</v>
      </c>
      <c r="E627" s="15" t="s">
        <v>18</v>
      </c>
      <c r="F627" s="15" t="s">
        <v>4262</v>
      </c>
      <c r="G627" s="16">
        <v>2085998.0</v>
      </c>
      <c r="H627" s="17" t="str">
        <f>HYPERLINK("http://www.deaf-reach.org/","http://www.deaf-reach.org/")</f>
        <v>http://www.deaf-reach.org/</v>
      </c>
      <c r="I627" s="15" t="s">
        <v>20</v>
      </c>
      <c r="J627" s="18" t="s">
        <v>1287</v>
      </c>
      <c r="K627" s="18" t="s">
        <v>270</v>
      </c>
      <c r="L627" s="18" t="s">
        <v>3966</v>
      </c>
      <c r="M627" s="18" t="s">
        <v>4263</v>
      </c>
      <c r="N627" s="18" t="s">
        <v>4264</v>
      </c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9" t="s">
        <v>4265</v>
      </c>
      <c r="B628" s="20" t="s">
        <v>4266</v>
      </c>
      <c r="C628" s="20" t="s">
        <v>4267</v>
      </c>
      <c r="D628" s="20" t="s">
        <v>17</v>
      </c>
      <c r="E628" s="20" t="s">
        <v>18</v>
      </c>
      <c r="F628" s="20" t="s">
        <v>2591</v>
      </c>
      <c r="G628" s="21">
        <v>2068163.0</v>
      </c>
      <c r="H628" s="4"/>
      <c r="I628" s="2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4" t="s">
        <v>4268</v>
      </c>
      <c r="B629" s="15" t="s">
        <v>4269</v>
      </c>
      <c r="C629" s="15" t="s">
        <v>4270</v>
      </c>
      <c r="D629" s="15" t="s">
        <v>17</v>
      </c>
      <c r="E629" s="15" t="s">
        <v>18</v>
      </c>
      <c r="F629" s="15" t="s">
        <v>3847</v>
      </c>
      <c r="G629" s="16">
        <v>2058326.0</v>
      </c>
      <c r="H629" s="17" t="str">
        <f>HYPERLINK("http://abc2.org/","http://abc2.org/")</f>
        <v>http://abc2.org/</v>
      </c>
      <c r="I629" s="15" t="s">
        <v>20</v>
      </c>
      <c r="J629" s="18" t="s">
        <v>4271</v>
      </c>
      <c r="K629" s="18" t="s">
        <v>4272</v>
      </c>
      <c r="L629" s="18" t="s">
        <v>4273</v>
      </c>
      <c r="M629" s="18" t="s">
        <v>4274</v>
      </c>
      <c r="N629" s="18" t="s">
        <v>4275</v>
      </c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4" t="s">
        <v>4276</v>
      </c>
      <c r="B630" s="15" t="s">
        <v>4277</v>
      </c>
      <c r="C630" s="15" t="s">
        <v>4278</v>
      </c>
      <c r="D630" s="15" t="s">
        <v>17</v>
      </c>
      <c r="E630" s="15" t="s">
        <v>18</v>
      </c>
      <c r="F630" s="15" t="s">
        <v>4279</v>
      </c>
      <c r="G630" s="16">
        <v>2052961.0</v>
      </c>
      <c r="H630" s="17" t="str">
        <f>HYPERLINK("http://www.cis.org/","http://www.cis.org/")</f>
        <v>http://www.cis.org/</v>
      </c>
      <c r="I630" s="15" t="s">
        <v>20</v>
      </c>
      <c r="J630" s="18" t="s">
        <v>1287</v>
      </c>
      <c r="K630" s="18" t="s">
        <v>1665</v>
      </c>
      <c r="L630" s="18" t="s">
        <v>4280</v>
      </c>
      <c r="M630" s="18" t="s">
        <v>4281</v>
      </c>
      <c r="N630" s="18" t="s">
        <v>4282</v>
      </c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4" t="s">
        <v>4283</v>
      </c>
      <c r="B631" s="15" t="s">
        <v>4284</v>
      </c>
      <c r="C631" s="15" t="s">
        <v>4285</v>
      </c>
      <c r="D631" s="15" t="s">
        <v>17</v>
      </c>
      <c r="E631" s="15" t="s">
        <v>18</v>
      </c>
      <c r="F631" s="15" t="s">
        <v>4286</v>
      </c>
      <c r="G631" s="16">
        <v>2045919.0</v>
      </c>
      <c r="H631" s="17" t="str">
        <f>HYPERLINK("http://www.acpm.org/","http://www.acpm.org/")</f>
        <v>http://www.acpm.org/</v>
      </c>
      <c r="I631" s="15" t="s">
        <v>20</v>
      </c>
      <c r="J631" s="18" t="s">
        <v>21</v>
      </c>
      <c r="K631" s="18" t="s">
        <v>4287</v>
      </c>
      <c r="L631" s="18" t="s">
        <v>4288</v>
      </c>
      <c r="M631" s="18" t="s">
        <v>4289</v>
      </c>
      <c r="N631" s="18" t="s">
        <v>4290</v>
      </c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9" t="s">
        <v>4291</v>
      </c>
      <c r="B632" s="20" t="s">
        <v>4292</v>
      </c>
      <c r="C632" s="20" t="s">
        <v>4293</v>
      </c>
      <c r="D632" s="20" t="s">
        <v>17</v>
      </c>
      <c r="E632" s="20" t="s">
        <v>18</v>
      </c>
      <c r="F632" s="20" t="s">
        <v>4294</v>
      </c>
      <c r="G632" s="21">
        <v>2044315.0</v>
      </c>
      <c r="H632" s="4"/>
      <c r="I632" s="2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4" t="s">
        <v>4295</v>
      </c>
      <c r="B633" s="15" t="s">
        <v>4296</v>
      </c>
      <c r="C633" s="15" t="s">
        <v>4297</v>
      </c>
      <c r="D633" s="15" t="s">
        <v>17</v>
      </c>
      <c r="E633" s="15" t="s">
        <v>18</v>
      </c>
      <c r="F633" s="15" t="s">
        <v>4298</v>
      </c>
      <c r="G633" s="16">
        <v>2039113.0</v>
      </c>
      <c r="H633" s="17" t="str">
        <f>HYPERLINK("http://www.lutheranvolunteercorps.org/template/index.cfm","http://www.lutheranvolunteercorps.org/template/index.cfm")</f>
        <v>http://www.lutheranvolunteercorps.org/template/index.cfm</v>
      </c>
      <c r="I633" s="15" t="s">
        <v>20</v>
      </c>
      <c r="J633" s="18" t="s">
        <v>456</v>
      </c>
      <c r="K633" s="18" t="s">
        <v>4299</v>
      </c>
      <c r="L633" s="18" t="s">
        <v>4300</v>
      </c>
      <c r="M633" s="18" t="s">
        <v>4301</v>
      </c>
      <c r="N633" s="18" t="s">
        <v>4302</v>
      </c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9" t="s">
        <v>4303</v>
      </c>
      <c r="B634" s="20" t="s">
        <v>4304</v>
      </c>
      <c r="C634" s="20" t="s">
        <v>4305</v>
      </c>
      <c r="D634" s="20" t="s">
        <v>17</v>
      </c>
      <c r="E634" s="20" t="s">
        <v>18</v>
      </c>
      <c r="F634" s="20" t="s">
        <v>4306</v>
      </c>
      <c r="G634" s="21">
        <v>2037547.0</v>
      </c>
      <c r="H634" s="4"/>
      <c r="I634" s="2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4" t="s">
        <v>4307</v>
      </c>
      <c r="B635" s="15" t="s">
        <v>4308</v>
      </c>
      <c r="C635" s="15" t="s">
        <v>4309</v>
      </c>
      <c r="D635" s="15" t="s">
        <v>17</v>
      </c>
      <c r="E635" s="15" t="s">
        <v>18</v>
      </c>
      <c r="F635" s="15" t="s">
        <v>4310</v>
      </c>
      <c r="G635" s="16">
        <v>2031591.0</v>
      </c>
      <c r="H635" s="17" t="str">
        <f>HYPERLINK("http://www.laborrights.org/","http://www.laborrights.org/")</f>
        <v>http://www.laborrights.org/</v>
      </c>
      <c r="I635" s="15" t="s">
        <v>20</v>
      </c>
      <c r="J635" s="18" t="s">
        <v>4311</v>
      </c>
      <c r="K635" s="18" t="s">
        <v>4312</v>
      </c>
      <c r="L635" s="18" t="s">
        <v>4313</v>
      </c>
      <c r="M635" s="18"/>
      <c r="N635" s="18" t="s">
        <v>4314</v>
      </c>
      <c r="O635" s="18" t="s">
        <v>25</v>
      </c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4" t="s">
        <v>4315</v>
      </c>
      <c r="B636" s="15" t="s">
        <v>4316</v>
      </c>
      <c r="C636" s="15" t="s">
        <v>4317</v>
      </c>
      <c r="D636" s="15" t="s">
        <v>17</v>
      </c>
      <c r="E636" s="15" t="s">
        <v>18</v>
      </c>
      <c r="F636" s="15" t="s">
        <v>4318</v>
      </c>
      <c r="G636" s="16">
        <v>2031536.0</v>
      </c>
      <c r="H636" s="17" t="str">
        <f>HYPERLINK("https://www.publicknowledge.org/","https://www.publicknowledge.org/")</f>
        <v>https://www.publicknowledge.org/</v>
      </c>
      <c r="I636" s="15" t="s">
        <v>20</v>
      </c>
      <c r="J636" s="18" t="s">
        <v>3379</v>
      </c>
      <c r="K636" s="18" t="s">
        <v>4319</v>
      </c>
      <c r="L636" s="18" t="s">
        <v>4320</v>
      </c>
      <c r="M636" s="18" t="s">
        <v>4321</v>
      </c>
      <c r="N636" s="18" t="s">
        <v>4322</v>
      </c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4" t="s">
        <v>4323</v>
      </c>
      <c r="B637" s="15" t="s">
        <v>4324</v>
      </c>
      <c r="C637" s="15" t="s">
        <v>4325</v>
      </c>
      <c r="D637" s="15" t="s">
        <v>17</v>
      </c>
      <c r="E637" s="15" t="s">
        <v>18</v>
      </c>
      <c r="F637" s="15" t="s">
        <v>4326</v>
      </c>
      <c r="G637" s="16">
        <v>2021762.0</v>
      </c>
      <c r="H637" s="17" t="str">
        <f>HYPERLINK("http://www.fona.org/","http://www.fona.org/")</f>
        <v>http://www.fona.org/</v>
      </c>
      <c r="I637" s="15" t="s">
        <v>20</v>
      </c>
      <c r="J637" s="18" t="s">
        <v>4327</v>
      </c>
      <c r="K637" s="18" t="s">
        <v>2186</v>
      </c>
      <c r="L637" s="18" t="s">
        <v>4328</v>
      </c>
      <c r="M637" s="18" t="s">
        <v>4329</v>
      </c>
      <c r="N637" s="18" t="s">
        <v>4330</v>
      </c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4" t="s">
        <v>4331</v>
      </c>
      <c r="B638" s="15" t="s">
        <v>4332</v>
      </c>
      <c r="C638" s="15" t="s">
        <v>4333</v>
      </c>
      <c r="D638" s="15" t="s">
        <v>17</v>
      </c>
      <c r="E638" s="15" t="s">
        <v>18</v>
      </c>
      <c r="F638" s="15" t="s">
        <v>4334</v>
      </c>
      <c r="G638" s="16">
        <v>2015747.0</v>
      </c>
      <c r="H638" s="17" t="str">
        <f>HYPERLINK("http://www.miriamskitchen.org/","http://www.miriamskitchen.org/")</f>
        <v>http://www.miriamskitchen.org/</v>
      </c>
      <c r="I638" s="15" t="s">
        <v>20</v>
      </c>
      <c r="J638" s="18" t="s">
        <v>4335</v>
      </c>
      <c r="K638" s="18" t="s">
        <v>4336</v>
      </c>
      <c r="L638" s="18" t="s">
        <v>4337</v>
      </c>
      <c r="M638" s="18" t="s">
        <v>4338</v>
      </c>
      <c r="N638" s="18" t="s">
        <v>4339</v>
      </c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9" t="s">
        <v>4340</v>
      </c>
      <c r="B639" s="20" t="s">
        <v>4341</v>
      </c>
      <c r="C639" s="20" t="s">
        <v>4342</v>
      </c>
      <c r="D639" s="20" t="s">
        <v>17</v>
      </c>
      <c r="E639" s="20" t="s">
        <v>18</v>
      </c>
      <c r="F639" s="20" t="s">
        <v>1646</v>
      </c>
      <c r="G639" s="21">
        <v>2005559.0</v>
      </c>
      <c r="H639" s="4"/>
      <c r="I639" s="2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4" t="s">
        <v>4343</v>
      </c>
      <c r="B640" s="15" t="s">
        <v>4344</v>
      </c>
      <c r="C640" s="15" t="s">
        <v>4345</v>
      </c>
      <c r="D640" s="15" t="s">
        <v>17</v>
      </c>
      <c r="E640" s="15" t="s">
        <v>18</v>
      </c>
      <c r="F640" s="15" t="s">
        <v>4346</v>
      </c>
      <c r="G640" s="16">
        <v>2004876.0</v>
      </c>
      <c r="H640" s="17" t="str">
        <f>HYPERLINK("http://www.focusdc.org/","http://www.focusdc.org/")</f>
        <v>http://www.focusdc.org/</v>
      </c>
      <c r="I640" s="15" t="s">
        <v>20</v>
      </c>
      <c r="J640" s="18" t="s">
        <v>4347</v>
      </c>
      <c r="K640" s="18" t="s">
        <v>4348</v>
      </c>
      <c r="L640" s="18" t="s">
        <v>4349</v>
      </c>
      <c r="M640" s="18" t="s">
        <v>4350</v>
      </c>
      <c r="N640" s="18" t="s">
        <v>4351</v>
      </c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4" t="s">
        <v>4352</v>
      </c>
      <c r="B641" s="15" t="s">
        <v>4353</v>
      </c>
      <c r="C641" s="15" t="s">
        <v>2280</v>
      </c>
      <c r="D641" s="15" t="s">
        <v>17</v>
      </c>
      <c r="E641" s="15" t="s">
        <v>18</v>
      </c>
      <c r="F641" s="15" t="s">
        <v>2281</v>
      </c>
      <c r="G641" s="16">
        <v>2002075.0</v>
      </c>
      <c r="H641" s="17" t="str">
        <f>HYPERLINK("http://www.culturaltourismdc.org/portal/","http://www.culturaltourismdc.org/portal/")</f>
        <v>http://www.culturaltourismdc.org/portal/</v>
      </c>
      <c r="I641" s="15" t="s">
        <v>20</v>
      </c>
      <c r="J641" s="18" t="s">
        <v>4354</v>
      </c>
      <c r="K641" s="18" t="s">
        <v>387</v>
      </c>
      <c r="L641" s="18" t="s">
        <v>4355</v>
      </c>
      <c r="M641" s="18" t="s">
        <v>4356</v>
      </c>
      <c r="N641" s="18" t="s">
        <v>4357</v>
      </c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H2"/>
    <hyperlink r:id="rId2" ref="H3"/>
    <hyperlink r:id="rId3" ref="H4"/>
    <hyperlink r:id="rId4" ref="H6"/>
    <hyperlink r:id="rId5" ref="H8"/>
    <hyperlink r:id="rId6" ref="H9"/>
    <hyperlink r:id="rId7" ref="H10"/>
    <hyperlink r:id="rId8" ref="H11"/>
    <hyperlink r:id="rId9" ref="H12"/>
    <hyperlink r:id="rId10" ref="H13"/>
    <hyperlink r:id="rId11" ref="H14"/>
    <hyperlink r:id="rId12" ref="H15"/>
    <hyperlink r:id="rId13" ref="H16"/>
    <hyperlink r:id="rId14" ref="H18"/>
    <hyperlink r:id="rId15" ref="H19"/>
    <hyperlink r:id="rId16" ref="H20"/>
    <hyperlink r:id="rId17" ref="H21"/>
    <hyperlink r:id="rId18" ref="H24"/>
    <hyperlink r:id="rId19" ref="H25"/>
    <hyperlink r:id="rId20" ref="H26"/>
    <hyperlink r:id="rId21" ref="H28"/>
    <hyperlink r:id="rId22" ref="H30"/>
    <hyperlink r:id="rId23" ref="H31"/>
    <hyperlink r:id="rId24" ref="H32"/>
    <hyperlink r:id="rId25" ref="H33"/>
    <hyperlink r:id="rId26" ref="H34"/>
    <hyperlink r:id="rId27" ref="H36"/>
    <hyperlink r:id="rId28" ref="H37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1"/>
    <hyperlink r:id="rId40" ref="H52"/>
    <hyperlink r:id="rId41" ref="H54"/>
    <hyperlink r:id="rId42" ref="H55"/>
    <hyperlink r:id="rId43" ref="H57"/>
    <hyperlink r:id="rId44" ref="H58"/>
    <hyperlink r:id="rId45" ref="H59"/>
    <hyperlink r:id="rId46" ref="H60"/>
    <hyperlink r:id="rId47" ref="H61"/>
    <hyperlink r:id="rId48" ref="H62"/>
    <hyperlink r:id="rId49" ref="H65"/>
    <hyperlink r:id="rId50" ref="H67"/>
    <hyperlink r:id="rId51" ref="H68"/>
    <hyperlink r:id="rId52" ref="H69"/>
    <hyperlink r:id="rId53" ref="H70"/>
    <hyperlink r:id="rId54" ref="H71"/>
    <hyperlink r:id="rId55" ref="H73"/>
    <hyperlink r:id="rId56" ref="H75"/>
    <hyperlink r:id="rId57" ref="H76"/>
    <hyperlink r:id="rId58" ref="H77"/>
    <hyperlink r:id="rId59" ref="H78"/>
    <hyperlink r:id="rId60" ref="H79"/>
    <hyperlink r:id="rId61" ref="H80"/>
    <hyperlink r:id="rId62" ref="H81"/>
    <hyperlink r:id="rId63" ref="H83"/>
    <hyperlink r:id="rId64" ref="H84"/>
    <hyperlink r:id="rId65" ref="H85"/>
    <hyperlink r:id="rId66" ref="H86"/>
    <hyperlink r:id="rId67" ref="H88"/>
    <hyperlink r:id="rId68" ref="H89"/>
    <hyperlink r:id="rId69" ref="H90"/>
    <hyperlink r:id="rId70" ref="H91"/>
    <hyperlink r:id="rId71" ref="H92"/>
    <hyperlink r:id="rId72" ref="H93"/>
    <hyperlink r:id="rId73" ref="H94"/>
    <hyperlink r:id="rId74" ref="H95"/>
    <hyperlink r:id="rId75" ref="H97"/>
    <hyperlink r:id="rId76" ref="H98"/>
    <hyperlink r:id="rId77" ref="H100"/>
    <hyperlink r:id="rId78" ref="H101"/>
    <hyperlink r:id="rId79" ref="H103"/>
    <hyperlink r:id="rId80" ref="H104"/>
    <hyperlink r:id="rId81" ref="H107"/>
    <hyperlink r:id="rId82" ref="H108"/>
    <hyperlink r:id="rId83" ref="H109"/>
    <hyperlink r:id="rId84" ref="H111"/>
    <hyperlink r:id="rId85" ref="H112"/>
    <hyperlink r:id="rId86" ref="H113"/>
    <hyperlink r:id="rId87" ref="H114"/>
    <hyperlink r:id="rId88" ref="H116"/>
    <hyperlink r:id="rId89" ref="H117"/>
    <hyperlink r:id="rId90" ref="H118"/>
    <hyperlink r:id="rId91" ref="H119"/>
    <hyperlink r:id="rId92" ref="H120"/>
    <hyperlink r:id="rId93" ref="H121"/>
    <hyperlink r:id="rId94" ref="H122"/>
    <hyperlink r:id="rId95" ref="H126"/>
    <hyperlink r:id="rId96" ref="H127"/>
    <hyperlink r:id="rId97" ref="H128"/>
    <hyperlink r:id="rId98" ref="H129"/>
    <hyperlink r:id="rId99" ref="H130"/>
    <hyperlink r:id="rId100" ref="H131"/>
    <hyperlink r:id="rId101" ref="H132"/>
    <hyperlink r:id="rId102" ref="H134"/>
    <hyperlink r:id="rId103" ref="H135"/>
    <hyperlink r:id="rId104" ref="H136"/>
    <hyperlink r:id="rId105" ref="H137"/>
    <hyperlink r:id="rId106" ref="H139"/>
    <hyperlink r:id="rId107" ref="H142"/>
    <hyperlink r:id="rId108" ref="H143"/>
    <hyperlink r:id="rId109" ref="H144"/>
    <hyperlink r:id="rId110" ref="H145"/>
    <hyperlink r:id="rId111" ref="H146"/>
    <hyperlink r:id="rId112" ref="H147"/>
    <hyperlink r:id="rId113" ref="H148"/>
    <hyperlink r:id="rId114" ref="H149"/>
    <hyperlink r:id="rId115" ref="H150"/>
    <hyperlink r:id="rId116" ref="H151"/>
    <hyperlink r:id="rId117" ref="H152"/>
    <hyperlink r:id="rId118" ref="H154"/>
    <hyperlink r:id="rId119" ref="H155"/>
    <hyperlink r:id="rId120" ref="H158"/>
    <hyperlink r:id="rId121" ref="H160"/>
    <hyperlink r:id="rId122" ref="H161"/>
    <hyperlink r:id="rId123" ref="H162"/>
    <hyperlink r:id="rId124" ref="H164"/>
    <hyperlink r:id="rId125" ref="H165"/>
    <hyperlink r:id="rId126" ref="H166"/>
    <hyperlink r:id="rId127" ref="H168"/>
    <hyperlink r:id="rId128" ref="H169"/>
    <hyperlink r:id="rId129" ref="H170"/>
    <hyperlink r:id="rId130" ref="H171"/>
    <hyperlink r:id="rId131" ref="H172"/>
    <hyperlink r:id="rId132" ref="H173"/>
    <hyperlink r:id="rId133" ref="H174"/>
    <hyperlink r:id="rId134" ref="H175"/>
    <hyperlink r:id="rId135" ref="H176"/>
    <hyperlink r:id="rId136" ref="H177"/>
    <hyperlink r:id="rId137" ref="H178"/>
    <hyperlink r:id="rId138" ref="H179"/>
    <hyperlink r:id="rId139" ref="H180"/>
    <hyperlink r:id="rId140" ref="H181"/>
    <hyperlink r:id="rId141" ref="H182"/>
    <hyperlink r:id="rId142" ref="H183"/>
    <hyperlink r:id="rId143" ref="H184"/>
    <hyperlink r:id="rId144" ref="H185"/>
    <hyperlink r:id="rId145" ref="H186"/>
    <hyperlink r:id="rId146" ref="H187"/>
    <hyperlink r:id="rId147" ref="H188"/>
    <hyperlink r:id="rId148" ref="H189"/>
    <hyperlink r:id="rId149" ref="H190"/>
    <hyperlink r:id="rId150" ref="H191"/>
    <hyperlink r:id="rId151" ref="H192"/>
    <hyperlink r:id="rId152" ref="H193"/>
    <hyperlink r:id="rId153" ref="H194"/>
    <hyperlink r:id="rId154" ref="H195"/>
    <hyperlink r:id="rId155" ref="H197"/>
    <hyperlink r:id="rId156" ref="H198"/>
    <hyperlink r:id="rId157" ref="H199"/>
    <hyperlink r:id="rId158" ref="H200"/>
    <hyperlink r:id="rId159" ref="H201"/>
    <hyperlink r:id="rId160" ref="H202"/>
    <hyperlink r:id="rId161" ref="H203"/>
    <hyperlink r:id="rId162" ref="H204"/>
    <hyperlink r:id="rId163" ref="H205"/>
    <hyperlink r:id="rId164" ref="H206"/>
    <hyperlink r:id="rId165" ref="H207"/>
    <hyperlink r:id="rId166" ref="H209"/>
    <hyperlink r:id="rId167" ref="H210"/>
    <hyperlink r:id="rId168" ref="H211"/>
    <hyperlink r:id="rId169" ref="H212"/>
    <hyperlink r:id="rId170" ref="H213"/>
    <hyperlink r:id="rId171" ref="H215"/>
    <hyperlink r:id="rId172" ref="H216"/>
    <hyperlink r:id="rId173" ref="H217"/>
    <hyperlink r:id="rId174" ref="H218"/>
    <hyperlink r:id="rId175" ref="H219"/>
    <hyperlink r:id="rId176" ref="H220"/>
    <hyperlink r:id="rId177" ref="H221"/>
    <hyperlink r:id="rId178" ref="H222"/>
    <hyperlink r:id="rId179" ref="H224"/>
    <hyperlink r:id="rId180" ref="H226"/>
    <hyperlink r:id="rId181" ref="H227"/>
    <hyperlink r:id="rId182" ref="H228"/>
    <hyperlink r:id="rId183" ref="H230"/>
    <hyperlink r:id="rId184" ref="H231"/>
    <hyperlink r:id="rId185" ref="H232"/>
    <hyperlink r:id="rId186" ref="H233"/>
    <hyperlink r:id="rId187" ref="H235"/>
    <hyperlink r:id="rId188" ref="H236"/>
    <hyperlink r:id="rId189" ref="H237"/>
    <hyperlink r:id="rId190" ref="H239"/>
    <hyperlink r:id="rId191" ref="H241"/>
    <hyperlink r:id="rId192" ref="H243"/>
    <hyperlink r:id="rId193" ref="H245"/>
    <hyperlink r:id="rId194" ref="H246"/>
    <hyperlink r:id="rId195" ref="H247"/>
    <hyperlink r:id="rId196" ref="H248"/>
    <hyperlink r:id="rId197" ref="H249"/>
    <hyperlink r:id="rId198" ref="H250"/>
    <hyperlink r:id="rId199" ref="H251"/>
    <hyperlink r:id="rId200" ref="H254"/>
    <hyperlink r:id="rId201" ref="H255"/>
    <hyperlink r:id="rId202" ref="H256"/>
    <hyperlink r:id="rId203" ref="H257"/>
    <hyperlink r:id="rId204" ref="H259"/>
    <hyperlink r:id="rId205" ref="H260"/>
    <hyperlink r:id="rId206" ref="H262"/>
    <hyperlink r:id="rId207" ref="H265"/>
    <hyperlink r:id="rId208" ref="H266"/>
    <hyperlink r:id="rId209" ref="H269"/>
    <hyperlink r:id="rId210" ref="H270"/>
    <hyperlink r:id="rId211" ref="H271"/>
    <hyperlink r:id="rId212" ref="H272"/>
    <hyperlink r:id="rId213" ref="H274"/>
    <hyperlink r:id="rId214" ref="H275"/>
    <hyperlink r:id="rId215" ref="H276"/>
    <hyperlink r:id="rId216" ref="H277"/>
    <hyperlink r:id="rId217" ref="H278"/>
    <hyperlink r:id="rId218" ref="H280"/>
    <hyperlink r:id="rId219" ref="H281"/>
    <hyperlink r:id="rId220" ref="H285"/>
    <hyperlink r:id="rId221" ref="H286"/>
    <hyperlink r:id="rId222" ref="H288"/>
    <hyperlink r:id="rId223" ref="H292"/>
    <hyperlink r:id="rId224" ref="H293"/>
    <hyperlink r:id="rId225" ref="H294"/>
    <hyperlink r:id="rId226" ref="H296"/>
    <hyperlink r:id="rId227" ref="H297"/>
    <hyperlink r:id="rId228" ref="H299"/>
    <hyperlink r:id="rId229" ref="H300"/>
    <hyperlink r:id="rId230" ref="H301"/>
    <hyperlink r:id="rId231" ref="H302"/>
    <hyperlink r:id="rId232" ref="H304"/>
    <hyperlink r:id="rId233" ref="H305"/>
    <hyperlink r:id="rId234" ref="H306"/>
    <hyperlink r:id="rId235" ref="H307"/>
    <hyperlink r:id="rId236" ref="H308"/>
    <hyperlink r:id="rId237" ref="H309"/>
    <hyperlink r:id="rId238" ref="H310"/>
    <hyperlink r:id="rId239" ref="H311"/>
    <hyperlink r:id="rId240" ref="H312"/>
    <hyperlink r:id="rId241" ref="H314"/>
    <hyperlink r:id="rId242" ref="H315"/>
    <hyperlink r:id="rId243" ref="H317"/>
    <hyperlink r:id="rId244" ref="H318"/>
    <hyperlink r:id="rId245" ref="H319"/>
    <hyperlink r:id="rId246" ref="H320"/>
    <hyperlink r:id="rId247" ref="H322"/>
    <hyperlink r:id="rId248" ref="H323"/>
    <hyperlink r:id="rId249" ref="H325"/>
    <hyperlink r:id="rId250" ref="H326"/>
    <hyperlink r:id="rId251" ref="H328"/>
    <hyperlink r:id="rId252" ref="H329"/>
    <hyperlink r:id="rId253" ref="H330"/>
    <hyperlink r:id="rId254" ref="H331"/>
    <hyperlink r:id="rId255" ref="H332"/>
    <hyperlink r:id="rId256" ref="H338"/>
    <hyperlink r:id="rId257" ref="H339"/>
    <hyperlink r:id="rId258" ref="H340"/>
    <hyperlink r:id="rId259" ref="H341"/>
    <hyperlink r:id="rId260" ref="H342"/>
    <hyperlink r:id="rId261" ref="H343"/>
    <hyperlink r:id="rId262" ref="H345"/>
    <hyperlink r:id="rId263" ref="H346"/>
    <hyperlink r:id="rId264" ref="H348"/>
    <hyperlink r:id="rId265" ref="H349"/>
    <hyperlink r:id="rId266" ref="H350"/>
    <hyperlink r:id="rId267" ref="H351"/>
    <hyperlink r:id="rId268" ref="H352"/>
    <hyperlink r:id="rId269" ref="H353"/>
    <hyperlink r:id="rId270" ref="H354"/>
    <hyperlink r:id="rId271" ref="H356"/>
    <hyperlink r:id="rId272" ref="H358"/>
    <hyperlink r:id="rId273" ref="H359"/>
    <hyperlink r:id="rId274" ref="H360"/>
    <hyperlink r:id="rId275" ref="H361"/>
    <hyperlink r:id="rId276" ref="H362"/>
    <hyperlink r:id="rId277" ref="H364"/>
    <hyperlink r:id="rId278" ref="H367"/>
    <hyperlink r:id="rId279" ref="H368"/>
    <hyperlink r:id="rId280" ref="H369"/>
    <hyperlink r:id="rId281" ref="H372"/>
    <hyperlink r:id="rId282" ref="H373"/>
    <hyperlink r:id="rId283" ref="H374"/>
    <hyperlink r:id="rId284" ref="H375"/>
    <hyperlink r:id="rId285" ref="H377"/>
    <hyperlink r:id="rId286" ref="H379"/>
    <hyperlink r:id="rId287" ref="H380"/>
    <hyperlink r:id="rId288" ref="H382"/>
    <hyperlink r:id="rId289" ref="H383"/>
    <hyperlink r:id="rId290" ref="H384"/>
    <hyperlink r:id="rId291" ref="H385"/>
    <hyperlink r:id="rId292" ref="H386"/>
    <hyperlink r:id="rId293" ref="H387"/>
    <hyperlink r:id="rId294" ref="H388"/>
    <hyperlink r:id="rId295" ref="H391"/>
    <hyperlink r:id="rId296" ref="H392"/>
    <hyperlink r:id="rId297" ref="H394"/>
    <hyperlink r:id="rId298" ref="H395"/>
    <hyperlink r:id="rId299" ref="H396"/>
    <hyperlink r:id="rId300" ref="H397"/>
    <hyperlink r:id="rId301" ref="H398"/>
    <hyperlink r:id="rId302" ref="H399"/>
    <hyperlink r:id="rId303" ref="H400"/>
    <hyperlink r:id="rId304" ref="H401"/>
    <hyperlink r:id="rId305" ref="H402"/>
    <hyperlink r:id="rId306" ref="H406"/>
    <hyperlink r:id="rId307" ref="H407"/>
    <hyperlink r:id="rId308" ref="H408"/>
    <hyperlink r:id="rId309" ref="H410"/>
    <hyperlink r:id="rId310" ref="H416"/>
    <hyperlink r:id="rId311" ref="H417"/>
    <hyperlink r:id="rId312" ref="H419"/>
    <hyperlink r:id="rId313" ref="H420"/>
    <hyperlink r:id="rId314" ref="H422"/>
    <hyperlink r:id="rId315" ref="H427"/>
    <hyperlink r:id="rId316" ref="H428"/>
    <hyperlink r:id="rId317" ref="H430"/>
    <hyperlink r:id="rId318" ref="H431"/>
    <hyperlink r:id="rId319" ref="H432"/>
    <hyperlink r:id="rId320" ref="H436"/>
    <hyperlink r:id="rId321" ref="H438"/>
    <hyperlink r:id="rId322" ref="H441"/>
    <hyperlink r:id="rId323" ref="H442"/>
    <hyperlink r:id="rId324" ref="H443"/>
    <hyperlink r:id="rId325" ref="H444"/>
    <hyperlink r:id="rId326" ref="H445"/>
    <hyperlink r:id="rId327" ref="H446"/>
    <hyperlink r:id="rId328" ref="H447"/>
    <hyperlink r:id="rId329" ref="H449"/>
    <hyperlink r:id="rId330" ref="H450"/>
    <hyperlink r:id="rId331" ref="H451"/>
    <hyperlink r:id="rId332" ref="H452"/>
    <hyperlink r:id="rId333" ref="H453"/>
    <hyperlink r:id="rId334" ref="H454"/>
    <hyperlink r:id="rId335" ref="H455"/>
    <hyperlink r:id="rId336" ref="H456"/>
    <hyperlink r:id="rId337" ref="H457"/>
    <hyperlink r:id="rId338" ref="H458"/>
    <hyperlink r:id="rId339" ref="H460"/>
    <hyperlink r:id="rId340" ref="H461"/>
    <hyperlink r:id="rId341" ref="H463"/>
    <hyperlink r:id="rId342" ref="H466"/>
    <hyperlink r:id="rId343" ref="H467"/>
    <hyperlink r:id="rId344" ref="H468"/>
    <hyperlink r:id="rId345" ref="H469"/>
    <hyperlink r:id="rId346" ref="H470"/>
    <hyperlink r:id="rId347" ref="H472"/>
    <hyperlink r:id="rId348" ref="H473"/>
    <hyperlink r:id="rId349" ref="H474"/>
    <hyperlink r:id="rId350" ref="H475"/>
    <hyperlink r:id="rId351" ref="H476"/>
    <hyperlink r:id="rId352" ref="H478"/>
    <hyperlink r:id="rId353" ref="H479"/>
    <hyperlink r:id="rId354" ref="H481"/>
    <hyperlink r:id="rId355" ref="H482"/>
    <hyperlink r:id="rId356" ref="H486"/>
    <hyperlink r:id="rId357" ref="H487"/>
    <hyperlink r:id="rId358" ref="H488"/>
    <hyperlink r:id="rId359" ref="H490"/>
    <hyperlink r:id="rId360" ref="H491"/>
    <hyperlink r:id="rId361" ref="H492"/>
    <hyperlink r:id="rId362" ref="H493"/>
    <hyperlink r:id="rId363" ref="H494"/>
    <hyperlink r:id="rId364" ref="H495"/>
    <hyperlink r:id="rId365" ref="H498"/>
    <hyperlink r:id="rId366" ref="H501"/>
    <hyperlink r:id="rId367" ref="H502"/>
    <hyperlink r:id="rId368" ref="H503"/>
    <hyperlink r:id="rId369" ref="H504"/>
    <hyperlink r:id="rId370" ref="H505"/>
    <hyperlink r:id="rId371" ref="H506"/>
    <hyperlink r:id="rId372" ref="H507"/>
    <hyperlink r:id="rId373" ref="H509"/>
    <hyperlink r:id="rId374" ref="H510"/>
    <hyperlink r:id="rId375" ref="H511"/>
    <hyperlink r:id="rId376" ref="H513"/>
    <hyperlink r:id="rId377" ref="H515"/>
    <hyperlink r:id="rId378" ref="H517"/>
    <hyperlink r:id="rId379" ref="H518"/>
    <hyperlink r:id="rId380" ref="H519"/>
    <hyperlink r:id="rId381" ref="H520"/>
    <hyperlink r:id="rId382" ref="H521"/>
    <hyperlink r:id="rId383" ref="H522"/>
    <hyperlink r:id="rId384" ref="H523"/>
    <hyperlink r:id="rId385" ref="H524"/>
    <hyperlink r:id="rId386" ref="H525"/>
    <hyperlink r:id="rId387" ref="H526"/>
    <hyperlink r:id="rId388" ref="H527"/>
    <hyperlink r:id="rId389" ref="H529"/>
    <hyperlink r:id="rId390" ref="H531"/>
    <hyperlink r:id="rId391" ref="H532"/>
    <hyperlink r:id="rId392" ref="H533"/>
    <hyperlink r:id="rId393" ref="H534"/>
    <hyperlink r:id="rId394" ref="H535"/>
    <hyperlink r:id="rId395" ref="H536"/>
    <hyperlink r:id="rId396" ref="H538"/>
    <hyperlink r:id="rId397" ref="H539"/>
    <hyperlink r:id="rId398" ref="H541"/>
    <hyperlink r:id="rId399" ref="H545"/>
    <hyperlink r:id="rId400" ref="H546"/>
    <hyperlink r:id="rId401" ref="H547"/>
    <hyperlink r:id="rId402" ref="H549"/>
    <hyperlink r:id="rId403" ref="H551"/>
    <hyperlink r:id="rId404" ref="H552"/>
    <hyperlink r:id="rId405" ref="H553"/>
    <hyperlink r:id="rId406" ref="H554"/>
    <hyperlink r:id="rId407" ref="H555"/>
    <hyperlink r:id="rId408" ref="H557"/>
    <hyperlink r:id="rId409" ref="H558"/>
    <hyperlink r:id="rId410" ref="H560"/>
    <hyperlink r:id="rId411" ref="H561"/>
    <hyperlink r:id="rId412" ref="H563"/>
    <hyperlink r:id="rId413" ref="H564"/>
    <hyperlink r:id="rId414" ref="H565"/>
    <hyperlink r:id="rId415" ref="H566"/>
    <hyperlink r:id="rId416" ref="H567"/>
    <hyperlink r:id="rId417" ref="H568"/>
    <hyperlink r:id="rId418" ref="H569"/>
    <hyperlink r:id="rId419" ref="H571"/>
    <hyperlink r:id="rId420" ref="H572"/>
    <hyperlink r:id="rId421" ref="H573"/>
    <hyperlink r:id="rId422" ref="H574"/>
    <hyperlink r:id="rId423" ref="H578"/>
    <hyperlink r:id="rId424" ref="H579"/>
    <hyperlink r:id="rId425" ref="H580"/>
    <hyperlink r:id="rId426" ref="H582"/>
    <hyperlink r:id="rId427" ref="H586"/>
    <hyperlink r:id="rId428" ref="H588"/>
    <hyperlink r:id="rId429" ref="H590"/>
    <hyperlink r:id="rId430" ref="H591"/>
    <hyperlink r:id="rId431" ref="H593"/>
    <hyperlink r:id="rId432" ref="H594"/>
    <hyperlink r:id="rId433" ref="H595"/>
    <hyperlink r:id="rId434" location=".VMCcBEfF-So" ref="H596"/>
    <hyperlink r:id="rId435" ref="H597"/>
    <hyperlink r:id="rId436" ref="H600"/>
    <hyperlink r:id="rId437" ref="H601"/>
    <hyperlink r:id="rId438" ref="H602"/>
    <hyperlink r:id="rId439" ref="H603"/>
    <hyperlink r:id="rId440" ref="H604"/>
    <hyperlink r:id="rId441" ref="H606"/>
    <hyperlink r:id="rId442" ref="H607"/>
    <hyperlink r:id="rId443" ref="H608"/>
    <hyperlink r:id="rId444" ref="H609"/>
    <hyperlink r:id="rId445" ref="H611"/>
    <hyperlink r:id="rId446" ref="H612"/>
    <hyperlink r:id="rId447" ref="H613"/>
    <hyperlink r:id="rId448" ref="H614"/>
    <hyperlink r:id="rId449" ref="H618"/>
    <hyperlink r:id="rId450" ref="H619"/>
    <hyperlink r:id="rId451" ref="H620"/>
    <hyperlink r:id="rId452" ref="H621"/>
    <hyperlink r:id="rId453" ref="H623"/>
    <hyperlink r:id="rId454" ref="H624"/>
    <hyperlink r:id="rId455" ref="H625"/>
    <hyperlink r:id="rId456" ref="H626"/>
    <hyperlink r:id="rId457" ref="H627"/>
    <hyperlink r:id="rId458" ref="H629"/>
    <hyperlink r:id="rId459" ref="H630"/>
    <hyperlink r:id="rId460" ref="H631"/>
    <hyperlink r:id="rId461" ref="H633"/>
    <hyperlink r:id="rId462" ref="H635"/>
    <hyperlink r:id="rId463" ref="H636"/>
    <hyperlink r:id="rId464" ref="H637"/>
    <hyperlink r:id="rId465" ref="H638"/>
    <hyperlink r:id="rId466" ref="H640"/>
    <hyperlink r:id="rId467" ref="H641"/>
  </hyperlinks>
  <drawing r:id="rId468"/>
</worksheet>
</file>