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45" windowWidth="23250" windowHeight="12390" activeTab="4"/>
  </bookViews>
  <sheets>
    <sheet name="Beam scan" sheetId="1" r:id="rId1"/>
    <sheet name="Stage scan" sheetId="2" r:id="rId2"/>
    <sheet name="Stage scan v2" sheetId="3" r:id="rId3"/>
    <sheet name="legend" sheetId="4" r:id="rId4"/>
    <sheet name="Stage scan new" sheetId="5" r:id="rId5"/>
    <sheet name="Beam scan new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G10" i="5" l="1"/>
  <c r="H10" i="5"/>
  <c r="J18" i="5" l="1"/>
  <c r="H18" i="5"/>
  <c r="I18" i="5" s="1"/>
  <c r="G18" i="5"/>
  <c r="B15" i="5"/>
  <c r="B13" i="5"/>
  <c r="B11" i="5"/>
  <c r="B9" i="5"/>
  <c r="B7" i="5"/>
  <c r="B5" i="5"/>
  <c r="B4" i="5"/>
  <c r="O5" i="5"/>
  <c r="Q5" i="5" s="1"/>
  <c r="O7" i="5"/>
  <c r="O9" i="5"/>
  <c r="O11" i="5"/>
  <c r="O13" i="5"/>
  <c r="O15" i="5"/>
  <c r="N5" i="5"/>
  <c r="N7" i="5"/>
  <c r="N9" i="5"/>
  <c r="N11" i="5"/>
  <c r="N13" i="5"/>
  <c r="N15" i="5"/>
  <c r="O3" i="5"/>
  <c r="N3" i="5"/>
  <c r="J41" i="6" l="1"/>
  <c r="M45" i="6"/>
  <c r="N45" i="6" s="1"/>
  <c r="P45" i="6" s="1"/>
  <c r="O45" i="6"/>
  <c r="Q45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B41" i="6"/>
  <c r="A41" i="6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E34" i="6"/>
  <c r="G30" i="1"/>
  <c r="G28" i="1"/>
  <c r="G27" i="1"/>
  <c r="G26" i="1"/>
  <c r="G24" i="1"/>
  <c r="T29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30" i="5"/>
  <c r="B31" i="6"/>
  <c r="D195" i="6" l="1"/>
  <c r="D197" i="6" s="1"/>
  <c r="P24" i="5"/>
  <c r="O24" i="5"/>
  <c r="C196" i="6"/>
  <c r="C194" i="6"/>
  <c r="L197" i="6"/>
  <c r="M197" i="6" s="1"/>
  <c r="L196" i="6"/>
  <c r="M196" i="6" s="1"/>
  <c r="L195" i="6"/>
  <c r="M195" i="6" s="1"/>
  <c r="A195" i="6"/>
  <c r="A196" i="6" s="1"/>
  <c r="A197" i="6" s="1"/>
  <c r="L194" i="6"/>
  <c r="M194" i="6" s="1"/>
  <c r="B30" i="6"/>
  <c r="C21" i="6"/>
  <c r="H195" i="6" s="1"/>
  <c r="B21" i="6"/>
  <c r="H196" i="6" s="1"/>
  <c r="M74" i="6"/>
  <c r="M75" i="6" s="1"/>
  <c r="N75" i="6" s="1"/>
  <c r="P75" i="6" s="1"/>
  <c r="O73" i="6"/>
  <c r="Q73" i="6" s="1"/>
  <c r="N73" i="6"/>
  <c r="P73" i="6" s="1"/>
  <c r="O71" i="6"/>
  <c r="N71" i="6"/>
  <c r="M59" i="6"/>
  <c r="N59" i="6" s="1"/>
  <c r="P59" i="6" s="1"/>
  <c r="O58" i="6"/>
  <c r="Q58" i="6" s="1"/>
  <c r="N58" i="6"/>
  <c r="P58" i="6" s="1"/>
  <c r="O56" i="6"/>
  <c r="N56" i="6"/>
  <c r="G42" i="6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B42" i="6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M44" i="6"/>
  <c r="R43" i="6"/>
  <c r="O43" i="6"/>
  <c r="Q43" i="6" s="1"/>
  <c r="N43" i="6"/>
  <c r="P43" i="6" s="1"/>
  <c r="O41" i="6"/>
  <c r="N41" i="6"/>
  <c r="L15" i="6"/>
  <c r="K15" i="6"/>
  <c r="A15" i="6"/>
  <c r="I14" i="6"/>
  <c r="H14" i="6"/>
  <c r="G14" i="6"/>
  <c r="L14" i="6" s="1"/>
  <c r="F14" i="6"/>
  <c r="K14" i="6" s="1"/>
  <c r="A14" i="6"/>
  <c r="L13" i="6"/>
  <c r="K13" i="6"/>
  <c r="A13" i="6"/>
  <c r="I12" i="6"/>
  <c r="H12" i="6"/>
  <c r="G12" i="6"/>
  <c r="L12" i="6" s="1"/>
  <c r="F12" i="6"/>
  <c r="K12" i="6" s="1"/>
  <c r="A12" i="6"/>
  <c r="L11" i="6"/>
  <c r="K11" i="6"/>
  <c r="A11" i="6"/>
  <c r="I10" i="6"/>
  <c r="H10" i="6"/>
  <c r="G10" i="6"/>
  <c r="L10" i="6" s="1"/>
  <c r="F10" i="6"/>
  <c r="K10" i="6" s="1"/>
  <c r="A10" i="6"/>
  <c r="L9" i="6"/>
  <c r="K9" i="6"/>
  <c r="A9" i="6"/>
  <c r="I8" i="6"/>
  <c r="H8" i="6"/>
  <c r="G8" i="6"/>
  <c r="L8" i="6" s="1"/>
  <c r="F8" i="6"/>
  <c r="K8" i="6" s="1"/>
  <c r="A8" i="6"/>
  <c r="L7" i="6"/>
  <c r="K7" i="6"/>
  <c r="A7" i="6"/>
  <c r="I6" i="6"/>
  <c r="H6" i="6"/>
  <c r="G6" i="6"/>
  <c r="L6" i="6" s="1"/>
  <c r="F6" i="6"/>
  <c r="K6" i="6" s="1"/>
  <c r="A6" i="6"/>
  <c r="L5" i="6"/>
  <c r="K5" i="6"/>
  <c r="B5" i="6"/>
  <c r="A5" i="6" s="1"/>
  <c r="I4" i="6"/>
  <c r="H4" i="6"/>
  <c r="G4" i="6"/>
  <c r="L4" i="6" s="1"/>
  <c r="F4" i="6"/>
  <c r="K4" i="6" s="1"/>
  <c r="A4" i="6"/>
  <c r="L3" i="6"/>
  <c r="K3" i="6"/>
  <c r="E3" i="6"/>
  <c r="L137" i="5"/>
  <c r="M137" i="5" s="1"/>
  <c r="L136" i="5"/>
  <c r="M136" i="5" s="1"/>
  <c r="A136" i="5"/>
  <c r="A137" i="5" s="1"/>
  <c r="A138" i="5" s="1"/>
  <c r="L135" i="5"/>
  <c r="M135" i="5" s="1"/>
  <c r="I29" i="3"/>
  <c r="H29" i="2"/>
  <c r="H29" i="3"/>
  <c r="L131" i="5"/>
  <c r="K1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6" i="5"/>
  <c r="L67" i="5"/>
  <c r="L68" i="5"/>
  <c r="L69" i="5"/>
  <c r="L70" i="5"/>
  <c r="L71" i="5"/>
  <c r="L72" i="5"/>
  <c r="L73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29" i="5"/>
  <c r="L31" i="5"/>
  <c r="L30" i="5"/>
  <c r="L29" i="5"/>
  <c r="D3" i="5"/>
  <c r="K3" i="5"/>
  <c r="P3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C135" i="5"/>
  <c r="C136" i="5" s="1"/>
  <c r="L15" i="5"/>
  <c r="Q15" i="5" s="1"/>
  <c r="K15" i="5"/>
  <c r="P15" i="5" s="1"/>
  <c r="A15" i="5"/>
  <c r="H14" i="5"/>
  <c r="G14" i="5"/>
  <c r="F14" i="5"/>
  <c r="E14" i="5"/>
  <c r="A14" i="5"/>
  <c r="L13" i="5"/>
  <c r="Q13" i="5" s="1"/>
  <c r="K13" i="5"/>
  <c r="P13" i="5" s="1"/>
  <c r="A13" i="5"/>
  <c r="H12" i="5"/>
  <c r="G12" i="5"/>
  <c r="F12" i="5"/>
  <c r="E12" i="5"/>
  <c r="A12" i="5"/>
  <c r="L11" i="5"/>
  <c r="Q11" i="5" s="1"/>
  <c r="K11" i="5"/>
  <c r="P11" i="5" s="1"/>
  <c r="A11" i="5"/>
  <c r="F10" i="5"/>
  <c r="A10" i="5"/>
  <c r="L9" i="5"/>
  <c r="Q9" i="5" s="1"/>
  <c r="K9" i="5"/>
  <c r="P9" i="5" s="1"/>
  <c r="A9" i="5"/>
  <c r="H8" i="5"/>
  <c r="G8" i="5"/>
  <c r="F8" i="5"/>
  <c r="L8" i="5" s="1"/>
  <c r="E8" i="5"/>
  <c r="K8" i="5" s="1"/>
  <c r="A8" i="5"/>
  <c r="L7" i="5"/>
  <c r="Q7" i="5" s="1"/>
  <c r="K7" i="5"/>
  <c r="P7" i="5" s="1"/>
  <c r="A7" i="5"/>
  <c r="H6" i="5"/>
  <c r="O6" i="5" s="1"/>
  <c r="Q6" i="5" s="1"/>
  <c r="G6" i="5"/>
  <c r="F6" i="5"/>
  <c r="L6" i="5" s="1"/>
  <c r="E6" i="5"/>
  <c r="K6" i="5" s="1"/>
  <c r="A6" i="5"/>
  <c r="L5" i="5"/>
  <c r="K5" i="5"/>
  <c r="P5" i="5" s="1"/>
  <c r="A5" i="5"/>
  <c r="H4" i="5"/>
  <c r="G4" i="5"/>
  <c r="F4" i="5"/>
  <c r="E4" i="5"/>
  <c r="A4" i="5"/>
  <c r="L3" i="5"/>
  <c r="Q3" i="5" s="1"/>
  <c r="I10" i="4"/>
  <c r="I8" i="4"/>
  <c r="G10" i="4"/>
  <c r="G8" i="4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32" i="3"/>
  <c r="U133" i="3"/>
  <c r="U134" i="3"/>
  <c r="U135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32" i="3"/>
  <c r="T133" i="3"/>
  <c r="T134" i="3"/>
  <c r="T135" i="3"/>
  <c r="C10" i="4"/>
  <c r="D10" i="4"/>
  <c r="E10" i="4"/>
  <c r="F10" i="4"/>
  <c r="H10" i="4"/>
  <c r="B10" i="4"/>
  <c r="C8" i="4"/>
  <c r="D8" i="4"/>
  <c r="E8" i="4"/>
  <c r="F8" i="4"/>
  <c r="H8" i="4"/>
  <c r="B8" i="4"/>
  <c r="F28" i="1"/>
  <c r="F29" i="1" s="1"/>
  <c r="C28" i="1"/>
  <c r="F27" i="1"/>
  <c r="F26" i="1"/>
  <c r="E26" i="1"/>
  <c r="N6" i="5" l="1"/>
  <c r="P6" i="5" s="1"/>
  <c r="K4" i="5"/>
  <c r="N4" i="5"/>
  <c r="P4" i="5" s="1"/>
  <c r="L4" i="5"/>
  <c r="O4" i="5"/>
  <c r="Q4" i="5" s="1"/>
  <c r="L14" i="5"/>
  <c r="O14" i="5"/>
  <c r="Q14" i="5" s="1"/>
  <c r="K14" i="5"/>
  <c r="N14" i="5"/>
  <c r="P14" i="5" s="1"/>
  <c r="L12" i="5"/>
  <c r="O12" i="5"/>
  <c r="Q12" i="5" s="1"/>
  <c r="K12" i="5"/>
  <c r="N12" i="5"/>
  <c r="P12" i="5" s="1"/>
  <c r="L10" i="5"/>
  <c r="O10" i="5"/>
  <c r="Q10" i="5" s="1"/>
  <c r="K10" i="5"/>
  <c r="N10" i="5"/>
  <c r="O8" i="5"/>
  <c r="Q8" i="5" s="1"/>
  <c r="N8" i="5"/>
  <c r="P8" i="5" s="1"/>
  <c r="E4" i="6"/>
  <c r="D194" i="6"/>
  <c r="F194" i="6" s="1"/>
  <c r="H135" i="5"/>
  <c r="D29" i="5"/>
  <c r="F29" i="5" s="1"/>
  <c r="D142" i="5" s="1"/>
  <c r="H136" i="5"/>
  <c r="H141" i="5"/>
  <c r="H142" i="5"/>
  <c r="D135" i="5"/>
  <c r="H194" i="6"/>
  <c r="H197" i="6"/>
  <c r="I3" i="5"/>
  <c r="C195" i="6"/>
  <c r="F195" i="6" s="1"/>
  <c r="C197" i="6"/>
  <c r="F197" i="6" s="1"/>
  <c r="H138" i="5"/>
  <c r="H137" i="5"/>
  <c r="F136" i="5"/>
  <c r="D136" i="5"/>
  <c r="D138" i="5" s="1"/>
  <c r="O59" i="6"/>
  <c r="Q59" i="6" s="1"/>
  <c r="M60" i="6"/>
  <c r="N60" i="6" s="1"/>
  <c r="P60" i="6" s="1"/>
  <c r="N74" i="6"/>
  <c r="P74" i="6" s="1"/>
  <c r="O74" i="6"/>
  <c r="Q74" i="6" s="1"/>
  <c r="J4" i="6"/>
  <c r="M76" i="6"/>
  <c r="N76" i="6" s="1"/>
  <c r="P76" i="6" s="1"/>
  <c r="O75" i="6"/>
  <c r="Q75" i="6" s="1"/>
  <c r="N44" i="6"/>
  <c r="P44" i="6" s="1"/>
  <c r="M46" i="6"/>
  <c r="R45" i="6"/>
  <c r="O44" i="6"/>
  <c r="Q44" i="6" s="1"/>
  <c r="J3" i="6"/>
  <c r="E5" i="6"/>
  <c r="R44" i="6"/>
  <c r="L138" i="5"/>
  <c r="M138" i="5" s="1"/>
  <c r="D4" i="5"/>
  <c r="C29" i="5"/>
  <c r="P10" i="5" l="1"/>
  <c r="D196" i="6"/>
  <c r="F196" i="6" s="1"/>
  <c r="D30" i="5"/>
  <c r="D141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141" i="5"/>
  <c r="C142" i="5"/>
  <c r="I4" i="5"/>
  <c r="D5" i="5"/>
  <c r="D137" i="5"/>
  <c r="F137" i="5" s="1"/>
  <c r="F135" i="5"/>
  <c r="M61" i="6"/>
  <c r="M62" i="6" s="1"/>
  <c r="M63" i="6" s="1"/>
  <c r="N63" i="6" s="1"/>
  <c r="P63" i="6" s="1"/>
  <c r="O60" i="6"/>
  <c r="Q60" i="6" s="1"/>
  <c r="O76" i="6"/>
  <c r="Q76" i="6" s="1"/>
  <c r="M77" i="6"/>
  <c r="N77" i="6" s="1"/>
  <c r="P77" i="6" s="1"/>
  <c r="J5" i="6"/>
  <c r="E6" i="6"/>
  <c r="O46" i="6"/>
  <c r="Q46" i="6" s="1"/>
  <c r="M47" i="6"/>
  <c r="N46" i="6"/>
  <c r="P46" i="6" s="1"/>
  <c r="R46" i="6"/>
  <c r="D31" i="5" l="1"/>
  <c r="F30" i="5"/>
  <c r="N61" i="6"/>
  <c r="P61" i="6" s="1"/>
  <c r="C66" i="5"/>
  <c r="C67" i="5" s="1"/>
  <c r="C68" i="5" s="1"/>
  <c r="C69" i="5" s="1"/>
  <c r="C70" i="5" s="1"/>
  <c r="C71" i="5" s="1"/>
  <c r="C72" i="5" s="1"/>
  <c r="C73" i="5" s="1"/>
  <c r="C74" i="5" s="1"/>
  <c r="C75" i="5" s="1"/>
  <c r="D6" i="5"/>
  <c r="I5" i="5"/>
  <c r="M78" i="6"/>
  <c r="O63" i="6"/>
  <c r="Q63" i="6" s="1"/>
  <c r="N62" i="6"/>
  <c r="P62" i="6" s="1"/>
  <c r="M64" i="6"/>
  <c r="O64" i="6" s="1"/>
  <c r="Q64" i="6" s="1"/>
  <c r="O62" i="6"/>
  <c r="Q62" i="6" s="1"/>
  <c r="O61" i="6"/>
  <c r="Q61" i="6" s="1"/>
  <c r="O77" i="6"/>
  <c r="Q77" i="6" s="1"/>
  <c r="J6" i="6"/>
  <c r="N64" i="6"/>
  <c r="P64" i="6" s="1"/>
  <c r="N47" i="6"/>
  <c r="P47" i="6" s="1"/>
  <c r="R47" i="6"/>
  <c r="M48" i="6"/>
  <c r="O47" i="6"/>
  <c r="Q47" i="6" s="1"/>
  <c r="M79" i="6"/>
  <c r="O78" i="6"/>
  <c r="Q78" i="6" s="1"/>
  <c r="N78" i="6"/>
  <c r="P78" i="6" s="1"/>
  <c r="F31" i="5" l="1"/>
  <c r="D32" i="5"/>
  <c r="C77" i="5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7" i="5"/>
  <c r="S75" i="5"/>
  <c r="C138" i="5"/>
  <c r="F138" i="5" s="1"/>
  <c r="I6" i="5"/>
  <c r="D7" i="5"/>
  <c r="M65" i="6"/>
  <c r="N65" i="6" s="1"/>
  <c r="P65" i="6" s="1"/>
  <c r="M80" i="6"/>
  <c r="O79" i="6"/>
  <c r="Q79" i="6" s="1"/>
  <c r="N79" i="6"/>
  <c r="P79" i="6" s="1"/>
  <c r="O48" i="6"/>
  <c r="Q48" i="6" s="1"/>
  <c r="M49" i="6"/>
  <c r="R48" i="6"/>
  <c r="N48" i="6"/>
  <c r="P48" i="6" s="1"/>
  <c r="J7" i="6"/>
  <c r="E8" i="6"/>
  <c r="F32" i="5" l="1"/>
  <c r="D33" i="5"/>
  <c r="K141" i="5"/>
  <c r="K142" i="5"/>
  <c r="O65" i="6"/>
  <c r="Q65" i="6" s="1"/>
  <c r="M66" i="6"/>
  <c r="D8" i="5"/>
  <c r="I7" i="5"/>
  <c r="O66" i="6"/>
  <c r="Q66" i="6" s="1"/>
  <c r="N66" i="6"/>
  <c r="P66" i="6" s="1"/>
  <c r="R49" i="6"/>
  <c r="O49" i="6"/>
  <c r="Q49" i="6" s="1"/>
  <c r="N49" i="6"/>
  <c r="P49" i="6" s="1"/>
  <c r="M50" i="6"/>
  <c r="J8" i="6"/>
  <c r="E9" i="6"/>
  <c r="M81" i="6"/>
  <c r="O80" i="6"/>
  <c r="Q80" i="6" s="1"/>
  <c r="N80" i="6"/>
  <c r="P80" i="6" s="1"/>
  <c r="F33" i="5" l="1"/>
  <c r="D34" i="5"/>
  <c r="L142" i="5"/>
  <c r="M142" i="5" s="1"/>
  <c r="F142" i="5"/>
  <c r="L141" i="5"/>
  <c r="M141" i="5" s="1"/>
  <c r="F141" i="5"/>
  <c r="D9" i="5"/>
  <c r="I8" i="5"/>
  <c r="E10" i="6"/>
  <c r="J9" i="6"/>
  <c r="R50" i="6"/>
  <c r="N50" i="6"/>
  <c r="P50" i="6" s="1"/>
  <c r="M51" i="6"/>
  <c r="O50" i="6"/>
  <c r="Q50" i="6" s="1"/>
  <c r="N81" i="6"/>
  <c r="P81" i="6" s="1"/>
  <c r="O81" i="6"/>
  <c r="Q81" i="6" s="1"/>
  <c r="F34" i="5" l="1"/>
  <c r="D35" i="5"/>
  <c r="I9" i="5"/>
  <c r="D10" i="5"/>
  <c r="R51" i="6"/>
  <c r="O51" i="6"/>
  <c r="Q51" i="6" s="1"/>
  <c r="N51" i="6"/>
  <c r="P51" i="6" s="1"/>
  <c r="E11" i="6"/>
  <c r="J10" i="6"/>
  <c r="F35" i="5" l="1"/>
  <c r="D36" i="5"/>
  <c r="D11" i="5"/>
  <c r="I10" i="5"/>
  <c r="E12" i="6"/>
  <c r="J11" i="6"/>
  <c r="F36" i="5" l="1"/>
  <c r="D37" i="5"/>
  <c r="D12" i="5"/>
  <c r="I11" i="5"/>
  <c r="E13" i="6"/>
  <c r="J12" i="6"/>
  <c r="F37" i="5" l="1"/>
  <c r="D38" i="5"/>
  <c r="D13" i="5"/>
  <c r="I12" i="5"/>
  <c r="J13" i="6"/>
  <c r="E14" i="6"/>
  <c r="F38" i="5" l="1"/>
  <c r="D39" i="5"/>
  <c r="D14" i="5"/>
  <c r="I13" i="5"/>
  <c r="J14" i="6"/>
  <c r="E15" i="6"/>
  <c r="F39" i="5" l="1"/>
  <c r="D40" i="5"/>
  <c r="M25" i="6"/>
  <c r="M27" i="6" s="1"/>
  <c r="M28" i="6" s="1"/>
  <c r="M32" i="6" s="1"/>
  <c r="M33" i="6" s="1"/>
  <c r="M36" i="6" s="1"/>
  <c r="M37" i="6" s="1"/>
  <c r="K25" i="6"/>
  <c r="K27" i="6" s="1"/>
  <c r="K28" i="6" s="1"/>
  <c r="K32" i="6" s="1"/>
  <c r="K33" i="6" s="1"/>
  <c r="K36" i="6" s="1"/>
  <c r="K37" i="6" s="1"/>
  <c r="I25" i="6"/>
  <c r="I27" i="6" s="1"/>
  <c r="I28" i="6" s="1"/>
  <c r="I32" i="6" s="1"/>
  <c r="I33" i="6" s="1"/>
  <c r="I36" i="6" s="1"/>
  <c r="I37" i="6" s="1"/>
  <c r="G25" i="6"/>
  <c r="G27" i="6" s="1"/>
  <c r="G28" i="6" s="1"/>
  <c r="G32" i="6" s="1"/>
  <c r="G33" i="6" s="1"/>
  <c r="G36" i="6" s="1"/>
  <c r="G37" i="6" s="1"/>
  <c r="P25" i="6"/>
  <c r="P27" i="6" s="1"/>
  <c r="P28" i="6" s="1"/>
  <c r="P32" i="6" s="1"/>
  <c r="P33" i="6" s="1"/>
  <c r="P36" i="6" s="1"/>
  <c r="P37" i="6" s="1"/>
  <c r="R25" i="6"/>
  <c r="R27" i="6" s="1"/>
  <c r="R28" i="6" s="1"/>
  <c r="R32" i="6" s="1"/>
  <c r="R33" i="6" s="1"/>
  <c r="R36" i="6" s="1"/>
  <c r="R37" i="6" s="1"/>
  <c r="O25" i="6"/>
  <c r="O27" i="6" s="1"/>
  <c r="O28" i="6" s="1"/>
  <c r="O32" i="6" s="1"/>
  <c r="O33" i="6" s="1"/>
  <c r="O36" i="6" s="1"/>
  <c r="O37" i="6" s="1"/>
  <c r="H25" i="6"/>
  <c r="H27" i="6" s="1"/>
  <c r="H28" i="6" s="1"/>
  <c r="H32" i="6" s="1"/>
  <c r="H33" i="6" s="1"/>
  <c r="H36" i="6" s="1"/>
  <c r="H37" i="6" s="1"/>
  <c r="N25" i="6"/>
  <c r="N27" i="6" s="1"/>
  <c r="N28" i="6" s="1"/>
  <c r="N32" i="6" s="1"/>
  <c r="N33" i="6" s="1"/>
  <c r="N36" i="6" s="1"/>
  <c r="N37" i="6" s="1"/>
  <c r="L25" i="6"/>
  <c r="L27" i="6" s="1"/>
  <c r="L28" i="6" s="1"/>
  <c r="L32" i="6" s="1"/>
  <c r="L33" i="6" s="1"/>
  <c r="L36" i="6" s="1"/>
  <c r="L37" i="6" s="1"/>
  <c r="J25" i="6"/>
  <c r="J27" i="6" s="1"/>
  <c r="J28" i="6" s="1"/>
  <c r="J32" i="6" s="1"/>
  <c r="J33" i="6" s="1"/>
  <c r="J36" i="6" s="1"/>
  <c r="J37" i="6" s="1"/>
  <c r="N195" i="6"/>
  <c r="O195" i="6" s="1"/>
  <c r="P195" i="6" s="1"/>
  <c r="E195" i="6" s="1"/>
  <c r="N196" i="6"/>
  <c r="O196" i="6" s="1"/>
  <c r="P196" i="6" s="1"/>
  <c r="E196" i="6" s="1"/>
  <c r="N197" i="6"/>
  <c r="O197" i="6" s="1"/>
  <c r="P197" i="6" s="1"/>
  <c r="E197" i="6" s="1"/>
  <c r="N194" i="6"/>
  <c r="O194" i="6" s="1"/>
  <c r="I14" i="5"/>
  <c r="D15" i="5"/>
  <c r="M118" i="5" s="1"/>
  <c r="D18" i="6"/>
  <c r="E18" i="6" s="1"/>
  <c r="F18" i="6" s="1"/>
  <c r="D25" i="6"/>
  <c r="D27" i="6" s="1"/>
  <c r="D28" i="6" s="1"/>
  <c r="D32" i="6" s="1"/>
  <c r="D33" i="6" s="1"/>
  <c r="D36" i="6" s="1"/>
  <c r="B25" i="6"/>
  <c r="B27" i="6" s="1"/>
  <c r="B28" i="6" s="1"/>
  <c r="B32" i="6" s="1"/>
  <c r="B33" i="6" s="1"/>
  <c r="B36" i="6" s="1"/>
  <c r="F25" i="6"/>
  <c r="F27" i="6" s="1"/>
  <c r="F28" i="6" s="1"/>
  <c r="F32" i="6" s="1"/>
  <c r="F33" i="6" s="1"/>
  <c r="F36" i="6" s="1"/>
  <c r="F37" i="6" s="1"/>
  <c r="E25" i="6"/>
  <c r="E27" i="6" s="1"/>
  <c r="E28" i="6" s="1"/>
  <c r="E32" i="6" s="1"/>
  <c r="E33" i="6" s="1"/>
  <c r="E36" i="6" s="1"/>
  <c r="E37" i="6" s="1"/>
  <c r="Q25" i="6"/>
  <c r="Q27" i="6" s="1"/>
  <c r="Q28" i="6" s="1"/>
  <c r="Q32" i="6" s="1"/>
  <c r="Q33" i="6" s="1"/>
  <c r="Q36" i="6" s="1"/>
  <c r="Q37" i="6" s="1"/>
  <c r="C25" i="6"/>
  <c r="C27" i="6" s="1"/>
  <c r="C28" i="6" s="1"/>
  <c r="C32" i="6" s="1"/>
  <c r="C33" i="6" s="1"/>
  <c r="C36" i="6" s="1"/>
  <c r="J15" i="6"/>
  <c r="F40" i="5" l="1"/>
  <c r="D41" i="5"/>
  <c r="M35" i="5"/>
  <c r="N141" i="5"/>
  <c r="O141" i="5" s="1"/>
  <c r="N142" i="5"/>
  <c r="O142" i="5" s="1"/>
  <c r="P142" i="5" s="1"/>
  <c r="E142" i="5" s="1"/>
  <c r="M83" i="5"/>
  <c r="M37" i="5"/>
  <c r="M87" i="5"/>
  <c r="M111" i="5"/>
  <c r="M109" i="5"/>
  <c r="M70" i="5"/>
  <c r="M73" i="5"/>
  <c r="M85" i="5"/>
  <c r="M84" i="5"/>
  <c r="M74" i="5"/>
  <c r="M112" i="5"/>
  <c r="D37" i="6"/>
  <c r="B37" i="6"/>
  <c r="P194" i="6"/>
  <c r="E194" i="6" s="1"/>
  <c r="R194" i="6"/>
  <c r="S194" i="6" s="1"/>
  <c r="C37" i="6"/>
  <c r="M123" i="5"/>
  <c r="M122" i="5"/>
  <c r="M130" i="5"/>
  <c r="M69" i="5"/>
  <c r="M63" i="5"/>
  <c r="M88" i="5"/>
  <c r="M62" i="5"/>
  <c r="M60" i="5"/>
  <c r="M113" i="5"/>
  <c r="M110" i="5"/>
  <c r="M108" i="5"/>
  <c r="M50" i="5"/>
  <c r="M36" i="5"/>
  <c r="M56" i="5"/>
  <c r="M127" i="5"/>
  <c r="M45" i="5"/>
  <c r="M94" i="5"/>
  <c r="M41" i="5"/>
  <c r="M80" i="5"/>
  <c r="M48" i="5"/>
  <c r="M114" i="5"/>
  <c r="M102" i="5"/>
  <c r="M59" i="5"/>
  <c r="M98" i="5"/>
  <c r="M116" i="5"/>
  <c r="M115" i="5"/>
  <c r="M96" i="5"/>
  <c r="M106" i="5"/>
  <c r="M90" i="5"/>
  <c r="M126" i="5"/>
  <c r="M97" i="5"/>
  <c r="M54" i="5"/>
  <c r="M131" i="5"/>
  <c r="M129" i="5"/>
  <c r="M101" i="5"/>
  <c r="M128" i="5"/>
  <c r="M47" i="5"/>
  <c r="M68" i="5"/>
  <c r="M39" i="5"/>
  <c r="M121" i="5"/>
  <c r="M93" i="5"/>
  <c r="M120" i="5"/>
  <c r="M89" i="5"/>
  <c r="M91" i="5"/>
  <c r="M79" i="5"/>
  <c r="M66" i="5"/>
  <c r="M81" i="5"/>
  <c r="M53" i="5"/>
  <c r="M31" i="5"/>
  <c r="N31" i="5" s="1"/>
  <c r="M125" i="5"/>
  <c r="M34" i="5"/>
  <c r="M92" i="5"/>
  <c r="M40" i="5"/>
  <c r="M119" i="5"/>
  <c r="M75" i="5"/>
  <c r="M64" i="5"/>
  <c r="M82" i="5"/>
  <c r="M103" i="5"/>
  <c r="M33" i="5"/>
  <c r="M52" i="5"/>
  <c r="M55" i="5"/>
  <c r="M32" i="5"/>
  <c r="M51" i="5"/>
  <c r="M61" i="5"/>
  <c r="M105" i="5"/>
  <c r="M57" i="5"/>
  <c r="M95" i="5"/>
  <c r="M86" i="5"/>
  <c r="M38" i="5"/>
  <c r="M104" i="5"/>
  <c r="M99" i="5"/>
  <c r="M67" i="5"/>
  <c r="M100" i="5"/>
  <c r="M124" i="5"/>
  <c r="M117" i="5"/>
  <c r="M58" i="5"/>
  <c r="M78" i="5"/>
  <c r="M71" i="5"/>
  <c r="M77" i="5"/>
  <c r="M46" i="5"/>
  <c r="M44" i="5"/>
  <c r="M30" i="5"/>
  <c r="N30" i="5" s="1"/>
  <c r="O30" i="5" s="1"/>
  <c r="E30" i="5" s="1"/>
  <c r="M72" i="5"/>
  <c r="B18" i="5"/>
  <c r="C18" i="5" s="1"/>
  <c r="D18" i="5" s="1"/>
  <c r="N138" i="5"/>
  <c r="O138" i="5" s="1"/>
  <c r="P138" i="5" s="1"/>
  <c r="E138" i="5" s="1"/>
  <c r="M29" i="5"/>
  <c r="N29" i="5" s="1"/>
  <c r="O29" i="5" s="1"/>
  <c r="E29" i="5" s="1"/>
  <c r="N137" i="5"/>
  <c r="O137" i="5" s="1"/>
  <c r="P137" i="5" s="1"/>
  <c r="E137" i="5" s="1"/>
  <c r="N136" i="5"/>
  <c r="O136" i="5" s="1"/>
  <c r="P136" i="5" s="1"/>
  <c r="E136" i="5" s="1"/>
  <c r="N135" i="5"/>
  <c r="O135" i="5" s="1"/>
  <c r="P135" i="5" s="1"/>
  <c r="E135" i="5" s="1"/>
  <c r="I15" i="5"/>
  <c r="M43" i="5"/>
  <c r="M107" i="5"/>
  <c r="M42" i="5"/>
  <c r="F41" i="5" l="1"/>
  <c r="D42" i="5"/>
  <c r="P141" i="5"/>
  <c r="E141" i="5" s="1"/>
  <c r="R135" i="5"/>
  <c r="S135" i="5" s="1"/>
  <c r="K41" i="6"/>
  <c r="O31" i="5"/>
  <c r="E31" i="5" s="1"/>
  <c r="N32" i="5"/>
  <c r="O32" i="5" s="1"/>
  <c r="E32" i="5" s="1"/>
  <c r="F42" i="5" l="1"/>
  <c r="D43" i="5"/>
  <c r="N33" i="5"/>
  <c r="F43" i="5" l="1"/>
  <c r="D44" i="5"/>
  <c r="O33" i="5"/>
  <c r="E33" i="5" s="1"/>
  <c r="N34" i="5"/>
  <c r="O34" i="5" s="1"/>
  <c r="E34" i="5" s="1"/>
  <c r="F44" i="5" l="1"/>
  <c r="D45" i="5"/>
  <c r="N35" i="5"/>
  <c r="O35" i="5" s="1"/>
  <c r="E35" i="5" s="1"/>
  <c r="F45" i="5" l="1"/>
  <c r="D46" i="5"/>
  <c r="N36" i="5"/>
  <c r="O36" i="5" s="1"/>
  <c r="E36" i="5" s="1"/>
  <c r="F46" i="5" l="1"/>
  <c r="D47" i="5"/>
  <c r="N37" i="5"/>
  <c r="O37" i="5" s="1"/>
  <c r="E37" i="5" s="1"/>
  <c r="F47" i="5" l="1"/>
  <c r="D48" i="5"/>
  <c r="N38" i="5"/>
  <c r="O38" i="5" s="1"/>
  <c r="E38" i="5" s="1"/>
  <c r="F48" i="5" l="1"/>
  <c r="D50" i="5"/>
  <c r="N39" i="5"/>
  <c r="O39" i="5" s="1"/>
  <c r="E39" i="5" s="1"/>
  <c r="F50" i="5" l="1"/>
  <c r="D51" i="5"/>
  <c r="N40" i="5"/>
  <c r="O40" i="5" s="1"/>
  <c r="E40" i="5" s="1"/>
  <c r="F51" i="5" l="1"/>
  <c r="D52" i="5"/>
  <c r="N41" i="5"/>
  <c r="O41" i="5" s="1"/>
  <c r="E41" i="5" s="1"/>
  <c r="F52" i="5" l="1"/>
  <c r="D53" i="5"/>
  <c r="N42" i="5"/>
  <c r="O42" i="5" s="1"/>
  <c r="E42" i="5" s="1"/>
  <c r="F53" i="5" l="1"/>
  <c r="D54" i="5"/>
  <c r="N43" i="5"/>
  <c r="O43" i="5" s="1"/>
  <c r="E43" i="5" s="1"/>
  <c r="F54" i="5" l="1"/>
  <c r="D55" i="5"/>
  <c r="N44" i="5"/>
  <c r="O44" i="5" s="1"/>
  <c r="E44" i="5" s="1"/>
  <c r="F55" i="5" l="1"/>
  <c r="D56" i="5"/>
  <c r="N45" i="5"/>
  <c r="O45" i="5" s="1"/>
  <c r="E45" i="5" s="1"/>
  <c r="F56" i="5" l="1"/>
  <c r="D57" i="5"/>
  <c r="N46" i="5"/>
  <c r="O46" i="5" s="1"/>
  <c r="E46" i="5" s="1"/>
  <c r="F57" i="5" l="1"/>
  <c r="D58" i="5"/>
  <c r="N47" i="5"/>
  <c r="O47" i="5" s="1"/>
  <c r="E47" i="5" s="1"/>
  <c r="F58" i="5" l="1"/>
  <c r="D59" i="5"/>
  <c r="N48" i="5"/>
  <c r="O48" i="5" s="1"/>
  <c r="E48" i="5" s="1"/>
  <c r="F59" i="5" l="1"/>
  <c r="D60" i="5"/>
  <c r="N50" i="5"/>
  <c r="O50" i="5" s="1"/>
  <c r="E50" i="5" s="1"/>
  <c r="F60" i="5" l="1"/>
  <c r="D61" i="5"/>
  <c r="N51" i="5"/>
  <c r="O51" i="5" s="1"/>
  <c r="E51" i="5" s="1"/>
  <c r="F61" i="5" l="1"/>
  <c r="D62" i="5"/>
  <c r="N52" i="5"/>
  <c r="O52" i="5" s="1"/>
  <c r="E52" i="5" s="1"/>
  <c r="F62" i="5" l="1"/>
  <c r="D63" i="5"/>
  <c r="N53" i="5"/>
  <c r="O53" i="5" s="1"/>
  <c r="E53" i="5" s="1"/>
  <c r="F63" i="5" l="1"/>
  <c r="D64" i="5"/>
  <c r="N54" i="5"/>
  <c r="O54" i="5" s="1"/>
  <c r="E54" i="5" s="1"/>
  <c r="F64" i="5" l="1"/>
  <c r="D66" i="5"/>
  <c r="N55" i="5"/>
  <c r="O55" i="5" s="1"/>
  <c r="E55" i="5" s="1"/>
  <c r="F66" i="5" l="1"/>
  <c r="D67" i="5"/>
  <c r="N56" i="5"/>
  <c r="O56" i="5" s="1"/>
  <c r="E56" i="5" s="1"/>
  <c r="F67" i="5" l="1"/>
  <c r="D68" i="5"/>
  <c r="N57" i="5"/>
  <c r="O57" i="5" s="1"/>
  <c r="E57" i="5" s="1"/>
  <c r="F68" i="5" l="1"/>
  <c r="D69" i="5"/>
  <c r="N58" i="5"/>
  <c r="O58" i="5" s="1"/>
  <c r="E58" i="5" s="1"/>
  <c r="F69" i="5" l="1"/>
  <c r="D70" i="5"/>
  <c r="N59" i="5"/>
  <c r="O59" i="5" s="1"/>
  <c r="E59" i="5" s="1"/>
  <c r="F70" i="5" l="1"/>
  <c r="D71" i="5"/>
  <c r="N60" i="5"/>
  <c r="O60" i="5" s="1"/>
  <c r="E60" i="5" s="1"/>
  <c r="F71" i="5" l="1"/>
  <c r="D72" i="5"/>
  <c r="N61" i="5"/>
  <c r="O61" i="5" s="1"/>
  <c r="E61" i="5" s="1"/>
  <c r="F72" i="5" l="1"/>
  <c r="D73" i="5"/>
  <c r="N62" i="5"/>
  <c r="O62" i="5" s="1"/>
  <c r="E62" i="5" s="1"/>
  <c r="F73" i="5" l="1"/>
  <c r="D74" i="5"/>
  <c r="N63" i="5"/>
  <c r="O63" i="5" s="1"/>
  <c r="E63" i="5" s="1"/>
  <c r="F74" i="5" l="1"/>
  <c r="D75" i="5"/>
  <c r="N64" i="5"/>
  <c r="O64" i="5" s="1"/>
  <c r="E64" i="5" s="1"/>
  <c r="F75" i="5" l="1"/>
  <c r="D77" i="5"/>
  <c r="N66" i="5"/>
  <c r="O66" i="5" s="1"/>
  <c r="E66" i="5" s="1"/>
  <c r="F77" i="5" l="1"/>
  <c r="D78" i="5"/>
  <c r="N67" i="5"/>
  <c r="O67" i="5" s="1"/>
  <c r="E67" i="5" s="1"/>
  <c r="F78" i="5" l="1"/>
  <c r="D79" i="5"/>
  <c r="N68" i="5"/>
  <c r="O68" i="5" s="1"/>
  <c r="E68" i="5" s="1"/>
  <c r="F79" i="5" l="1"/>
  <c r="D80" i="5"/>
  <c r="N69" i="5"/>
  <c r="O69" i="5" s="1"/>
  <c r="E69" i="5" s="1"/>
  <c r="F80" i="5" l="1"/>
  <c r="D81" i="5"/>
  <c r="N70" i="5"/>
  <c r="O70" i="5" s="1"/>
  <c r="E70" i="5" s="1"/>
  <c r="F81" i="5" l="1"/>
  <c r="D82" i="5"/>
  <c r="N71" i="5"/>
  <c r="O71" i="5" s="1"/>
  <c r="E71" i="5" s="1"/>
  <c r="F82" i="5" l="1"/>
  <c r="D83" i="5"/>
  <c r="N72" i="5"/>
  <c r="O72" i="5" s="1"/>
  <c r="E72" i="5" s="1"/>
  <c r="F83" i="5" l="1"/>
  <c r="D84" i="5"/>
  <c r="N73" i="5"/>
  <c r="O73" i="5" s="1"/>
  <c r="E73" i="5" s="1"/>
  <c r="F84" i="5" l="1"/>
  <c r="D85" i="5"/>
  <c r="N74" i="5"/>
  <c r="O74" i="5" s="1"/>
  <c r="E74" i="5" s="1"/>
  <c r="F85" i="5" l="1"/>
  <c r="D86" i="5"/>
  <c r="N75" i="5"/>
  <c r="O75" i="5" s="1"/>
  <c r="E75" i="5" s="1"/>
  <c r="F86" i="5" l="1"/>
  <c r="D87" i="5"/>
  <c r="N77" i="5"/>
  <c r="O77" i="5" s="1"/>
  <c r="E77" i="5" s="1"/>
  <c r="F87" i="5" l="1"/>
  <c r="D88" i="5"/>
  <c r="N78" i="5"/>
  <c r="O78" i="5" s="1"/>
  <c r="E78" i="5" s="1"/>
  <c r="F88" i="5" l="1"/>
  <c r="D89" i="5"/>
  <c r="N79" i="5"/>
  <c r="O79" i="5" s="1"/>
  <c r="E79" i="5" s="1"/>
  <c r="F89" i="5" l="1"/>
  <c r="D90" i="5"/>
  <c r="N80" i="5"/>
  <c r="O80" i="5" s="1"/>
  <c r="E80" i="5" s="1"/>
  <c r="F90" i="5" l="1"/>
  <c r="D91" i="5"/>
  <c r="N81" i="5"/>
  <c r="O81" i="5" s="1"/>
  <c r="E81" i="5" s="1"/>
  <c r="F91" i="5" l="1"/>
  <c r="D92" i="5"/>
  <c r="N82" i="5"/>
  <c r="O82" i="5" s="1"/>
  <c r="E82" i="5" s="1"/>
  <c r="F92" i="5" l="1"/>
  <c r="D93" i="5"/>
  <c r="N83" i="5"/>
  <c r="O83" i="5" s="1"/>
  <c r="E83" i="5" s="1"/>
  <c r="F93" i="5" l="1"/>
  <c r="D94" i="5"/>
  <c r="N84" i="5"/>
  <c r="O84" i="5" s="1"/>
  <c r="E84" i="5" s="1"/>
  <c r="F94" i="5" l="1"/>
  <c r="D95" i="5"/>
  <c r="N85" i="5"/>
  <c r="O85" i="5" s="1"/>
  <c r="E85" i="5" s="1"/>
  <c r="F95" i="5" l="1"/>
  <c r="D96" i="5"/>
  <c r="N86" i="5"/>
  <c r="O86" i="5" s="1"/>
  <c r="E86" i="5" s="1"/>
  <c r="F96" i="5" l="1"/>
  <c r="D97" i="5"/>
  <c r="N87" i="5"/>
  <c r="O87" i="5" s="1"/>
  <c r="E87" i="5" s="1"/>
  <c r="F97" i="5" l="1"/>
  <c r="D98" i="5"/>
  <c r="N88" i="5"/>
  <c r="O88" i="5" s="1"/>
  <c r="E88" i="5" s="1"/>
  <c r="F98" i="5" l="1"/>
  <c r="D99" i="5"/>
  <c r="N89" i="5"/>
  <c r="O89" i="5" s="1"/>
  <c r="E89" i="5" s="1"/>
  <c r="F99" i="5" l="1"/>
  <c r="D100" i="5"/>
  <c r="N90" i="5"/>
  <c r="O90" i="5" s="1"/>
  <c r="E90" i="5" s="1"/>
  <c r="F100" i="5" l="1"/>
  <c r="D101" i="5"/>
  <c r="N91" i="5"/>
  <c r="O91" i="5" s="1"/>
  <c r="E91" i="5" s="1"/>
  <c r="F101" i="5" l="1"/>
  <c r="D102" i="5"/>
  <c r="N92" i="5"/>
  <c r="O92" i="5" s="1"/>
  <c r="E92" i="5" s="1"/>
  <c r="F102" i="5" l="1"/>
  <c r="D103" i="5"/>
  <c r="N93" i="5"/>
  <c r="O93" i="5" s="1"/>
  <c r="E93" i="5" s="1"/>
  <c r="F103" i="5" l="1"/>
  <c r="D104" i="5"/>
  <c r="N94" i="5"/>
  <c r="O94" i="5" s="1"/>
  <c r="E94" i="5" s="1"/>
  <c r="Y30" i="2"/>
  <c r="Y31" i="2"/>
  <c r="Y32" i="2"/>
  <c r="Y33" i="2"/>
  <c r="Y34" i="2"/>
  <c r="Y35" i="2"/>
  <c r="Y36" i="2"/>
  <c r="Y37" i="2"/>
  <c r="Y38" i="2"/>
  <c r="Y39" i="2"/>
  <c r="Y40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92" i="2"/>
  <c r="Y93" i="2"/>
  <c r="Y94" i="2"/>
  <c r="Y95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62" i="2"/>
  <c r="Y163" i="2"/>
  <c r="Y164" i="2"/>
  <c r="Y165" i="2"/>
  <c r="Y29" i="2"/>
  <c r="X92" i="2"/>
  <c r="X93" i="2"/>
  <c r="X94" i="2"/>
  <c r="X95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62" i="2"/>
  <c r="X163" i="2"/>
  <c r="X164" i="2"/>
  <c r="X165" i="2"/>
  <c r="X30" i="2"/>
  <c r="X31" i="2"/>
  <c r="X32" i="2"/>
  <c r="X33" i="2"/>
  <c r="X34" i="2"/>
  <c r="X35" i="2"/>
  <c r="X36" i="2"/>
  <c r="X37" i="2"/>
  <c r="X38" i="2"/>
  <c r="X39" i="2"/>
  <c r="X40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1" i="2"/>
  <c r="X82" i="2"/>
  <c r="X83" i="2"/>
  <c r="X84" i="2"/>
  <c r="X85" i="2"/>
  <c r="X86" i="2"/>
  <c r="X87" i="2"/>
  <c r="X88" i="2"/>
  <c r="X29" i="2"/>
  <c r="F104" i="5" l="1"/>
  <c r="D105" i="5"/>
  <c r="N95" i="5"/>
  <c r="O95" i="5" s="1"/>
  <c r="E95" i="5" s="1"/>
  <c r="U30" i="2"/>
  <c r="U31" i="2"/>
  <c r="U32" i="2"/>
  <c r="U33" i="2"/>
  <c r="U34" i="2"/>
  <c r="U35" i="2"/>
  <c r="U36" i="2"/>
  <c r="U37" i="2"/>
  <c r="U38" i="2"/>
  <c r="U39" i="2"/>
  <c r="U40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1" i="2"/>
  <c r="U82" i="2"/>
  <c r="U83" i="2"/>
  <c r="U84" i="2"/>
  <c r="U85" i="2"/>
  <c r="U86" i="2"/>
  <c r="U87" i="2"/>
  <c r="U88" i="2"/>
  <c r="U92" i="2"/>
  <c r="U93" i="2"/>
  <c r="U94" i="2"/>
  <c r="U95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62" i="2"/>
  <c r="U163" i="2"/>
  <c r="U164" i="2"/>
  <c r="U165" i="2"/>
  <c r="T92" i="2"/>
  <c r="T93" i="2"/>
  <c r="T94" i="2"/>
  <c r="T95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62" i="2"/>
  <c r="T163" i="2"/>
  <c r="T164" i="2"/>
  <c r="T165" i="2"/>
  <c r="T30" i="2"/>
  <c r="T31" i="2"/>
  <c r="T32" i="2"/>
  <c r="T33" i="2"/>
  <c r="T34" i="2"/>
  <c r="T35" i="2"/>
  <c r="T36" i="2"/>
  <c r="T37" i="2"/>
  <c r="T38" i="2"/>
  <c r="T39" i="2"/>
  <c r="T40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1" i="2"/>
  <c r="T82" i="2"/>
  <c r="T83" i="2"/>
  <c r="T84" i="2"/>
  <c r="T85" i="2"/>
  <c r="T86" i="2"/>
  <c r="T87" i="2"/>
  <c r="T88" i="2"/>
  <c r="T29" i="2"/>
  <c r="U29" i="2"/>
  <c r="O29" i="2"/>
  <c r="F105" i="5" l="1"/>
  <c r="D106" i="5"/>
  <c r="N96" i="5"/>
  <c r="O96" i="5" s="1"/>
  <c r="E96" i="5" s="1"/>
  <c r="E27" i="1"/>
  <c r="K135" i="3"/>
  <c r="H135" i="3"/>
  <c r="M134" i="3"/>
  <c r="L134" i="3"/>
  <c r="H134" i="3"/>
  <c r="A134" i="3"/>
  <c r="A135" i="3" s="1"/>
  <c r="K133" i="3"/>
  <c r="L133" i="3" s="1"/>
  <c r="M133" i="3" s="1"/>
  <c r="H133" i="3"/>
  <c r="A133" i="3"/>
  <c r="L132" i="3"/>
  <c r="M132" i="3" s="1"/>
  <c r="H132" i="3"/>
  <c r="I128" i="3"/>
  <c r="L128" i="3" s="1"/>
  <c r="M128" i="3" s="1"/>
  <c r="H128" i="3"/>
  <c r="L127" i="3"/>
  <c r="M127" i="3" s="1"/>
  <c r="I127" i="3"/>
  <c r="H127" i="3"/>
  <c r="I126" i="3"/>
  <c r="L126" i="3" s="1"/>
  <c r="M126" i="3" s="1"/>
  <c r="H126" i="3"/>
  <c r="L125" i="3"/>
  <c r="M125" i="3" s="1"/>
  <c r="I125" i="3"/>
  <c r="H125" i="3"/>
  <c r="I124" i="3"/>
  <c r="L124" i="3" s="1"/>
  <c r="M124" i="3" s="1"/>
  <c r="H124" i="3"/>
  <c r="L123" i="3"/>
  <c r="M123" i="3" s="1"/>
  <c r="I123" i="3"/>
  <c r="H123" i="3"/>
  <c r="M122" i="3"/>
  <c r="L122" i="3"/>
  <c r="I122" i="3"/>
  <c r="H122" i="3"/>
  <c r="L121" i="3"/>
  <c r="M121" i="3" s="1"/>
  <c r="I121" i="3"/>
  <c r="H121" i="3"/>
  <c r="M120" i="3"/>
  <c r="L120" i="3"/>
  <c r="I120" i="3"/>
  <c r="H120" i="3"/>
  <c r="L119" i="3"/>
  <c r="M119" i="3" s="1"/>
  <c r="I119" i="3"/>
  <c r="H119" i="3"/>
  <c r="M118" i="3"/>
  <c r="L118" i="3"/>
  <c r="I118" i="3"/>
  <c r="H118" i="3"/>
  <c r="L117" i="3"/>
  <c r="M117" i="3" s="1"/>
  <c r="I117" i="3"/>
  <c r="H117" i="3"/>
  <c r="M116" i="3"/>
  <c r="L116" i="3"/>
  <c r="I116" i="3"/>
  <c r="H116" i="3"/>
  <c r="L115" i="3"/>
  <c r="M115" i="3" s="1"/>
  <c r="I115" i="3"/>
  <c r="H115" i="3"/>
  <c r="M114" i="3"/>
  <c r="L114" i="3"/>
  <c r="I114" i="3"/>
  <c r="H114" i="3"/>
  <c r="L113" i="3"/>
  <c r="M113" i="3" s="1"/>
  <c r="I113" i="3"/>
  <c r="H113" i="3"/>
  <c r="M112" i="3"/>
  <c r="L112" i="3"/>
  <c r="I112" i="3"/>
  <c r="H112" i="3"/>
  <c r="L111" i="3"/>
  <c r="M111" i="3" s="1"/>
  <c r="I111" i="3"/>
  <c r="H111" i="3"/>
  <c r="M110" i="3"/>
  <c r="L110" i="3"/>
  <c r="I110" i="3"/>
  <c r="H110" i="3"/>
  <c r="L109" i="3"/>
  <c r="M109" i="3" s="1"/>
  <c r="I109" i="3"/>
  <c r="H109" i="3"/>
  <c r="M108" i="3"/>
  <c r="L108" i="3"/>
  <c r="I108" i="3"/>
  <c r="H108" i="3"/>
  <c r="L107" i="3"/>
  <c r="M107" i="3" s="1"/>
  <c r="I107" i="3"/>
  <c r="H107" i="3"/>
  <c r="M106" i="3"/>
  <c r="L106" i="3"/>
  <c r="I106" i="3"/>
  <c r="H106" i="3"/>
  <c r="L105" i="3"/>
  <c r="M105" i="3" s="1"/>
  <c r="I105" i="3"/>
  <c r="H105" i="3"/>
  <c r="M104" i="3"/>
  <c r="L104" i="3"/>
  <c r="I104" i="3"/>
  <c r="H104" i="3"/>
  <c r="L103" i="3"/>
  <c r="M103" i="3" s="1"/>
  <c r="I103" i="3"/>
  <c r="H103" i="3"/>
  <c r="M102" i="3"/>
  <c r="L102" i="3"/>
  <c r="I102" i="3"/>
  <c r="H102" i="3"/>
  <c r="L101" i="3"/>
  <c r="M101" i="3" s="1"/>
  <c r="I101" i="3"/>
  <c r="H101" i="3"/>
  <c r="M100" i="3"/>
  <c r="L100" i="3"/>
  <c r="I100" i="3"/>
  <c r="H100" i="3"/>
  <c r="L99" i="3"/>
  <c r="M99" i="3" s="1"/>
  <c r="I99" i="3"/>
  <c r="H99" i="3"/>
  <c r="M98" i="3"/>
  <c r="L98" i="3"/>
  <c r="I98" i="3"/>
  <c r="H98" i="3"/>
  <c r="L97" i="3"/>
  <c r="M97" i="3" s="1"/>
  <c r="I97" i="3"/>
  <c r="H97" i="3"/>
  <c r="M96" i="3"/>
  <c r="L96" i="3"/>
  <c r="I96" i="3"/>
  <c r="H96" i="3"/>
  <c r="L95" i="3"/>
  <c r="M95" i="3" s="1"/>
  <c r="I95" i="3"/>
  <c r="H95" i="3"/>
  <c r="M94" i="3"/>
  <c r="L94" i="3"/>
  <c r="I94" i="3"/>
  <c r="H94" i="3"/>
  <c r="L93" i="3"/>
  <c r="M93" i="3" s="1"/>
  <c r="I93" i="3"/>
  <c r="H93" i="3"/>
  <c r="M92" i="3"/>
  <c r="L92" i="3"/>
  <c r="I92" i="3"/>
  <c r="H92" i="3"/>
  <c r="L91" i="3"/>
  <c r="M91" i="3" s="1"/>
  <c r="I91" i="3"/>
  <c r="H91" i="3"/>
  <c r="M90" i="3"/>
  <c r="L90" i="3"/>
  <c r="I90" i="3"/>
  <c r="H90" i="3"/>
  <c r="L89" i="3"/>
  <c r="M89" i="3" s="1"/>
  <c r="I89" i="3"/>
  <c r="H89" i="3"/>
  <c r="M88" i="3"/>
  <c r="L88" i="3"/>
  <c r="I88" i="3"/>
  <c r="H88" i="3"/>
  <c r="L87" i="3"/>
  <c r="M87" i="3" s="1"/>
  <c r="I87" i="3"/>
  <c r="H87" i="3"/>
  <c r="M86" i="3"/>
  <c r="L86" i="3"/>
  <c r="I86" i="3"/>
  <c r="H86" i="3"/>
  <c r="L85" i="3"/>
  <c r="M85" i="3" s="1"/>
  <c r="I85" i="3"/>
  <c r="H85" i="3"/>
  <c r="M84" i="3"/>
  <c r="L84" i="3"/>
  <c r="I84" i="3"/>
  <c r="H84" i="3"/>
  <c r="L83" i="3"/>
  <c r="M83" i="3" s="1"/>
  <c r="I83" i="3"/>
  <c r="H83" i="3"/>
  <c r="M82" i="3"/>
  <c r="L82" i="3"/>
  <c r="I82" i="3"/>
  <c r="H82" i="3"/>
  <c r="L81" i="3"/>
  <c r="M81" i="3" s="1"/>
  <c r="I81" i="3"/>
  <c r="H81" i="3"/>
  <c r="M80" i="3"/>
  <c r="L80" i="3"/>
  <c r="I80" i="3"/>
  <c r="H80" i="3"/>
  <c r="L79" i="3"/>
  <c r="M79" i="3" s="1"/>
  <c r="I79" i="3"/>
  <c r="H79" i="3"/>
  <c r="M78" i="3"/>
  <c r="L78" i="3"/>
  <c r="I78" i="3"/>
  <c r="H78" i="3"/>
  <c r="L77" i="3"/>
  <c r="M77" i="3" s="1"/>
  <c r="I77" i="3"/>
  <c r="H77" i="3"/>
  <c r="M76" i="3"/>
  <c r="L76" i="3"/>
  <c r="I76" i="3"/>
  <c r="H76" i="3"/>
  <c r="L75" i="3"/>
  <c r="M75" i="3" s="1"/>
  <c r="I75" i="3"/>
  <c r="H75" i="3"/>
  <c r="M74" i="3"/>
  <c r="L74" i="3"/>
  <c r="I74" i="3"/>
  <c r="H74" i="3"/>
  <c r="M73" i="3"/>
  <c r="L73" i="3"/>
  <c r="I73" i="3"/>
  <c r="H73" i="3"/>
  <c r="M72" i="3"/>
  <c r="L72" i="3"/>
  <c r="I72" i="3"/>
  <c r="H72" i="3"/>
  <c r="M71" i="3"/>
  <c r="L71" i="3"/>
  <c r="I71" i="3"/>
  <c r="H71" i="3"/>
  <c r="M70" i="3"/>
  <c r="L70" i="3"/>
  <c r="I70" i="3"/>
  <c r="H70" i="3"/>
  <c r="M69" i="3"/>
  <c r="L69" i="3"/>
  <c r="I69" i="3"/>
  <c r="H69" i="3"/>
  <c r="M68" i="3"/>
  <c r="L68" i="3"/>
  <c r="I68" i="3"/>
  <c r="H68" i="3"/>
  <c r="M67" i="3"/>
  <c r="L67" i="3"/>
  <c r="I67" i="3"/>
  <c r="H67" i="3"/>
  <c r="M66" i="3"/>
  <c r="L66" i="3"/>
  <c r="I66" i="3"/>
  <c r="H66" i="3"/>
  <c r="M65" i="3"/>
  <c r="L65" i="3"/>
  <c r="I65" i="3"/>
  <c r="H65" i="3"/>
  <c r="L64" i="3"/>
  <c r="M64" i="3" s="1"/>
  <c r="I64" i="3"/>
  <c r="H64" i="3" s="1"/>
  <c r="L63" i="3"/>
  <c r="M63" i="3" s="1"/>
  <c r="I63" i="3"/>
  <c r="H63" i="3"/>
  <c r="L62" i="3"/>
  <c r="M62" i="3" s="1"/>
  <c r="I62" i="3"/>
  <c r="H62" i="3" s="1"/>
  <c r="L61" i="3"/>
  <c r="M61" i="3" s="1"/>
  <c r="I61" i="3"/>
  <c r="H61" i="3"/>
  <c r="L60" i="3"/>
  <c r="M60" i="3" s="1"/>
  <c r="I60" i="3"/>
  <c r="H60" i="3" s="1"/>
  <c r="L59" i="3"/>
  <c r="M59" i="3" s="1"/>
  <c r="I59" i="3"/>
  <c r="H59" i="3"/>
  <c r="I58" i="3"/>
  <c r="H58" i="3" s="1"/>
  <c r="L57" i="3"/>
  <c r="M57" i="3" s="1"/>
  <c r="I57" i="3"/>
  <c r="H57" i="3"/>
  <c r="I56" i="3"/>
  <c r="H56" i="3" s="1"/>
  <c r="L55" i="3"/>
  <c r="M55" i="3" s="1"/>
  <c r="I55" i="3"/>
  <c r="H55" i="3"/>
  <c r="I54" i="3"/>
  <c r="H54" i="3" s="1"/>
  <c r="L53" i="3"/>
  <c r="M53" i="3" s="1"/>
  <c r="I53" i="3"/>
  <c r="H53" i="3"/>
  <c r="L52" i="3"/>
  <c r="M52" i="3" s="1"/>
  <c r="I52" i="3"/>
  <c r="H52" i="3" s="1"/>
  <c r="L51" i="3"/>
  <c r="M51" i="3" s="1"/>
  <c r="I51" i="3"/>
  <c r="H51" i="3"/>
  <c r="I50" i="3"/>
  <c r="H50" i="3" s="1"/>
  <c r="L49" i="3"/>
  <c r="M49" i="3" s="1"/>
  <c r="I49" i="3"/>
  <c r="H49" i="3"/>
  <c r="L48" i="3"/>
  <c r="M48" i="3" s="1"/>
  <c r="I48" i="3"/>
  <c r="H48" i="3" s="1"/>
  <c r="L47" i="3"/>
  <c r="M47" i="3" s="1"/>
  <c r="I47" i="3"/>
  <c r="H47" i="3"/>
  <c r="L46" i="3"/>
  <c r="M46" i="3" s="1"/>
  <c r="I46" i="3"/>
  <c r="H46" i="3" s="1"/>
  <c r="L45" i="3"/>
  <c r="M45" i="3" s="1"/>
  <c r="I45" i="3"/>
  <c r="H45" i="3"/>
  <c r="L44" i="3"/>
  <c r="M44" i="3" s="1"/>
  <c r="I44" i="3"/>
  <c r="H44" i="3" s="1"/>
  <c r="L43" i="3"/>
  <c r="M43" i="3" s="1"/>
  <c r="I43" i="3"/>
  <c r="H43" i="3"/>
  <c r="I42" i="3"/>
  <c r="H42" i="3" s="1"/>
  <c r="L41" i="3"/>
  <c r="M41" i="3" s="1"/>
  <c r="I41" i="3"/>
  <c r="H41" i="3"/>
  <c r="I40" i="3"/>
  <c r="H40" i="3" s="1"/>
  <c r="L39" i="3"/>
  <c r="M39" i="3" s="1"/>
  <c r="I39" i="3"/>
  <c r="H39" i="3"/>
  <c r="I38" i="3"/>
  <c r="H38" i="3" s="1"/>
  <c r="L37" i="3"/>
  <c r="M37" i="3" s="1"/>
  <c r="I37" i="3"/>
  <c r="H37" i="3"/>
  <c r="L36" i="3"/>
  <c r="M36" i="3" s="1"/>
  <c r="I36" i="3"/>
  <c r="H36" i="3" s="1"/>
  <c r="L35" i="3"/>
  <c r="M35" i="3" s="1"/>
  <c r="I35" i="3"/>
  <c r="H35" i="3"/>
  <c r="I34" i="3"/>
  <c r="H34" i="3" s="1"/>
  <c r="L33" i="3"/>
  <c r="M33" i="3" s="1"/>
  <c r="I33" i="3"/>
  <c r="H33" i="3"/>
  <c r="I32" i="3"/>
  <c r="L32" i="3" s="1"/>
  <c r="M32" i="3" s="1"/>
  <c r="L31" i="3"/>
  <c r="M31" i="3" s="1"/>
  <c r="I31" i="3"/>
  <c r="H31" i="3"/>
  <c r="M30" i="3"/>
  <c r="L30" i="3"/>
  <c r="I30" i="3"/>
  <c r="H30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L29" i="3"/>
  <c r="M29" i="3" s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34" i="3" s="1"/>
  <c r="C135" i="3" s="1"/>
  <c r="F135" i="3" s="1"/>
  <c r="P24" i="3"/>
  <c r="O24" i="3"/>
  <c r="K19" i="3"/>
  <c r="C19" i="3"/>
  <c r="B19" i="3"/>
  <c r="A19" i="3"/>
  <c r="P18" i="3"/>
  <c r="T18" i="3" s="1"/>
  <c r="T17" i="3"/>
  <c r="D29" i="3" s="1"/>
  <c r="T16" i="3"/>
  <c r="C132" i="3" s="1"/>
  <c r="C133" i="3" s="1"/>
  <c r="F133" i="3" s="1"/>
  <c r="L15" i="3"/>
  <c r="K15" i="3"/>
  <c r="A15" i="3"/>
  <c r="L14" i="3"/>
  <c r="K14" i="3"/>
  <c r="H14" i="3"/>
  <c r="G14" i="3"/>
  <c r="F14" i="3"/>
  <c r="E14" i="3"/>
  <c r="A14" i="3"/>
  <c r="L13" i="3"/>
  <c r="K13" i="3"/>
  <c r="A13" i="3"/>
  <c r="R12" i="3"/>
  <c r="P12" i="3"/>
  <c r="L12" i="3"/>
  <c r="K12" i="3"/>
  <c r="H12" i="3"/>
  <c r="G12" i="3"/>
  <c r="F12" i="3"/>
  <c r="E12" i="3"/>
  <c r="A12" i="3"/>
  <c r="L11" i="3"/>
  <c r="K11" i="3"/>
  <c r="A11" i="3"/>
  <c r="R10" i="3"/>
  <c r="Q10" i="3"/>
  <c r="Q12" i="3" s="1"/>
  <c r="P10" i="3"/>
  <c r="L10" i="3"/>
  <c r="H10" i="3"/>
  <c r="G10" i="3"/>
  <c r="F10" i="3"/>
  <c r="E10" i="3"/>
  <c r="K10" i="3" s="1"/>
  <c r="A10" i="3"/>
  <c r="L9" i="3"/>
  <c r="K9" i="3"/>
  <c r="A9" i="3"/>
  <c r="L8" i="3"/>
  <c r="K8" i="3"/>
  <c r="H8" i="3"/>
  <c r="G8" i="3"/>
  <c r="F8" i="3"/>
  <c r="E8" i="3"/>
  <c r="A8" i="3"/>
  <c r="L7" i="3"/>
  <c r="K7" i="3"/>
  <c r="A7" i="3"/>
  <c r="K6" i="3"/>
  <c r="H6" i="3"/>
  <c r="G6" i="3"/>
  <c r="F6" i="3"/>
  <c r="L6" i="3" s="1"/>
  <c r="E6" i="3"/>
  <c r="A6" i="3"/>
  <c r="L5" i="3"/>
  <c r="K5" i="3"/>
  <c r="B5" i="3"/>
  <c r="A5" i="3" s="1"/>
  <c r="H4" i="3"/>
  <c r="G4" i="3"/>
  <c r="F4" i="3"/>
  <c r="L4" i="3" s="1"/>
  <c r="E4" i="3"/>
  <c r="K4" i="3" s="1"/>
  <c r="A4" i="3"/>
  <c r="L3" i="3"/>
  <c r="K3" i="3"/>
  <c r="I3" i="3"/>
  <c r="D3" i="3"/>
  <c r="D4" i="3" s="1"/>
  <c r="F106" i="5" l="1"/>
  <c r="D107" i="5"/>
  <c r="N97" i="5"/>
  <c r="O97" i="5" s="1"/>
  <c r="E97" i="5" s="1"/>
  <c r="D30" i="3"/>
  <c r="F29" i="3"/>
  <c r="D5" i="3"/>
  <c r="I4" i="3"/>
  <c r="H32" i="3"/>
  <c r="L38" i="3"/>
  <c r="M38" i="3" s="1"/>
  <c r="L54" i="3"/>
  <c r="M54" i="3" s="1"/>
  <c r="L50" i="3"/>
  <c r="M50" i="3" s="1"/>
  <c r="L40" i="3"/>
  <c r="M40" i="3" s="1"/>
  <c r="L56" i="3"/>
  <c r="M56" i="3" s="1"/>
  <c r="D133" i="3"/>
  <c r="D135" i="3" s="1"/>
  <c r="D132" i="3"/>
  <c r="L34" i="3"/>
  <c r="M34" i="3" s="1"/>
  <c r="L42" i="3"/>
  <c r="M42" i="3" s="1"/>
  <c r="L58" i="3"/>
  <c r="M58" i="3" s="1"/>
  <c r="L135" i="3"/>
  <c r="M135" i="3" s="1"/>
  <c r="F107" i="5" l="1"/>
  <c r="D108" i="5"/>
  <c r="N98" i="5"/>
  <c r="O98" i="5" s="1"/>
  <c r="E98" i="5" s="1"/>
  <c r="D31" i="3"/>
  <c r="F30" i="3"/>
  <c r="I5" i="3"/>
  <c r="D6" i="3"/>
  <c r="F132" i="3"/>
  <c r="D134" i="3"/>
  <c r="F134" i="3" s="1"/>
  <c r="F108" i="5" l="1"/>
  <c r="D109" i="5"/>
  <c r="N99" i="5"/>
  <c r="O99" i="5" s="1"/>
  <c r="E99" i="5" s="1"/>
  <c r="D7" i="3"/>
  <c r="I6" i="3"/>
  <c r="D32" i="3"/>
  <c r="F31" i="3"/>
  <c r="F109" i="5" l="1"/>
  <c r="D110" i="5"/>
  <c r="N100" i="5"/>
  <c r="O100" i="5" s="1"/>
  <c r="E100" i="5" s="1"/>
  <c r="I7" i="3"/>
  <c r="D8" i="3"/>
  <c r="D33" i="3"/>
  <c r="F32" i="3"/>
  <c r="F110" i="5" l="1"/>
  <c r="D111" i="5"/>
  <c r="N101" i="5"/>
  <c r="O101" i="5" s="1"/>
  <c r="E101" i="5" s="1"/>
  <c r="I8" i="3"/>
  <c r="D9" i="3"/>
  <c r="D34" i="3"/>
  <c r="F33" i="3"/>
  <c r="F111" i="5" l="1"/>
  <c r="D112" i="5"/>
  <c r="N102" i="5"/>
  <c r="O102" i="5" s="1"/>
  <c r="E102" i="5" s="1"/>
  <c r="F34" i="3"/>
  <c r="D35" i="3"/>
  <c r="D10" i="3"/>
  <c r="I9" i="3"/>
  <c r="F112" i="5" l="1"/>
  <c r="D113" i="5"/>
  <c r="N103" i="5"/>
  <c r="O103" i="5" s="1"/>
  <c r="E103" i="5" s="1"/>
  <c r="D36" i="3"/>
  <c r="F35" i="3"/>
  <c r="I10" i="3"/>
  <c r="D11" i="3"/>
  <c r="F113" i="5" l="1"/>
  <c r="D114" i="5"/>
  <c r="N104" i="5"/>
  <c r="O104" i="5" s="1"/>
  <c r="E104" i="5" s="1"/>
  <c r="E19" i="3"/>
  <c r="F19" i="3" s="1"/>
  <c r="G19" i="3" s="1"/>
  <c r="D12" i="3"/>
  <c r="I11" i="3"/>
  <c r="F36" i="3"/>
  <c r="D37" i="3"/>
  <c r="F114" i="5" l="1"/>
  <c r="D115" i="5"/>
  <c r="N105" i="5"/>
  <c r="O105" i="5" s="1"/>
  <c r="E105" i="5" s="1"/>
  <c r="H25" i="3"/>
  <c r="I25" i="3" s="1"/>
  <c r="J25" i="3" s="1"/>
  <c r="I12" i="3"/>
  <c r="D13" i="3"/>
  <c r="D38" i="3"/>
  <c r="F37" i="3"/>
  <c r="H19" i="3"/>
  <c r="L19" i="3"/>
  <c r="F115" i="5" l="1"/>
  <c r="D116" i="5"/>
  <c r="N106" i="5"/>
  <c r="O106" i="5" s="1"/>
  <c r="E106" i="5" s="1"/>
  <c r="I13" i="3"/>
  <c r="D14" i="3"/>
  <c r="F38" i="3"/>
  <c r="D39" i="3"/>
  <c r="F116" i="5" l="1"/>
  <c r="D117" i="5"/>
  <c r="N107" i="5"/>
  <c r="O107" i="5" s="1"/>
  <c r="E107" i="5" s="1"/>
  <c r="D40" i="3"/>
  <c r="F39" i="3"/>
  <c r="I14" i="3"/>
  <c r="D15" i="3"/>
  <c r="F117" i="5" l="1"/>
  <c r="D118" i="5"/>
  <c r="N108" i="5"/>
  <c r="O108" i="5" s="1"/>
  <c r="E108" i="5" s="1"/>
  <c r="F40" i="3"/>
  <c r="D41" i="3"/>
  <c r="I15" i="3"/>
  <c r="N132" i="3"/>
  <c r="N29" i="3"/>
  <c r="F118" i="5" l="1"/>
  <c r="D119" i="5"/>
  <c r="N109" i="5"/>
  <c r="O109" i="5" s="1"/>
  <c r="E109" i="5" s="1"/>
  <c r="N133" i="3"/>
  <c r="O132" i="3"/>
  <c r="N30" i="3"/>
  <c r="O29" i="3"/>
  <c r="D42" i="3"/>
  <c r="F41" i="3"/>
  <c r="F119" i="5" l="1"/>
  <c r="D120" i="5"/>
  <c r="N110" i="5"/>
  <c r="O110" i="5" s="1"/>
  <c r="E110" i="5" s="1"/>
  <c r="F42" i="3"/>
  <c r="D43" i="3"/>
  <c r="P29" i="3"/>
  <c r="N31" i="3"/>
  <c r="O30" i="3"/>
  <c r="P30" i="3" s="1"/>
  <c r="E30" i="3" s="1"/>
  <c r="P132" i="3"/>
  <c r="E132" i="3" s="1"/>
  <c r="N134" i="3"/>
  <c r="O133" i="3"/>
  <c r="P133" i="3" s="1"/>
  <c r="E133" i="3" s="1"/>
  <c r="F120" i="5" l="1"/>
  <c r="D121" i="5"/>
  <c r="E29" i="3"/>
  <c r="T29" i="3"/>
  <c r="U29" i="3" s="1"/>
  <c r="N111" i="5"/>
  <c r="O111" i="5" s="1"/>
  <c r="E111" i="5" s="1"/>
  <c r="D44" i="3"/>
  <c r="F43" i="3"/>
  <c r="N32" i="3"/>
  <c r="O31" i="3"/>
  <c r="P31" i="3" s="1"/>
  <c r="E31" i="3" s="1"/>
  <c r="N135" i="3"/>
  <c r="O135" i="3" s="1"/>
  <c r="P135" i="3" s="1"/>
  <c r="E135" i="3" s="1"/>
  <c r="O134" i="3"/>
  <c r="F121" i="5" l="1"/>
  <c r="D122" i="5"/>
  <c r="N112" i="5"/>
  <c r="O112" i="5" s="1"/>
  <c r="E112" i="5" s="1"/>
  <c r="P134" i="3"/>
  <c r="E134" i="3" s="1"/>
  <c r="R132" i="3"/>
  <c r="S132" i="3" s="1"/>
  <c r="N33" i="3"/>
  <c r="O32" i="3"/>
  <c r="P32" i="3" s="1"/>
  <c r="E32" i="3" s="1"/>
  <c r="F44" i="3"/>
  <c r="D45" i="3"/>
  <c r="F122" i="5" l="1"/>
  <c r="D123" i="5"/>
  <c r="N113" i="5"/>
  <c r="O113" i="5" s="1"/>
  <c r="E113" i="5" s="1"/>
  <c r="D46" i="3"/>
  <c r="F45" i="3"/>
  <c r="N34" i="3"/>
  <c r="O33" i="3"/>
  <c r="F123" i="5" l="1"/>
  <c r="D124" i="5"/>
  <c r="N114" i="5"/>
  <c r="O114" i="5" s="1"/>
  <c r="E114" i="5" s="1"/>
  <c r="P33" i="3"/>
  <c r="E33" i="3" s="1"/>
  <c r="N35" i="3"/>
  <c r="O34" i="3"/>
  <c r="P34" i="3" s="1"/>
  <c r="E34" i="3" s="1"/>
  <c r="F46" i="3"/>
  <c r="D47" i="3"/>
  <c r="F124" i="5" l="1"/>
  <c r="D125" i="5"/>
  <c r="N115" i="5"/>
  <c r="O115" i="5" s="1"/>
  <c r="E115" i="5" s="1"/>
  <c r="D48" i="3"/>
  <c r="F47" i="3"/>
  <c r="N36" i="3"/>
  <c r="O35" i="3"/>
  <c r="P35" i="3" s="1"/>
  <c r="E35" i="3" s="1"/>
  <c r="F125" i="5" l="1"/>
  <c r="D126" i="5"/>
  <c r="N116" i="5"/>
  <c r="O116" i="5" s="1"/>
  <c r="E116" i="5" s="1"/>
  <c r="N37" i="3"/>
  <c r="O36" i="3"/>
  <c r="P36" i="3" s="1"/>
  <c r="E36" i="3" s="1"/>
  <c r="F48" i="3"/>
  <c r="D49" i="3"/>
  <c r="F126" i="5" l="1"/>
  <c r="D127" i="5"/>
  <c r="N117" i="5"/>
  <c r="O117" i="5" s="1"/>
  <c r="E117" i="5" s="1"/>
  <c r="D50" i="3"/>
  <c r="F49" i="3"/>
  <c r="O37" i="3"/>
  <c r="P37" i="3" s="1"/>
  <c r="E37" i="3" s="1"/>
  <c r="N38" i="3"/>
  <c r="F127" i="5" l="1"/>
  <c r="D128" i="5"/>
  <c r="N118" i="5"/>
  <c r="O118" i="5" s="1"/>
  <c r="E118" i="5" s="1"/>
  <c r="N39" i="3"/>
  <c r="O38" i="3"/>
  <c r="P38" i="3" s="1"/>
  <c r="E38" i="3" s="1"/>
  <c r="F50" i="3"/>
  <c r="D51" i="3"/>
  <c r="F128" i="5" l="1"/>
  <c r="D129" i="5"/>
  <c r="N119" i="5"/>
  <c r="O119" i="5" s="1"/>
  <c r="E119" i="5" s="1"/>
  <c r="D52" i="3"/>
  <c r="F51" i="3"/>
  <c r="N40" i="3"/>
  <c r="O39" i="3"/>
  <c r="P39" i="3" s="1"/>
  <c r="E39" i="3" s="1"/>
  <c r="F129" i="5" l="1"/>
  <c r="D130" i="5"/>
  <c r="N120" i="5"/>
  <c r="O120" i="5" s="1"/>
  <c r="E120" i="5" s="1"/>
  <c r="N41" i="3"/>
  <c r="O40" i="3"/>
  <c r="P40" i="3" s="1"/>
  <c r="E40" i="3" s="1"/>
  <c r="F52" i="3"/>
  <c r="D53" i="3"/>
  <c r="F130" i="5" l="1"/>
  <c r="D131" i="5"/>
  <c r="F131" i="5" s="1"/>
  <c r="N121" i="5"/>
  <c r="O121" i="5" s="1"/>
  <c r="E121" i="5" s="1"/>
  <c r="D54" i="3"/>
  <c r="F53" i="3"/>
  <c r="N42" i="3"/>
  <c r="O41" i="3"/>
  <c r="P41" i="3" s="1"/>
  <c r="E41" i="3" s="1"/>
  <c r="N122" i="5" l="1"/>
  <c r="O122" i="5" s="1"/>
  <c r="E122" i="5" s="1"/>
  <c r="N43" i="3"/>
  <c r="O42" i="3"/>
  <c r="P42" i="3" s="1"/>
  <c r="E42" i="3" s="1"/>
  <c r="F54" i="3"/>
  <c r="D55" i="3"/>
  <c r="N123" i="5" l="1"/>
  <c r="O123" i="5" s="1"/>
  <c r="E123" i="5" s="1"/>
  <c r="D56" i="3"/>
  <c r="F55" i="3"/>
  <c r="O43" i="3"/>
  <c r="P43" i="3" s="1"/>
  <c r="E43" i="3" s="1"/>
  <c r="N44" i="3"/>
  <c r="N124" i="5" l="1"/>
  <c r="O124" i="5" s="1"/>
  <c r="E124" i="5" s="1"/>
  <c r="N45" i="3"/>
  <c r="O44" i="3"/>
  <c r="P44" i="3" s="1"/>
  <c r="E44" i="3" s="1"/>
  <c r="F56" i="3"/>
  <c r="D57" i="3"/>
  <c r="N125" i="5" l="1"/>
  <c r="O125" i="5" s="1"/>
  <c r="E125" i="5" s="1"/>
  <c r="D58" i="3"/>
  <c r="F57" i="3"/>
  <c r="N46" i="3"/>
  <c r="O45" i="3"/>
  <c r="P45" i="3" s="1"/>
  <c r="E45" i="3" s="1"/>
  <c r="N126" i="5" l="1"/>
  <c r="O126" i="5" s="1"/>
  <c r="E126" i="5" s="1"/>
  <c r="N47" i="3"/>
  <c r="O46" i="3"/>
  <c r="P46" i="3" s="1"/>
  <c r="E46" i="3" s="1"/>
  <c r="F58" i="3"/>
  <c r="D59" i="3"/>
  <c r="N127" i="5" l="1"/>
  <c r="O127" i="5" s="1"/>
  <c r="E127" i="5" s="1"/>
  <c r="D60" i="3"/>
  <c r="F59" i="3"/>
  <c r="N48" i="3"/>
  <c r="O47" i="3"/>
  <c r="P47" i="3" s="1"/>
  <c r="E47" i="3" s="1"/>
  <c r="N128" i="5" l="1"/>
  <c r="O128" i="5" s="1"/>
  <c r="E128" i="5" s="1"/>
  <c r="N49" i="3"/>
  <c r="O48" i="3"/>
  <c r="P48" i="3" s="1"/>
  <c r="E48" i="3" s="1"/>
  <c r="F60" i="3"/>
  <c r="D61" i="3"/>
  <c r="N129" i="5" l="1"/>
  <c r="O129" i="5" s="1"/>
  <c r="E129" i="5" s="1"/>
  <c r="D62" i="3"/>
  <c r="F61" i="3"/>
  <c r="N50" i="3"/>
  <c r="O49" i="3"/>
  <c r="P49" i="3" s="1"/>
  <c r="E49" i="3" s="1"/>
  <c r="N130" i="5" l="1"/>
  <c r="O130" i="5" s="1"/>
  <c r="E130" i="5" s="1"/>
  <c r="N51" i="3"/>
  <c r="O50" i="3"/>
  <c r="P50" i="3" s="1"/>
  <c r="E50" i="3" s="1"/>
  <c r="F62" i="3"/>
  <c r="D63" i="3"/>
  <c r="N131" i="5" l="1"/>
  <c r="Q29" i="5" s="1"/>
  <c r="D64" i="3"/>
  <c r="F63" i="3"/>
  <c r="N52" i="3"/>
  <c r="O51" i="3"/>
  <c r="P51" i="3" s="1"/>
  <c r="E51" i="3" s="1"/>
  <c r="O131" i="5" l="1"/>
  <c r="E131" i="5" s="1"/>
  <c r="R29" i="5"/>
  <c r="N53" i="3"/>
  <c r="O52" i="3"/>
  <c r="P52" i="3" s="1"/>
  <c r="E52" i="3" s="1"/>
  <c r="D65" i="3"/>
  <c r="F64" i="3"/>
  <c r="D66" i="3" l="1"/>
  <c r="F65" i="3"/>
  <c r="O53" i="3"/>
  <c r="P53" i="3" s="1"/>
  <c r="E53" i="3" s="1"/>
  <c r="N54" i="3"/>
  <c r="N55" i="3" l="1"/>
  <c r="O54" i="3"/>
  <c r="P54" i="3" s="1"/>
  <c r="E54" i="3" s="1"/>
  <c r="D67" i="3"/>
  <c r="F66" i="3"/>
  <c r="D68" i="3" l="1"/>
  <c r="F67" i="3"/>
  <c r="N56" i="3"/>
  <c r="O55" i="3"/>
  <c r="P55" i="3" s="1"/>
  <c r="E55" i="3" s="1"/>
  <c r="N57" i="3" l="1"/>
  <c r="O56" i="3"/>
  <c r="P56" i="3" s="1"/>
  <c r="E56" i="3" s="1"/>
  <c r="D69" i="3"/>
  <c r="F68" i="3"/>
  <c r="D70" i="3" l="1"/>
  <c r="F69" i="3"/>
  <c r="N58" i="3"/>
  <c r="O57" i="3"/>
  <c r="P57" i="3" s="1"/>
  <c r="E57" i="3" s="1"/>
  <c r="N59" i="3" l="1"/>
  <c r="O58" i="3"/>
  <c r="P58" i="3" s="1"/>
  <c r="E58" i="3" s="1"/>
  <c r="D71" i="3"/>
  <c r="F70" i="3"/>
  <c r="D72" i="3" l="1"/>
  <c r="F71" i="3"/>
  <c r="O59" i="3"/>
  <c r="P59" i="3" s="1"/>
  <c r="E59" i="3" s="1"/>
  <c r="N60" i="3"/>
  <c r="N61" i="3" l="1"/>
  <c r="O60" i="3"/>
  <c r="P60" i="3" s="1"/>
  <c r="E60" i="3" s="1"/>
  <c r="D73" i="3"/>
  <c r="F72" i="3"/>
  <c r="D74" i="3" l="1"/>
  <c r="F73" i="3"/>
  <c r="N62" i="3"/>
  <c r="O61" i="3"/>
  <c r="P61" i="3" s="1"/>
  <c r="E61" i="3" s="1"/>
  <c r="N63" i="3" l="1"/>
  <c r="O62" i="3"/>
  <c r="P62" i="3" s="1"/>
  <c r="E62" i="3" s="1"/>
  <c r="D75" i="3"/>
  <c r="F74" i="3"/>
  <c r="D76" i="3" l="1"/>
  <c r="F75" i="3"/>
  <c r="N64" i="3"/>
  <c r="O63" i="3"/>
  <c r="P63" i="3" s="1"/>
  <c r="E63" i="3" s="1"/>
  <c r="N65" i="3" l="1"/>
  <c r="O64" i="3"/>
  <c r="P64" i="3" s="1"/>
  <c r="E64" i="3" s="1"/>
  <c r="D77" i="3"/>
  <c r="F76" i="3"/>
  <c r="D78" i="3" l="1"/>
  <c r="F77" i="3"/>
  <c r="N66" i="3"/>
  <c r="O65" i="3"/>
  <c r="P65" i="3" s="1"/>
  <c r="E65" i="3" s="1"/>
  <c r="N67" i="3" l="1"/>
  <c r="O66" i="3"/>
  <c r="P66" i="3" s="1"/>
  <c r="E66" i="3" s="1"/>
  <c r="D79" i="3"/>
  <c r="F78" i="3"/>
  <c r="D80" i="3" l="1"/>
  <c r="F79" i="3"/>
  <c r="N68" i="3"/>
  <c r="O67" i="3"/>
  <c r="P67" i="3" s="1"/>
  <c r="E67" i="3" s="1"/>
  <c r="N69" i="3" l="1"/>
  <c r="O68" i="3"/>
  <c r="P68" i="3" s="1"/>
  <c r="E68" i="3" s="1"/>
  <c r="D81" i="3"/>
  <c r="F80" i="3"/>
  <c r="N70" i="3" l="1"/>
  <c r="O69" i="3"/>
  <c r="P69" i="3" s="1"/>
  <c r="E69" i="3" s="1"/>
  <c r="D82" i="3"/>
  <c r="F81" i="3"/>
  <c r="N71" i="3" l="1"/>
  <c r="O70" i="3"/>
  <c r="P70" i="3" s="1"/>
  <c r="E70" i="3" s="1"/>
  <c r="D83" i="3"/>
  <c r="F82" i="3"/>
  <c r="D84" i="3" l="1"/>
  <c r="F83" i="3"/>
  <c r="N72" i="3"/>
  <c r="O71" i="3"/>
  <c r="P71" i="3" s="1"/>
  <c r="E71" i="3" s="1"/>
  <c r="N73" i="3" l="1"/>
  <c r="O72" i="3"/>
  <c r="P72" i="3" s="1"/>
  <c r="E72" i="3" s="1"/>
  <c r="D85" i="3"/>
  <c r="F84" i="3"/>
  <c r="D86" i="3" l="1"/>
  <c r="F85" i="3"/>
  <c r="N74" i="3"/>
  <c r="O73" i="3"/>
  <c r="P73" i="3" s="1"/>
  <c r="E73" i="3" s="1"/>
  <c r="N75" i="3" l="1"/>
  <c r="O74" i="3"/>
  <c r="P74" i="3" s="1"/>
  <c r="E74" i="3" s="1"/>
  <c r="D87" i="3"/>
  <c r="F86" i="3"/>
  <c r="D88" i="3" l="1"/>
  <c r="F87" i="3"/>
  <c r="N76" i="3"/>
  <c r="O75" i="3"/>
  <c r="P75" i="3" s="1"/>
  <c r="E75" i="3" s="1"/>
  <c r="N77" i="3" l="1"/>
  <c r="O76" i="3"/>
  <c r="P76" i="3" s="1"/>
  <c r="E76" i="3" s="1"/>
  <c r="D89" i="3"/>
  <c r="F88" i="3"/>
  <c r="D90" i="3" l="1"/>
  <c r="F89" i="3"/>
  <c r="N78" i="3"/>
  <c r="O77" i="3"/>
  <c r="P77" i="3" s="1"/>
  <c r="E77" i="3" s="1"/>
  <c r="N79" i="3" l="1"/>
  <c r="O78" i="3"/>
  <c r="P78" i="3" s="1"/>
  <c r="E78" i="3" s="1"/>
  <c r="D91" i="3"/>
  <c r="F90" i="3"/>
  <c r="D92" i="3" l="1"/>
  <c r="F91" i="3"/>
  <c r="N80" i="3"/>
  <c r="O79" i="3"/>
  <c r="P79" i="3" s="1"/>
  <c r="E79" i="3" s="1"/>
  <c r="N81" i="3" l="1"/>
  <c r="O80" i="3"/>
  <c r="P80" i="3" s="1"/>
  <c r="E80" i="3" s="1"/>
  <c r="D93" i="3"/>
  <c r="F92" i="3"/>
  <c r="D94" i="3" l="1"/>
  <c r="F93" i="3"/>
  <c r="N82" i="3"/>
  <c r="O81" i="3"/>
  <c r="P81" i="3" s="1"/>
  <c r="E81" i="3" s="1"/>
  <c r="N83" i="3" l="1"/>
  <c r="O82" i="3"/>
  <c r="P82" i="3" s="1"/>
  <c r="E82" i="3" s="1"/>
  <c r="D95" i="3"/>
  <c r="F94" i="3"/>
  <c r="D96" i="3" l="1"/>
  <c r="F95" i="3"/>
  <c r="N84" i="3"/>
  <c r="O83" i="3"/>
  <c r="P83" i="3" s="1"/>
  <c r="E83" i="3" s="1"/>
  <c r="N85" i="3" l="1"/>
  <c r="O84" i="3"/>
  <c r="P84" i="3" s="1"/>
  <c r="E84" i="3" s="1"/>
  <c r="D97" i="3"/>
  <c r="F96" i="3"/>
  <c r="D98" i="3" l="1"/>
  <c r="F97" i="3"/>
  <c r="N86" i="3"/>
  <c r="O85" i="3"/>
  <c r="P85" i="3" s="1"/>
  <c r="E85" i="3" s="1"/>
  <c r="N87" i="3" l="1"/>
  <c r="O86" i="3"/>
  <c r="P86" i="3" s="1"/>
  <c r="E86" i="3" s="1"/>
  <c r="D99" i="3"/>
  <c r="F98" i="3"/>
  <c r="D100" i="3" l="1"/>
  <c r="F99" i="3"/>
  <c r="N88" i="3"/>
  <c r="O87" i="3"/>
  <c r="P87" i="3" s="1"/>
  <c r="E87" i="3" s="1"/>
  <c r="N89" i="3" l="1"/>
  <c r="O88" i="3"/>
  <c r="P88" i="3" s="1"/>
  <c r="E88" i="3" s="1"/>
  <c r="D101" i="3"/>
  <c r="F100" i="3"/>
  <c r="D102" i="3" l="1"/>
  <c r="F101" i="3"/>
  <c r="N90" i="3"/>
  <c r="O89" i="3"/>
  <c r="P89" i="3" s="1"/>
  <c r="E89" i="3" s="1"/>
  <c r="N91" i="3" l="1"/>
  <c r="O90" i="3"/>
  <c r="P90" i="3" s="1"/>
  <c r="E90" i="3" s="1"/>
  <c r="D103" i="3"/>
  <c r="F102" i="3"/>
  <c r="D104" i="3" l="1"/>
  <c r="F103" i="3"/>
  <c r="N92" i="3"/>
  <c r="O91" i="3"/>
  <c r="P91" i="3" s="1"/>
  <c r="E91" i="3" s="1"/>
  <c r="N93" i="3" l="1"/>
  <c r="O92" i="3"/>
  <c r="P92" i="3" s="1"/>
  <c r="E92" i="3" s="1"/>
  <c r="D105" i="3"/>
  <c r="F104" i="3"/>
  <c r="D106" i="3" l="1"/>
  <c r="F105" i="3"/>
  <c r="N94" i="3"/>
  <c r="O93" i="3"/>
  <c r="P93" i="3" s="1"/>
  <c r="E93" i="3" s="1"/>
  <c r="N95" i="3" l="1"/>
  <c r="O94" i="3"/>
  <c r="P94" i="3" s="1"/>
  <c r="E94" i="3" s="1"/>
  <c r="D107" i="3"/>
  <c r="F106" i="3"/>
  <c r="D108" i="3" l="1"/>
  <c r="F107" i="3"/>
  <c r="N96" i="3"/>
  <c r="O95" i="3"/>
  <c r="P95" i="3" s="1"/>
  <c r="E95" i="3" s="1"/>
  <c r="N97" i="3" l="1"/>
  <c r="O96" i="3"/>
  <c r="P96" i="3" s="1"/>
  <c r="E96" i="3" s="1"/>
  <c r="D109" i="3"/>
  <c r="F108" i="3"/>
  <c r="D110" i="3" l="1"/>
  <c r="F109" i="3"/>
  <c r="N98" i="3"/>
  <c r="O97" i="3"/>
  <c r="P97" i="3" s="1"/>
  <c r="E97" i="3" s="1"/>
  <c r="N99" i="3" l="1"/>
  <c r="O98" i="3"/>
  <c r="P98" i="3" s="1"/>
  <c r="E98" i="3" s="1"/>
  <c r="D111" i="3"/>
  <c r="F110" i="3"/>
  <c r="D112" i="3" l="1"/>
  <c r="F111" i="3"/>
  <c r="N100" i="3"/>
  <c r="O99" i="3"/>
  <c r="P99" i="3" s="1"/>
  <c r="E99" i="3" s="1"/>
  <c r="N101" i="3" l="1"/>
  <c r="O100" i="3"/>
  <c r="P100" i="3" s="1"/>
  <c r="E100" i="3" s="1"/>
  <c r="D113" i="3"/>
  <c r="F112" i="3"/>
  <c r="D114" i="3" l="1"/>
  <c r="F113" i="3"/>
  <c r="N102" i="3"/>
  <c r="O101" i="3"/>
  <c r="P101" i="3" s="1"/>
  <c r="E101" i="3" s="1"/>
  <c r="N103" i="3" l="1"/>
  <c r="O102" i="3"/>
  <c r="P102" i="3" s="1"/>
  <c r="E102" i="3" s="1"/>
  <c r="D115" i="3"/>
  <c r="F114" i="3"/>
  <c r="D116" i="3" l="1"/>
  <c r="F115" i="3"/>
  <c r="N104" i="3"/>
  <c r="O103" i="3"/>
  <c r="P103" i="3" s="1"/>
  <c r="E103" i="3" s="1"/>
  <c r="N105" i="3" l="1"/>
  <c r="O104" i="3"/>
  <c r="P104" i="3" s="1"/>
  <c r="E104" i="3" s="1"/>
  <c r="D117" i="3"/>
  <c r="F116" i="3"/>
  <c r="D118" i="3" l="1"/>
  <c r="F117" i="3"/>
  <c r="N106" i="3"/>
  <c r="O105" i="3"/>
  <c r="P105" i="3" s="1"/>
  <c r="E105" i="3" s="1"/>
  <c r="N107" i="3" l="1"/>
  <c r="O106" i="3"/>
  <c r="P106" i="3" s="1"/>
  <c r="E106" i="3" s="1"/>
  <c r="D119" i="3"/>
  <c r="F118" i="3"/>
  <c r="D120" i="3" l="1"/>
  <c r="F119" i="3"/>
  <c r="N108" i="3"/>
  <c r="O107" i="3"/>
  <c r="P107" i="3" s="1"/>
  <c r="E107" i="3" s="1"/>
  <c r="N109" i="3" l="1"/>
  <c r="O108" i="3"/>
  <c r="P108" i="3" s="1"/>
  <c r="E108" i="3" s="1"/>
  <c r="D121" i="3"/>
  <c r="F120" i="3"/>
  <c r="D122" i="3" l="1"/>
  <c r="F121" i="3"/>
  <c r="N110" i="3"/>
  <c r="O109" i="3"/>
  <c r="P109" i="3" s="1"/>
  <c r="E109" i="3" s="1"/>
  <c r="N111" i="3" l="1"/>
  <c r="O110" i="3"/>
  <c r="P110" i="3" s="1"/>
  <c r="E110" i="3" s="1"/>
  <c r="D123" i="3"/>
  <c r="F122" i="3"/>
  <c r="D124" i="3" l="1"/>
  <c r="F123" i="3"/>
  <c r="N112" i="3"/>
  <c r="O111" i="3"/>
  <c r="P111" i="3" s="1"/>
  <c r="E111" i="3" s="1"/>
  <c r="N113" i="3" l="1"/>
  <c r="O112" i="3"/>
  <c r="P112" i="3" s="1"/>
  <c r="E112" i="3" s="1"/>
  <c r="D125" i="3"/>
  <c r="F124" i="3"/>
  <c r="D126" i="3" l="1"/>
  <c r="F125" i="3"/>
  <c r="N114" i="3"/>
  <c r="O113" i="3"/>
  <c r="P113" i="3" s="1"/>
  <c r="E113" i="3" s="1"/>
  <c r="N115" i="3" l="1"/>
  <c r="O114" i="3"/>
  <c r="P114" i="3" s="1"/>
  <c r="E114" i="3" s="1"/>
  <c r="D127" i="3"/>
  <c r="F126" i="3"/>
  <c r="D128" i="3" l="1"/>
  <c r="F128" i="3" s="1"/>
  <c r="F127" i="3"/>
  <c r="N116" i="3"/>
  <c r="O115" i="3"/>
  <c r="P115" i="3" s="1"/>
  <c r="E115" i="3" s="1"/>
  <c r="N117" i="3" l="1"/>
  <c r="O116" i="3"/>
  <c r="P116" i="3" s="1"/>
  <c r="E116" i="3" s="1"/>
  <c r="N118" i="3" l="1"/>
  <c r="O117" i="3"/>
  <c r="P117" i="3" s="1"/>
  <c r="E117" i="3" s="1"/>
  <c r="N119" i="3" l="1"/>
  <c r="O118" i="3"/>
  <c r="P118" i="3" s="1"/>
  <c r="E118" i="3" s="1"/>
  <c r="N120" i="3" l="1"/>
  <c r="O119" i="3"/>
  <c r="P119" i="3" s="1"/>
  <c r="E119" i="3" s="1"/>
  <c r="N121" i="3" l="1"/>
  <c r="O120" i="3"/>
  <c r="P120" i="3" s="1"/>
  <c r="E120" i="3" s="1"/>
  <c r="N122" i="3" l="1"/>
  <c r="O121" i="3"/>
  <c r="P121" i="3" s="1"/>
  <c r="E121" i="3" s="1"/>
  <c r="N123" i="3" l="1"/>
  <c r="O122" i="3"/>
  <c r="P122" i="3" s="1"/>
  <c r="E122" i="3" s="1"/>
  <c r="N124" i="3" l="1"/>
  <c r="O123" i="3"/>
  <c r="P123" i="3" s="1"/>
  <c r="E123" i="3" s="1"/>
  <c r="N125" i="3" l="1"/>
  <c r="O124" i="3"/>
  <c r="P124" i="3" s="1"/>
  <c r="E124" i="3" s="1"/>
  <c r="N126" i="3" l="1"/>
  <c r="O125" i="3"/>
  <c r="P125" i="3" s="1"/>
  <c r="E125" i="3" s="1"/>
  <c r="N127" i="3" l="1"/>
  <c r="O126" i="3"/>
  <c r="P126" i="3" s="1"/>
  <c r="E126" i="3" s="1"/>
  <c r="N128" i="3" l="1"/>
  <c r="O128" i="3" s="1"/>
  <c r="O127" i="3"/>
  <c r="P127" i="3" s="1"/>
  <c r="E127" i="3" s="1"/>
  <c r="P128" i="3" l="1"/>
  <c r="E128" i="3" s="1"/>
  <c r="R29" i="3"/>
  <c r="S29" i="3" s="1"/>
  <c r="L165" i="2" l="1"/>
  <c r="M165" i="2" s="1"/>
  <c r="H165" i="2"/>
  <c r="M164" i="2"/>
  <c r="L164" i="2"/>
  <c r="H164" i="2"/>
  <c r="A164" i="2"/>
  <c r="A165" i="2" s="1"/>
  <c r="M163" i="2"/>
  <c r="L163" i="2"/>
  <c r="H163" i="2"/>
  <c r="A163" i="2"/>
  <c r="M162" i="2"/>
  <c r="L162" i="2"/>
  <c r="H162" i="2"/>
  <c r="C162" i="2"/>
  <c r="C163" i="2" s="1"/>
  <c r="F163" i="2" s="1"/>
  <c r="L158" i="2"/>
  <c r="M158" i="2" s="1"/>
  <c r="H158" i="2"/>
  <c r="M157" i="2"/>
  <c r="L157" i="2"/>
  <c r="H157" i="2"/>
  <c r="M156" i="2"/>
  <c r="L156" i="2"/>
  <c r="H156" i="2"/>
  <c r="M155" i="2"/>
  <c r="L155" i="2"/>
  <c r="H155" i="2"/>
  <c r="L154" i="2"/>
  <c r="M154" i="2" s="1"/>
  <c r="H154" i="2"/>
  <c r="M153" i="2"/>
  <c r="L153" i="2"/>
  <c r="H153" i="2"/>
  <c r="L152" i="2"/>
  <c r="M152" i="2" s="1"/>
  <c r="H152" i="2"/>
  <c r="L151" i="2"/>
  <c r="M151" i="2" s="1"/>
  <c r="H151" i="2"/>
  <c r="M150" i="2"/>
  <c r="L150" i="2"/>
  <c r="H150" i="2"/>
  <c r="M149" i="2"/>
  <c r="L149" i="2"/>
  <c r="H149" i="2"/>
  <c r="M148" i="2"/>
  <c r="L148" i="2"/>
  <c r="H148" i="2"/>
  <c r="M147" i="2"/>
  <c r="L147" i="2"/>
  <c r="H147" i="2"/>
  <c r="L146" i="2"/>
  <c r="M146" i="2" s="1"/>
  <c r="H146" i="2"/>
  <c r="M145" i="2"/>
  <c r="L145" i="2"/>
  <c r="H145" i="2"/>
  <c r="L144" i="2"/>
  <c r="M144" i="2" s="1"/>
  <c r="H144" i="2"/>
  <c r="L143" i="2"/>
  <c r="M143" i="2" s="1"/>
  <c r="H143" i="2"/>
  <c r="M142" i="2"/>
  <c r="L142" i="2"/>
  <c r="H142" i="2"/>
  <c r="L141" i="2"/>
  <c r="M141" i="2" s="1"/>
  <c r="H141" i="2"/>
  <c r="M140" i="2"/>
  <c r="L140" i="2"/>
  <c r="H140" i="2"/>
  <c r="M139" i="2"/>
  <c r="L139" i="2"/>
  <c r="H139" i="2"/>
  <c r="L138" i="2"/>
  <c r="M138" i="2" s="1"/>
  <c r="H138" i="2"/>
  <c r="M137" i="2"/>
  <c r="L137" i="2"/>
  <c r="H137" i="2"/>
  <c r="L136" i="2"/>
  <c r="M136" i="2" s="1"/>
  <c r="H136" i="2"/>
  <c r="L135" i="2"/>
  <c r="M135" i="2" s="1"/>
  <c r="H135" i="2"/>
  <c r="M134" i="2"/>
  <c r="L134" i="2"/>
  <c r="H134" i="2"/>
  <c r="L133" i="2"/>
  <c r="M133" i="2" s="1"/>
  <c r="H133" i="2"/>
  <c r="M132" i="2"/>
  <c r="L132" i="2"/>
  <c r="H132" i="2"/>
  <c r="M131" i="2"/>
  <c r="L131" i="2"/>
  <c r="H131" i="2"/>
  <c r="L130" i="2"/>
  <c r="M130" i="2" s="1"/>
  <c r="H130" i="2"/>
  <c r="M129" i="2"/>
  <c r="L129" i="2"/>
  <c r="H129" i="2"/>
  <c r="L128" i="2"/>
  <c r="M128" i="2" s="1"/>
  <c r="H128" i="2"/>
  <c r="L127" i="2"/>
  <c r="M127" i="2" s="1"/>
  <c r="H127" i="2"/>
  <c r="L126" i="2"/>
  <c r="M126" i="2" s="1"/>
  <c r="H126" i="2"/>
  <c r="L125" i="2"/>
  <c r="M125" i="2" s="1"/>
  <c r="H125" i="2"/>
  <c r="M124" i="2"/>
  <c r="L124" i="2"/>
  <c r="H124" i="2"/>
  <c r="M123" i="2"/>
  <c r="L123" i="2"/>
  <c r="H123" i="2"/>
  <c r="M122" i="2"/>
  <c r="L122" i="2"/>
  <c r="H122" i="2"/>
  <c r="M121" i="2"/>
  <c r="L121" i="2"/>
  <c r="H121" i="2"/>
  <c r="L120" i="2"/>
  <c r="M120" i="2" s="1"/>
  <c r="H120" i="2"/>
  <c r="L119" i="2"/>
  <c r="M119" i="2" s="1"/>
  <c r="H119" i="2"/>
  <c r="L118" i="2"/>
  <c r="M118" i="2" s="1"/>
  <c r="H118" i="2"/>
  <c r="L117" i="2"/>
  <c r="M117" i="2" s="1"/>
  <c r="H117" i="2"/>
  <c r="M116" i="2"/>
  <c r="L116" i="2"/>
  <c r="H116" i="2"/>
  <c r="L115" i="2"/>
  <c r="M115" i="2" s="1"/>
  <c r="H115" i="2"/>
  <c r="L114" i="2"/>
  <c r="M114" i="2" s="1"/>
  <c r="H114" i="2"/>
  <c r="M113" i="2"/>
  <c r="L113" i="2"/>
  <c r="H113" i="2"/>
  <c r="L112" i="2"/>
  <c r="M112" i="2" s="1"/>
  <c r="H112" i="2"/>
  <c r="M111" i="2"/>
  <c r="L111" i="2"/>
  <c r="H111" i="2"/>
  <c r="L110" i="2"/>
  <c r="M110" i="2" s="1"/>
  <c r="H110" i="2"/>
  <c r="L109" i="2"/>
  <c r="M109" i="2" s="1"/>
  <c r="H109" i="2"/>
  <c r="M108" i="2"/>
  <c r="L108" i="2"/>
  <c r="H108" i="2"/>
  <c r="L107" i="2"/>
  <c r="M107" i="2" s="1"/>
  <c r="H107" i="2"/>
  <c r="M106" i="2"/>
  <c r="L106" i="2"/>
  <c r="H106" i="2"/>
  <c r="M105" i="2"/>
  <c r="L105" i="2"/>
  <c r="H105" i="2"/>
  <c r="L104" i="2"/>
  <c r="M104" i="2" s="1"/>
  <c r="H104" i="2"/>
  <c r="L103" i="2"/>
  <c r="M103" i="2" s="1"/>
  <c r="H103" i="2"/>
  <c r="L102" i="2"/>
  <c r="M102" i="2" s="1"/>
  <c r="H102" i="2"/>
  <c r="L101" i="2"/>
  <c r="M101" i="2" s="1"/>
  <c r="H101" i="2"/>
  <c r="M100" i="2"/>
  <c r="L100" i="2"/>
  <c r="H100" i="2"/>
  <c r="A100" i="2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L99" i="2"/>
  <c r="M99" i="2" s="1"/>
  <c r="H99" i="2"/>
  <c r="Q98" i="2"/>
  <c r="M95" i="2"/>
  <c r="L95" i="2"/>
  <c r="H95" i="2"/>
  <c r="L94" i="2"/>
  <c r="M94" i="2" s="1"/>
  <c r="H94" i="2"/>
  <c r="M93" i="2"/>
  <c r="L93" i="2"/>
  <c r="H93" i="2"/>
  <c r="A93" i="2"/>
  <c r="A94" i="2" s="1"/>
  <c r="A95" i="2" s="1"/>
  <c r="L92" i="2"/>
  <c r="M92" i="2" s="1"/>
  <c r="H92" i="2"/>
  <c r="L88" i="2"/>
  <c r="J88" i="2"/>
  <c r="H88" i="2"/>
  <c r="L87" i="2"/>
  <c r="H87" i="2"/>
  <c r="L86" i="2"/>
  <c r="H86" i="2"/>
  <c r="L85" i="2"/>
  <c r="M85" i="2" s="1"/>
  <c r="H85" i="2"/>
  <c r="L84" i="2"/>
  <c r="J84" i="2"/>
  <c r="J85" i="2" s="1"/>
  <c r="J86" i="2" s="1"/>
  <c r="J87" i="2" s="1"/>
  <c r="H84" i="2"/>
  <c r="L83" i="2"/>
  <c r="M83" i="2" s="1"/>
  <c r="H83" i="2"/>
  <c r="L82" i="2"/>
  <c r="J82" i="2"/>
  <c r="J83" i="2" s="1"/>
  <c r="H82" i="2"/>
  <c r="L81" i="2"/>
  <c r="M81" i="2" s="1"/>
  <c r="H81" i="2"/>
  <c r="M80" i="2"/>
  <c r="L80" i="2"/>
  <c r="H80" i="2"/>
  <c r="L79" i="2"/>
  <c r="H79" i="2"/>
  <c r="L78" i="2"/>
  <c r="M78" i="2" s="1"/>
  <c r="H78" i="2"/>
  <c r="L77" i="2"/>
  <c r="H77" i="2"/>
  <c r="M76" i="2"/>
  <c r="L76" i="2"/>
  <c r="H76" i="2"/>
  <c r="L75" i="2"/>
  <c r="M75" i="2" s="1"/>
  <c r="H75" i="2"/>
  <c r="L74" i="2"/>
  <c r="M74" i="2" s="1"/>
  <c r="H74" i="2"/>
  <c r="L73" i="2"/>
  <c r="H73" i="2"/>
  <c r="L72" i="2"/>
  <c r="M72" i="2" s="1"/>
  <c r="J72" i="2"/>
  <c r="J73" i="2" s="1"/>
  <c r="J74" i="2" s="1"/>
  <c r="J75" i="2" s="1"/>
  <c r="J76" i="2" s="1"/>
  <c r="J77" i="2" s="1"/>
  <c r="J78" i="2" s="1"/>
  <c r="J79" i="2" s="1"/>
  <c r="H72" i="2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L71" i="2"/>
  <c r="M71" i="2" s="1"/>
  <c r="J71" i="2"/>
  <c r="H71" i="2"/>
  <c r="L70" i="2"/>
  <c r="M70" i="2" s="1"/>
  <c r="H70" i="2"/>
  <c r="L69" i="2"/>
  <c r="M69" i="2" s="1"/>
  <c r="H69" i="2"/>
  <c r="L68" i="2"/>
  <c r="M68" i="2" s="1"/>
  <c r="H68" i="2"/>
  <c r="M67" i="2"/>
  <c r="L67" i="2"/>
  <c r="H67" i="2"/>
  <c r="L66" i="2"/>
  <c r="M66" i="2" s="1"/>
  <c r="H66" i="2"/>
  <c r="L65" i="2"/>
  <c r="M65" i="2" s="1"/>
  <c r="H65" i="2"/>
  <c r="M64" i="2"/>
  <c r="L64" i="2"/>
  <c r="H64" i="2"/>
  <c r="M63" i="2"/>
  <c r="L63" i="2"/>
  <c r="H63" i="2"/>
  <c r="L62" i="2"/>
  <c r="M62" i="2" s="1"/>
  <c r="H62" i="2"/>
  <c r="L61" i="2"/>
  <c r="M61" i="2" s="1"/>
  <c r="H61" i="2"/>
  <c r="L60" i="2"/>
  <c r="J60" i="2"/>
  <c r="H60" i="2"/>
  <c r="L59" i="2"/>
  <c r="M59" i="2" s="1"/>
  <c r="H59" i="2"/>
  <c r="I58" i="2"/>
  <c r="H58" i="2" s="1"/>
  <c r="I57" i="2"/>
  <c r="H57" i="2" s="1"/>
  <c r="I56" i="2"/>
  <c r="H56" i="2" s="1"/>
  <c r="I55" i="2"/>
  <c r="H55" i="2" s="1"/>
  <c r="I54" i="2"/>
  <c r="H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I53" i="2"/>
  <c r="H53" i="2" s="1"/>
  <c r="I52" i="2"/>
  <c r="H52" i="2" s="1"/>
  <c r="I51" i="2"/>
  <c r="H51" i="2" s="1"/>
  <c r="I50" i="2"/>
  <c r="H50" i="2" s="1"/>
  <c r="I49" i="2"/>
  <c r="H49" i="2" s="1"/>
  <c r="I48" i="2"/>
  <c r="H48" i="2" s="1"/>
  <c r="I47" i="2"/>
  <c r="H47" i="2" s="1"/>
  <c r="I46" i="2"/>
  <c r="H46" i="2" s="1"/>
  <c r="I45" i="2"/>
  <c r="I44" i="2"/>
  <c r="I43" i="2"/>
  <c r="H43" i="2" s="1"/>
  <c r="I42" i="2"/>
  <c r="L42" i="2" s="1"/>
  <c r="M42" i="2" s="1"/>
  <c r="H42" i="2"/>
  <c r="I41" i="2"/>
  <c r="L41" i="2" s="1"/>
  <c r="M41" i="2" s="1"/>
  <c r="L40" i="2"/>
  <c r="M40" i="2" s="1"/>
  <c r="H40" i="2"/>
  <c r="M39" i="2"/>
  <c r="L39" i="2"/>
  <c r="H39" i="2"/>
  <c r="L38" i="2"/>
  <c r="M38" i="2" s="1"/>
  <c r="H38" i="2"/>
  <c r="M37" i="2"/>
  <c r="L37" i="2"/>
  <c r="H37" i="2"/>
  <c r="L36" i="2"/>
  <c r="M36" i="2" s="1"/>
  <c r="H36" i="2"/>
  <c r="L35" i="2"/>
  <c r="M35" i="2" s="1"/>
  <c r="H35" i="2"/>
  <c r="L34" i="2"/>
  <c r="M34" i="2" s="1"/>
  <c r="H34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33" i="2"/>
  <c r="M33" i="2" s="1"/>
  <c r="H33" i="2"/>
  <c r="L32" i="2"/>
  <c r="M32" i="2" s="1"/>
  <c r="H32" i="2"/>
  <c r="M31" i="2"/>
  <c r="L31" i="2"/>
  <c r="H31" i="2"/>
  <c r="L30" i="2"/>
  <c r="M30" i="2" s="1"/>
  <c r="J30" i="2"/>
  <c r="H30" i="2"/>
  <c r="A30" i="2"/>
  <c r="A31" i="2" s="1"/>
  <c r="A32" i="2" s="1"/>
  <c r="A33" i="2" s="1"/>
  <c r="L29" i="2"/>
  <c r="M29" i="2" s="1"/>
  <c r="D29" i="2"/>
  <c r="K19" i="2"/>
  <c r="C19" i="2"/>
  <c r="B19" i="2"/>
  <c r="A19" i="2"/>
  <c r="P18" i="2"/>
  <c r="T18" i="2" s="1"/>
  <c r="T17" i="2"/>
  <c r="T16" i="2"/>
  <c r="L15" i="2"/>
  <c r="K15" i="2"/>
  <c r="A15" i="2"/>
  <c r="L14" i="2"/>
  <c r="K14" i="2"/>
  <c r="H14" i="2"/>
  <c r="G14" i="2"/>
  <c r="F14" i="2"/>
  <c r="E14" i="2"/>
  <c r="A14" i="2"/>
  <c r="L13" i="2"/>
  <c r="K13" i="2"/>
  <c r="A13" i="2"/>
  <c r="L12" i="2"/>
  <c r="H12" i="2"/>
  <c r="G12" i="2"/>
  <c r="F12" i="2"/>
  <c r="E12" i="2"/>
  <c r="K12" i="2" s="1"/>
  <c r="A12" i="2"/>
  <c r="L11" i="2"/>
  <c r="K11" i="2"/>
  <c r="A11" i="2"/>
  <c r="R10" i="2"/>
  <c r="R12" i="2" s="1"/>
  <c r="Q10" i="2"/>
  <c r="Q12" i="2" s="1"/>
  <c r="P10" i="2"/>
  <c r="P12" i="2" s="1"/>
  <c r="H10" i="2"/>
  <c r="G10" i="2"/>
  <c r="F10" i="2"/>
  <c r="L10" i="2" s="1"/>
  <c r="E10" i="2"/>
  <c r="K10" i="2" s="1"/>
  <c r="A10" i="2"/>
  <c r="L9" i="2"/>
  <c r="K9" i="2"/>
  <c r="A9" i="2"/>
  <c r="L8" i="2"/>
  <c r="K8" i="2"/>
  <c r="H8" i="2"/>
  <c r="G8" i="2"/>
  <c r="F8" i="2"/>
  <c r="E8" i="2"/>
  <c r="A8" i="2"/>
  <c r="L7" i="2"/>
  <c r="K7" i="2"/>
  <c r="A7" i="2"/>
  <c r="L6" i="2"/>
  <c r="K6" i="2"/>
  <c r="H6" i="2"/>
  <c r="G6" i="2"/>
  <c r="F6" i="2"/>
  <c r="E6" i="2"/>
  <c r="A6" i="2"/>
  <c r="L5" i="2"/>
  <c r="K5" i="2"/>
  <c r="B5" i="2"/>
  <c r="A5" i="2" s="1"/>
  <c r="K4" i="2"/>
  <c r="H4" i="2"/>
  <c r="G4" i="2"/>
  <c r="F4" i="2"/>
  <c r="L4" i="2" s="1"/>
  <c r="E4" i="2"/>
  <c r="A4" i="2"/>
  <c r="L3" i="2"/>
  <c r="K3" i="2"/>
  <c r="D3" i="2"/>
  <c r="L46" i="2" l="1"/>
  <c r="M46" i="2" s="1"/>
  <c r="H41" i="2"/>
  <c r="L47" i="2"/>
  <c r="M47" i="2" s="1"/>
  <c r="D4" i="2"/>
  <c r="I3" i="2"/>
  <c r="D99" i="2"/>
  <c r="D162" i="2"/>
  <c r="D93" i="2"/>
  <c r="D95" i="2" s="1"/>
  <c r="D163" i="2"/>
  <c r="D165" i="2" s="1"/>
  <c r="D92" i="2"/>
  <c r="H44" i="2"/>
  <c r="L44" i="2"/>
  <c r="M44" i="2" s="1"/>
  <c r="H45" i="2"/>
  <c r="L45" i="2"/>
  <c r="M45" i="2" s="1"/>
  <c r="D30" i="2"/>
  <c r="F29" i="2"/>
  <c r="L58" i="2"/>
  <c r="M58" i="2" s="1"/>
  <c r="L43" i="2"/>
  <c r="M43" i="2" s="1"/>
  <c r="L56" i="2"/>
  <c r="M56" i="2" s="1"/>
  <c r="L57" i="2"/>
  <c r="M57" i="2" s="1"/>
  <c r="M60" i="2"/>
  <c r="M79" i="2"/>
  <c r="M86" i="2"/>
  <c r="L54" i="2"/>
  <c r="M54" i="2" s="1"/>
  <c r="L55" i="2"/>
  <c r="M55" i="2" s="1"/>
  <c r="M73" i="2"/>
  <c r="L52" i="2"/>
  <c r="M52" i="2" s="1"/>
  <c r="L53" i="2"/>
  <c r="M53" i="2" s="1"/>
  <c r="M84" i="2"/>
  <c r="L50" i="2"/>
  <c r="M50" i="2" s="1"/>
  <c r="L51" i="2"/>
  <c r="M51" i="2" s="1"/>
  <c r="M77" i="2"/>
  <c r="C92" i="2"/>
  <c r="C93" i="2" s="1"/>
  <c r="F9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64" i="2" s="1"/>
  <c r="C165" i="2" s="1"/>
  <c r="F165" i="2" s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94" i="2" s="1"/>
  <c r="C95" i="2" s="1"/>
  <c r="F95" i="2" s="1"/>
  <c r="L48" i="2"/>
  <c r="M48" i="2" s="1"/>
  <c r="L49" i="2"/>
  <c r="M49" i="2" s="1"/>
  <c r="M88" i="2"/>
  <c r="M87" i="2"/>
  <c r="M82" i="2"/>
  <c r="F92" i="2" l="1"/>
  <c r="D94" i="2"/>
  <c r="F94" i="2" s="1"/>
  <c r="F162" i="2"/>
  <c r="D164" i="2"/>
  <c r="F164" i="2" s="1"/>
  <c r="D5" i="2"/>
  <c r="I4" i="2"/>
  <c r="F30" i="2"/>
  <c r="D31" i="2"/>
  <c r="D100" i="2"/>
  <c r="F99" i="2"/>
  <c r="D101" i="2" l="1"/>
  <c r="F100" i="2"/>
  <c r="D6" i="2"/>
  <c r="I5" i="2"/>
  <c r="D32" i="2"/>
  <c r="F31" i="2"/>
  <c r="D102" i="2" l="1"/>
  <c r="F101" i="2"/>
  <c r="D33" i="2"/>
  <c r="F32" i="2"/>
  <c r="D7" i="2"/>
  <c r="I6" i="2"/>
  <c r="D103" i="2" l="1"/>
  <c r="F102" i="2"/>
  <c r="I7" i="2"/>
  <c r="D8" i="2"/>
  <c r="F33" i="2"/>
  <c r="D34" i="2"/>
  <c r="I8" i="2" l="1"/>
  <c r="D9" i="2"/>
  <c r="D35" i="2"/>
  <c r="F34" i="2"/>
  <c r="D104" i="2"/>
  <c r="F103" i="2"/>
  <c r="D105" i="2" l="1"/>
  <c r="F104" i="2"/>
  <c r="F35" i="2"/>
  <c r="D36" i="2"/>
  <c r="I9" i="2"/>
  <c r="D10" i="2"/>
  <c r="F36" i="2" l="1"/>
  <c r="D37" i="2"/>
  <c r="I10" i="2"/>
  <c r="D11" i="2"/>
  <c r="D106" i="2"/>
  <c r="F105" i="2"/>
  <c r="E19" i="2" l="1"/>
  <c r="F19" i="2" s="1"/>
  <c r="G19" i="2" s="1"/>
  <c r="I11" i="2"/>
  <c r="D12" i="2"/>
  <c r="D38" i="2"/>
  <c r="F37" i="2"/>
  <c r="F106" i="2"/>
  <c r="D107" i="2"/>
  <c r="D108" i="2" l="1"/>
  <c r="F107" i="2"/>
  <c r="D39" i="2"/>
  <c r="F38" i="2"/>
  <c r="I12" i="2"/>
  <c r="D13" i="2"/>
  <c r="H19" i="2"/>
  <c r="L19" i="2"/>
  <c r="D40" i="2" l="1"/>
  <c r="F39" i="2"/>
  <c r="I13" i="2"/>
  <c r="D14" i="2"/>
  <c r="D109" i="2"/>
  <c r="F108" i="2"/>
  <c r="I14" i="2" l="1"/>
  <c r="D15" i="2"/>
  <c r="F109" i="2"/>
  <c r="D110" i="2"/>
  <c r="D41" i="2"/>
  <c r="F40" i="2"/>
  <c r="F41" i="2" l="1"/>
  <c r="D42" i="2"/>
  <c r="D111" i="2"/>
  <c r="F110" i="2"/>
  <c r="I15" i="2"/>
  <c r="N162" i="2"/>
  <c r="N59" i="2"/>
  <c r="N99" i="2"/>
  <c r="N129" i="2"/>
  <c r="H25" i="2"/>
  <c r="I25" i="2" s="1"/>
  <c r="J25" i="2" s="1"/>
  <c r="N92" i="2"/>
  <c r="N29" i="2"/>
  <c r="N100" i="2" l="1"/>
  <c r="O99" i="2"/>
  <c r="N60" i="2"/>
  <c r="O59" i="2"/>
  <c r="N93" i="2"/>
  <c r="O92" i="2"/>
  <c r="D112" i="2"/>
  <c r="F111" i="2"/>
  <c r="D43" i="2"/>
  <c r="F42" i="2"/>
  <c r="N163" i="2"/>
  <c r="O162" i="2"/>
  <c r="N30" i="2"/>
  <c r="N130" i="2"/>
  <c r="O129" i="2"/>
  <c r="F112" i="2" l="1"/>
  <c r="D113" i="2"/>
  <c r="P29" i="2"/>
  <c r="E29" i="2" s="1"/>
  <c r="N164" i="2"/>
  <c r="O163" i="2"/>
  <c r="P163" i="2" s="1"/>
  <c r="E163" i="2" s="1"/>
  <c r="P129" i="2"/>
  <c r="E129" i="2" s="1"/>
  <c r="N131" i="2"/>
  <c r="O130" i="2"/>
  <c r="P130" i="2" s="1"/>
  <c r="E130" i="2" s="1"/>
  <c r="N94" i="2"/>
  <c r="O93" i="2"/>
  <c r="P93" i="2" s="1"/>
  <c r="E93" i="2" s="1"/>
  <c r="P59" i="2"/>
  <c r="E59" i="2" s="1"/>
  <c r="N61" i="2"/>
  <c r="O60" i="2"/>
  <c r="P60" i="2" s="1"/>
  <c r="E60" i="2" s="1"/>
  <c r="P99" i="2"/>
  <c r="E99" i="2" s="1"/>
  <c r="P92" i="2"/>
  <c r="E92" i="2" s="1"/>
  <c r="N31" i="2"/>
  <c r="O30" i="2"/>
  <c r="P30" i="2" s="1"/>
  <c r="E30" i="2" s="1"/>
  <c r="P162" i="2"/>
  <c r="E162" i="2" s="1"/>
  <c r="D44" i="2"/>
  <c r="F43" i="2"/>
  <c r="N101" i="2"/>
  <c r="O100" i="2"/>
  <c r="P100" i="2" s="1"/>
  <c r="E100" i="2" s="1"/>
  <c r="N62" i="2" l="1"/>
  <c r="O61" i="2"/>
  <c r="P61" i="2" s="1"/>
  <c r="E61" i="2" s="1"/>
  <c r="N165" i="2"/>
  <c r="O165" i="2" s="1"/>
  <c r="P165" i="2" s="1"/>
  <c r="E165" i="2" s="1"/>
  <c r="O164" i="2"/>
  <c r="N95" i="2"/>
  <c r="O95" i="2" s="1"/>
  <c r="P95" i="2" s="1"/>
  <c r="E95" i="2" s="1"/>
  <c r="O94" i="2"/>
  <c r="N32" i="2"/>
  <c r="O31" i="2"/>
  <c r="P31" i="2" s="1"/>
  <c r="E31" i="2" s="1"/>
  <c r="D114" i="2"/>
  <c r="F113" i="2"/>
  <c r="N102" i="2"/>
  <c r="O101" i="2"/>
  <c r="P101" i="2" s="1"/>
  <c r="E101" i="2" s="1"/>
  <c r="F44" i="2"/>
  <c r="D45" i="2"/>
  <c r="N132" i="2"/>
  <c r="O131" i="2"/>
  <c r="F45" i="2" l="1"/>
  <c r="D46" i="2"/>
  <c r="P164" i="2"/>
  <c r="E164" i="2" s="1"/>
  <c r="R162" i="2"/>
  <c r="S162" i="2" s="1"/>
  <c r="P131" i="2"/>
  <c r="E131" i="2" s="1"/>
  <c r="F114" i="2"/>
  <c r="D115" i="2"/>
  <c r="N33" i="2"/>
  <c r="O32" i="2"/>
  <c r="P94" i="2"/>
  <c r="E94" i="2" s="1"/>
  <c r="N103" i="2"/>
  <c r="O102" i="2"/>
  <c r="P102" i="2" s="1"/>
  <c r="E102" i="2" s="1"/>
  <c r="N133" i="2"/>
  <c r="O132" i="2"/>
  <c r="P132" i="2" s="1"/>
  <c r="E132" i="2" s="1"/>
  <c r="N63" i="2"/>
  <c r="O62" i="2"/>
  <c r="D116" i="2" l="1"/>
  <c r="F115" i="2"/>
  <c r="N104" i="2"/>
  <c r="O103" i="2"/>
  <c r="P103" i="2" s="1"/>
  <c r="E103" i="2" s="1"/>
  <c r="N134" i="2"/>
  <c r="O133" i="2"/>
  <c r="P133" i="2" s="1"/>
  <c r="E133" i="2" s="1"/>
  <c r="N64" i="2"/>
  <c r="O63" i="2"/>
  <c r="P63" i="2" s="1"/>
  <c r="E63" i="2" s="1"/>
  <c r="P32" i="2"/>
  <c r="E32" i="2" s="1"/>
  <c r="F46" i="2"/>
  <c r="D47" i="2"/>
  <c r="P62" i="2"/>
  <c r="E62" i="2" s="1"/>
  <c r="N34" i="2"/>
  <c r="O33" i="2"/>
  <c r="P33" i="2" s="1"/>
  <c r="E33" i="2" s="1"/>
  <c r="N105" i="2" l="1"/>
  <c r="O104" i="2"/>
  <c r="F47" i="2"/>
  <c r="D48" i="2"/>
  <c r="N135" i="2"/>
  <c r="O134" i="2"/>
  <c r="N35" i="2"/>
  <c r="O34" i="2"/>
  <c r="N65" i="2"/>
  <c r="O64" i="2"/>
  <c r="D117" i="2"/>
  <c r="F116" i="2"/>
  <c r="P134" i="2" l="1"/>
  <c r="E134" i="2" s="1"/>
  <c r="N36" i="2"/>
  <c r="O35" i="2"/>
  <c r="P35" i="2" s="1"/>
  <c r="E35" i="2" s="1"/>
  <c r="P34" i="2"/>
  <c r="E34" i="2" s="1"/>
  <c r="N136" i="2"/>
  <c r="O135" i="2"/>
  <c r="P135" i="2" s="1"/>
  <c r="E135" i="2" s="1"/>
  <c r="D118" i="2"/>
  <c r="F117" i="2"/>
  <c r="F48" i="2"/>
  <c r="D49" i="2"/>
  <c r="P64" i="2"/>
  <c r="E64" i="2" s="1"/>
  <c r="N66" i="2"/>
  <c r="O65" i="2"/>
  <c r="P65" i="2" s="1"/>
  <c r="E65" i="2" s="1"/>
  <c r="P104" i="2"/>
  <c r="E104" i="2" s="1"/>
  <c r="N106" i="2"/>
  <c r="O105" i="2"/>
  <c r="P105" i="2" s="1"/>
  <c r="E105" i="2" s="1"/>
  <c r="N67" i="2" l="1"/>
  <c r="O66" i="2"/>
  <c r="P66" i="2" s="1"/>
  <c r="E66" i="2" s="1"/>
  <c r="N37" i="2"/>
  <c r="O36" i="2"/>
  <c r="F49" i="2"/>
  <c r="D50" i="2"/>
  <c r="N107" i="2"/>
  <c r="O106" i="2"/>
  <c r="P106" i="2" s="1"/>
  <c r="E106" i="2" s="1"/>
  <c r="N137" i="2"/>
  <c r="O136" i="2"/>
  <c r="P136" i="2" s="1"/>
  <c r="E136" i="2" s="1"/>
  <c r="D119" i="2"/>
  <c r="F118" i="2"/>
  <c r="P36" i="2" l="1"/>
  <c r="E36" i="2" s="1"/>
  <c r="F50" i="2"/>
  <c r="D51" i="2"/>
  <c r="D120" i="2"/>
  <c r="F119" i="2"/>
  <c r="N138" i="2"/>
  <c r="O137" i="2"/>
  <c r="P137" i="2" s="1"/>
  <c r="E137" i="2" s="1"/>
  <c r="N38" i="2"/>
  <c r="O37" i="2"/>
  <c r="P37" i="2" s="1"/>
  <c r="E37" i="2" s="1"/>
  <c r="N108" i="2"/>
  <c r="O107" i="2"/>
  <c r="P107" i="2" s="1"/>
  <c r="E107" i="2" s="1"/>
  <c r="N68" i="2"/>
  <c r="O67" i="2"/>
  <c r="P67" i="2" s="1"/>
  <c r="E67" i="2" s="1"/>
  <c r="N139" i="2" l="1"/>
  <c r="O138" i="2"/>
  <c r="P138" i="2" s="1"/>
  <c r="E138" i="2" s="1"/>
  <c r="N69" i="2"/>
  <c r="O68" i="2"/>
  <c r="P68" i="2" s="1"/>
  <c r="E68" i="2" s="1"/>
  <c r="D121" i="2"/>
  <c r="F120" i="2"/>
  <c r="F51" i="2"/>
  <c r="D52" i="2"/>
  <c r="N109" i="2"/>
  <c r="O108" i="2"/>
  <c r="P108" i="2" s="1"/>
  <c r="E108" i="2" s="1"/>
  <c r="N39" i="2"/>
  <c r="O38" i="2"/>
  <c r="P38" i="2" s="1"/>
  <c r="E38" i="2" s="1"/>
  <c r="N70" i="2" l="1"/>
  <c r="O69" i="2"/>
  <c r="P69" i="2" s="1"/>
  <c r="E69" i="2" s="1"/>
  <c r="F52" i="2"/>
  <c r="D53" i="2"/>
  <c r="D122" i="2"/>
  <c r="F121" i="2"/>
  <c r="N40" i="2"/>
  <c r="O39" i="2"/>
  <c r="P39" i="2" s="1"/>
  <c r="E39" i="2" s="1"/>
  <c r="N110" i="2"/>
  <c r="O109" i="2"/>
  <c r="P109" i="2" s="1"/>
  <c r="E109" i="2" s="1"/>
  <c r="N140" i="2"/>
  <c r="O139" i="2"/>
  <c r="P139" i="2" s="1"/>
  <c r="E139" i="2" s="1"/>
  <c r="N41" i="2" l="1"/>
  <c r="O40" i="2"/>
  <c r="P40" i="2" s="1"/>
  <c r="E40" i="2" s="1"/>
  <c r="F122" i="2"/>
  <c r="D123" i="2"/>
  <c r="F53" i="2"/>
  <c r="D54" i="2"/>
  <c r="N141" i="2"/>
  <c r="O140" i="2"/>
  <c r="P140" i="2" s="1"/>
  <c r="E140" i="2" s="1"/>
  <c r="N111" i="2"/>
  <c r="O110" i="2"/>
  <c r="P110" i="2" s="1"/>
  <c r="E110" i="2" s="1"/>
  <c r="N71" i="2"/>
  <c r="O70" i="2"/>
  <c r="P70" i="2" s="1"/>
  <c r="E70" i="2" s="1"/>
  <c r="D124" i="2" l="1"/>
  <c r="F123" i="2"/>
  <c r="N142" i="2"/>
  <c r="O141" i="2"/>
  <c r="P141" i="2" s="1"/>
  <c r="E141" i="2" s="1"/>
  <c r="F54" i="2"/>
  <c r="D55" i="2"/>
  <c r="N72" i="2"/>
  <c r="O71" i="2"/>
  <c r="P71" i="2" s="1"/>
  <c r="E71" i="2" s="1"/>
  <c r="N112" i="2"/>
  <c r="O111" i="2"/>
  <c r="P111" i="2" s="1"/>
  <c r="E111" i="2" s="1"/>
  <c r="N42" i="2"/>
  <c r="O41" i="2"/>
  <c r="E41" i="2" s="1"/>
  <c r="F55" i="2" l="1"/>
  <c r="D56" i="2"/>
  <c r="N73" i="2"/>
  <c r="O72" i="2"/>
  <c r="P72" i="2" s="1"/>
  <c r="E72" i="2" s="1"/>
  <c r="N143" i="2"/>
  <c r="O142" i="2"/>
  <c r="P142" i="2" s="1"/>
  <c r="E142" i="2" s="1"/>
  <c r="N43" i="2"/>
  <c r="O42" i="2"/>
  <c r="E42" i="2" s="1"/>
  <c r="N113" i="2"/>
  <c r="O112" i="2"/>
  <c r="P112" i="2" s="1"/>
  <c r="E112" i="2" s="1"/>
  <c r="D125" i="2"/>
  <c r="F124" i="2"/>
  <c r="N44" i="2" l="1"/>
  <c r="O43" i="2"/>
  <c r="E43" i="2" s="1"/>
  <c r="N144" i="2"/>
  <c r="O143" i="2"/>
  <c r="P143" i="2" s="1"/>
  <c r="E143" i="2" s="1"/>
  <c r="F125" i="2"/>
  <c r="D126" i="2"/>
  <c r="N74" i="2"/>
  <c r="O73" i="2"/>
  <c r="P73" i="2" s="1"/>
  <c r="E73" i="2" s="1"/>
  <c r="F56" i="2"/>
  <c r="D57" i="2"/>
  <c r="N114" i="2"/>
  <c r="O113" i="2"/>
  <c r="P113" i="2" s="1"/>
  <c r="E113" i="2" s="1"/>
  <c r="N75" i="2" l="1"/>
  <c r="O74" i="2"/>
  <c r="P74" i="2" s="1"/>
  <c r="E74" i="2" s="1"/>
  <c r="D127" i="2"/>
  <c r="F126" i="2"/>
  <c r="N145" i="2"/>
  <c r="O144" i="2"/>
  <c r="P144" i="2" s="1"/>
  <c r="E144" i="2" s="1"/>
  <c r="N115" i="2"/>
  <c r="O114" i="2"/>
  <c r="P114" i="2" s="1"/>
  <c r="E114" i="2" s="1"/>
  <c r="D58" i="2"/>
  <c r="F57" i="2"/>
  <c r="N45" i="2"/>
  <c r="O44" i="2"/>
  <c r="E44" i="2" s="1"/>
  <c r="N46" i="2" l="1"/>
  <c r="O45" i="2"/>
  <c r="E45" i="2" s="1"/>
  <c r="N116" i="2"/>
  <c r="O115" i="2"/>
  <c r="P115" i="2" s="1"/>
  <c r="E115" i="2" s="1"/>
  <c r="N146" i="2"/>
  <c r="O145" i="2"/>
  <c r="P145" i="2" s="1"/>
  <c r="E145" i="2" s="1"/>
  <c r="D128" i="2"/>
  <c r="F127" i="2"/>
  <c r="F58" i="2"/>
  <c r="D59" i="2"/>
  <c r="N76" i="2"/>
  <c r="O75" i="2"/>
  <c r="P75" i="2" s="1"/>
  <c r="E75" i="2" s="1"/>
  <c r="F128" i="2" l="1"/>
  <c r="D129" i="2"/>
  <c r="N77" i="2"/>
  <c r="O76" i="2"/>
  <c r="P76" i="2" s="1"/>
  <c r="E76" i="2" s="1"/>
  <c r="N117" i="2"/>
  <c r="O116" i="2"/>
  <c r="P116" i="2" s="1"/>
  <c r="E116" i="2" s="1"/>
  <c r="N147" i="2"/>
  <c r="O146" i="2"/>
  <c r="P146" i="2" s="1"/>
  <c r="E146" i="2" s="1"/>
  <c r="D60" i="2"/>
  <c r="F59" i="2"/>
  <c r="N47" i="2"/>
  <c r="O46" i="2"/>
  <c r="E46" i="2" s="1"/>
  <c r="N48" i="2" l="1"/>
  <c r="O47" i="2"/>
  <c r="E47" i="2" s="1"/>
  <c r="N148" i="2"/>
  <c r="O147" i="2"/>
  <c r="P147" i="2" s="1"/>
  <c r="E147" i="2" s="1"/>
  <c r="N118" i="2"/>
  <c r="O117" i="2"/>
  <c r="P117" i="2" s="1"/>
  <c r="E117" i="2" s="1"/>
  <c r="D130" i="2"/>
  <c r="F129" i="2"/>
  <c r="N78" i="2"/>
  <c r="O77" i="2"/>
  <c r="P77" i="2" s="1"/>
  <c r="E77" i="2" s="1"/>
  <c r="F60" i="2"/>
  <c r="D61" i="2"/>
  <c r="F61" i="2" l="1"/>
  <c r="D62" i="2"/>
  <c r="N119" i="2"/>
  <c r="O118" i="2"/>
  <c r="P118" i="2" s="1"/>
  <c r="E118" i="2" s="1"/>
  <c r="N149" i="2"/>
  <c r="O148" i="2"/>
  <c r="P148" i="2" s="1"/>
  <c r="E148" i="2" s="1"/>
  <c r="D131" i="2"/>
  <c r="F130" i="2"/>
  <c r="N79" i="2"/>
  <c r="O78" i="2"/>
  <c r="P78" i="2" s="1"/>
  <c r="E78" i="2" s="1"/>
  <c r="N49" i="2"/>
  <c r="O48" i="2"/>
  <c r="E48" i="2" s="1"/>
  <c r="D132" i="2" l="1"/>
  <c r="F131" i="2"/>
  <c r="O149" i="2"/>
  <c r="P149" i="2" s="1"/>
  <c r="E149" i="2" s="1"/>
  <c r="N150" i="2"/>
  <c r="N50" i="2"/>
  <c r="O49" i="2"/>
  <c r="E49" i="2" s="1"/>
  <c r="D63" i="2"/>
  <c r="F62" i="2"/>
  <c r="N120" i="2"/>
  <c r="O119" i="2"/>
  <c r="P119" i="2" s="1"/>
  <c r="E119" i="2" s="1"/>
  <c r="N80" i="2"/>
  <c r="O79" i="2"/>
  <c r="P79" i="2" s="1"/>
  <c r="E79" i="2" s="1"/>
  <c r="F63" i="2" l="1"/>
  <c r="D64" i="2"/>
  <c r="N81" i="2"/>
  <c r="O80" i="2"/>
  <c r="E80" i="2" s="1"/>
  <c r="N51" i="2"/>
  <c r="O50" i="2"/>
  <c r="E50" i="2" s="1"/>
  <c r="N151" i="2"/>
  <c r="O150" i="2"/>
  <c r="P150" i="2" s="1"/>
  <c r="E150" i="2" s="1"/>
  <c r="N121" i="2"/>
  <c r="O120" i="2"/>
  <c r="E120" i="2" s="1"/>
  <c r="F132" i="2"/>
  <c r="D133" i="2"/>
  <c r="N52" i="2" l="1"/>
  <c r="O51" i="2"/>
  <c r="E51" i="2" s="1"/>
  <c r="N152" i="2"/>
  <c r="O151" i="2"/>
  <c r="P151" i="2" s="1"/>
  <c r="E151" i="2" s="1"/>
  <c r="D65" i="2"/>
  <c r="F64" i="2"/>
  <c r="D134" i="2"/>
  <c r="F133" i="2"/>
  <c r="N82" i="2"/>
  <c r="O81" i="2"/>
  <c r="P81" i="2" s="1"/>
  <c r="E81" i="2" s="1"/>
  <c r="N122" i="2"/>
  <c r="O121" i="2"/>
  <c r="P121" i="2" s="1"/>
  <c r="E121" i="2" s="1"/>
  <c r="F65" i="2" l="1"/>
  <c r="D66" i="2"/>
  <c r="D135" i="2"/>
  <c r="F134" i="2"/>
  <c r="N123" i="2"/>
  <c r="O122" i="2"/>
  <c r="P122" i="2" s="1"/>
  <c r="E122" i="2" s="1"/>
  <c r="N153" i="2"/>
  <c r="O152" i="2"/>
  <c r="P152" i="2" s="1"/>
  <c r="E152" i="2" s="1"/>
  <c r="N83" i="2"/>
  <c r="O82" i="2"/>
  <c r="P82" i="2" s="1"/>
  <c r="E82" i="2" s="1"/>
  <c r="N53" i="2"/>
  <c r="O52" i="2"/>
  <c r="E52" i="2" s="1"/>
  <c r="N54" i="2" l="1"/>
  <c r="O53" i="2"/>
  <c r="E53" i="2" s="1"/>
  <c r="F135" i="2"/>
  <c r="D136" i="2"/>
  <c r="D67" i="2"/>
  <c r="F66" i="2"/>
  <c r="N154" i="2"/>
  <c r="O153" i="2"/>
  <c r="P153" i="2" s="1"/>
  <c r="E153" i="2" s="1"/>
  <c r="O123" i="2"/>
  <c r="P123" i="2" s="1"/>
  <c r="E123" i="2" s="1"/>
  <c r="N124" i="2"/>
  <c r="N84" i="2"/>
  <c r="O83" i="2"/>
  <c r="P83" i="2" s="1"/>
  <c r="E83" i="2" s="1"/>
  <c r="N155" i="2" l="1"/>
  <c r="O154" i="2"/>
  <c r="P154" i="2" s="1"/>
  <c r="E154" i="2" s="1"/>
  <c r="N85" i="2"/>
  <c r="O84" i="2"/>
  <c r="P84" i="2" s="1"/>
  <c r="E84" i="2" s="1"/>
  <c r="N125" i="2"/>
  <c r="O124" i="2"/>
  <c r="P124" i="2" s="1"/>
  <c r="E124" i="2" s="1"/>
  <c r="D68" i="2"/>
  <c r="F67" i="2"/>
  <c r="D137" i="2"/>
  <c r="F136" i="2"/>
  <c r="N55" i="2"/>
  <c r="O54" i="2"/>
  <c r="E54" i="2" s="1"/>
  <c r="N56" i="2" l="1"/>
  <c r="O55" i="2"/>
  <c r="E55" i="2" s="1"/>
  <c r="N86" i="2"/>
  <c r="O85" i="2"/>
  <c r="P85" i="2" s="1"/>
  <c r="E85" i="2" s="1"/>
  <c r="F68" i="2"/>
  <c r="D69" i="2"/>
  <c r="N126" i="2"/>
  <c r="O125" i="2"/>
  <c r="P125" i="2" s="1"/>
  <c r="E125" i="2" s="1"/>
  <c r="D138" i="2"/>
  <c r="F137" i="2"/>
  <c r="N156" i="2"/>
  <c r="O155" i="2"/>
  <c r="P155" i="2" s="1"/>
  <c r="E155" i="2" s="1"/>
  <c r="N87" i="2" l="1"/>
  <c r="O86" i="2"/>
  <c r="P86" i="2" s="1"/>
  <c r="E86" i="2" s="1"/>
  <c r="N127" i="2"/>
  <c r="O126" i="2"/>
  <c r="P126" i="2" s="1"/>
  <c r="E126" i="2" s="1"/>
  <c r="N157" i="2"/>
  <c r="O156" i="2"/>
  <c r="P156" i="2" s="1"/>
  <c r="E156" i="2" s="1"/>
  <c r="F69" i="2"/>
  <c r="D70" i="2"/>
  <c r="D139" i="2"/>
  <c r="F138" i="2"/>
  <c r="N57" i="2"/>
  <c r="O56" i="2"/>
  <c r="E56" i="2" s="1"/>
  <c r="D71" i="2" l="1"/>
  <c r="F70" i="2"/>
  <c r="O157" i="2"/>
  <c r="P157" i="2" s="1"/>
  <c r="E157" i="2" s="1"/>
  <c r="N158" i="2"/>
  <c r="O158" i="2" s="1"/>
  <c r="N58" i="2"/>
  <c r="O58" i="2" s="1"/>
  <c r="E58" i="2" s="1"/>
  <c r="O57" i="2"/>
  <c r="E57" i="2" s="1"/>
  <c r="N128" i="2"/>
  <c r="O128" i="2" s="1"/>
  <c r="P128" i="2" s="1"/>
  <c r="E128" i="2" s="1"/>
  <c r="O127" i="2"/>
  <c r="P127" i="2" s="1"/>
  <c r="E127" i="2" s="1"/>
  <c r="D140" i="2"/>
  <c r="F139" i="2"/>
  <c r="N88" i="2"/>
  <c r="O88" i="2" s="1"/>
  <c r="P88" i="2" s="1"/>
  <c r="E88" i="2" s="1"/>
  <c r="O87" i="2"/>
  <c r="P87" i="2" s="1"/>
  <c r="E87" i="2" s="1"/>
  <c r="P158" i="2" l="1"/>
  <c r="E158" i="2" s="1"/>
  <c r="R99" i="2"/>
  <c r="S99" i="2" s="1"/>
  <c r="R129" i="2"/>
  <c r="S129" i="2" s="1"/>
  <c r="R92" i="2"/>
  <c r="S92" i="2" s="1"/>
  <c r="R59" i="2"/>
  <c r="S59" i="2" s="1"/>
  <c r="R29" i="2"/>
  <c r="S29" i="2" s="1"/>
  <c r="D141" i="2"/>
  <c r="F140" i="2"/>
  <c r="D72" i="2"/>
  <c r="F71" i="2"/>
  <c r="D142" i="2" l="1"/>
  <c r="F141" i="2"/>
  <c r="D73" i="2"/>
  <c r="F72" i="2"/>
  <c r="D74" i="2" l="1"/>
  <c r="F73" i="2"/>
  <c r="D143" i="2"/>
  <c r="F142" i="2"/>
  <c r="F143" i="2" l="1"/>
  <c r="D144" i="2"/>
  <c r="D75" i="2"/>
  <c r="F74" i="2"/>
  <c r="D76" i="2" l="1"/>
  <c r="F75" i="2"/>
  <c r="D145" i="2"/>
  <c r="F144" i="2"/>
  <c r="D146" i="2" l="1"/>
  <c r="F145" i="2"/>
  <c r="D77" i="2"/>
  <c r="F76" i="2"/>
  <c r="D78" i="2" l="1"/>
  <c r="F77" i="2"/>
  <c r="F146" i="2"/>
  <c r="D147" i="2"/>
  <c r="D148" i="2" l="1"/>
  <c r="F147" i="2"/>
  <c r="D79" i="2"/>
  <c r="F78" i="2"/>
  <c r="D80" i="2" l="1"/>
  <c r="F79" i="2"/>
  <c r="D149" i="2"/>
  <c r="F148" i="2"/>
  <c r="D150" i="2" l="1"/>
  <c r="F149" i="2"/>
  <c r="D81" i="2"/>
  <c r="F80" i="2"/>
  <c r="F81" i="2" l="1"/>
  <c r="D82" i="2"/>
  <c r="D151" i="2"/>
  <c r="F150" i="2"/>
  <c r="F151" i="2" l="1"/>
  <c r="D152" i="2"/>
  <c r="F82" i="2"/>
  <c r="D83" i="2"/>
  <c r="D84" i="2" l="1"/>
  <c r="F83" i="2"/>
  <c r="D153" i="2"/>
  <c r="F152" i="2"/>
  <c r="D154" i="2" l="1"/>
  <c r="F153" i="2"/>
  <c r="D85" i="2"/>
  <c r="F84" i="2"/>
  <c r="D86" i="2" l="1"/>
  <c r="F85" i="2"/>
  <c r="F154" i="2"/>
  <c r="D155" i="2"/>
  <c r="D156" i="2" l="1"/>
  <c r="F155" i="2"/>
  <c r="F86" i="2"/>
  <c r="D87" i="2"/>
  <c r="D88" i="2" l="1"/>
  <c r="F88" i="2" s="1"/>
  <c r="F87" i="2"/>
  <c r="D157" i="2"/>
  <c r="F156" i="2"/>
  <c r="D158" i="2" l="1"/>
  <c r="F158" i="2" s="1"/>
  <c r="F157" i="2"/>
  <c r="C27" i="1" l="1"/>
  <c r="O46" i="1" l="1"/>
  <c r="L76" i="1"/>
  <c r="N76" i="1" s="1"/>
  <c r="K76" i="1"/>
  <c r="M76" i="1" s="1"/>
  <c r="L61" i="1"/>
  <c r="N61" i="1" s="1"/>
  <c r="K61" i="1"/>
  <c r="M61" i="1" s="1"/>
  <c r="J77" i="1"/>
  <c r="J78" i="1" s="1"/>
  <c r="L78" i="1" s="1"/>
  <c r="L74" i="1"/>
  <c r="K74" i="1"/>
  <c r="J62" i="1"/>
  <c r="J63" i="1" s="1"/>
  <c r="L63" i="1" s="1"/>
  <c r="L59" i="1"/>
  <c r="K59" i="1"/>
  <c r="L46" i="1"/>
  <c r="N46" i="1" s="1"/>
  <c r="K46" i="1"/>
  <c r="M46" i="1" s="1"/>
  <c r="L44" i="1"/>
  <c r="K44" i="1"/>
  <c r="J47" i="1"/>
  <c r="J48" i="1" s="1"/>
  <c r="J49" i="1" s="1"/>
  <c r="J50" i="1" s="1"/>
  <c r="J51" i="1" s="1"/>
  <c r="J52" i="1" s="1"/>
  <c r="J53" i="1" s="1"/>
  <c r="J54" i="1" s="1"/>
  <c r="L54" i="1" s="1"/>
  <c r="N54" i="1" s="1"/>
  <c r="D27" i="1"/>
  <c r="C26" i="1"/>
  <c r="D28" i="1"/>
  <c r="D29" i="1" s="1"/>
  <c r="K50" i="1" l="1"/>
  <c r="M50" i="1" s="1"/>
  <c r="L51" i="1"/>
  <c r="N51" i="1" s="1"/>
  <c r="K49" i="1"/>
  <c r="M49" i="1" s="1"/>
  <c r="L50" i="1"/>
  <c r="N50" i="1" s="1"/>
  <c r="O54" i="1"/>
  <c r="K48" i="1"/>
  <c r="M48" i="1" s="1"/>
  <c r="O53" i="1"/>
  <c r="K47" i="1"/>
  <c r="M47" i="1" s="1"/>
  <c r="L48" i="1"/>
  <c r="N48" i="1" s="1"/>
  <c r="K54" i="1"/>
  <c r="M54" i="1" s="1"/>
  <c r="L47" i="1"/>
  <c r="N47" i="1" s="1"/>
  <c r="K63" i="1"/>
  <c r="O51" i="1"/>
  <c r="K53" i="1"/>
  <c r="M53" i="1" s="1"/>
  <c r="K62" i="1"/>
  <c r="M62" i="1" s="1"/>
  <c r="L62" i="1"/>
  <c r="N62" i="1" s="1"/>
  <c r="O50" i="1"/>
  <c r="K52" i="1"/>
  <c r="M52" i="1" s="1"/>
  <c r="L53" i="1"/>
  <c r="N53" i="1" s="1"/>
  <c r="K78" i="1"/>
  <c r="O49" i="1"/>
  <c r="L49" i="1"/>
  <c r="N49" i="1" s="1"/>
  <c r="O52" i="1"/>
  <c r="K51" i="1"/>
  <c r="M51" i="1" s="1"/>
  <c r="L52" i="1"/>
  <c r="N52" i="1" s="1"/>
  <c r="K77" i="1"/>
  <c r="M77" i="1" s="1"/>
  <c r="L77" i="1"/>
  <c r="N77" i="1" s="1"/>
  <c r="O48" i="1"/>
  <c r="O47" i="1"/>
  <c r="N78" i="1"/>
  <c r="M78" i="1"/>
  <c r="J79" i="1"/>
  <c r="M63" i="1"/>
  <c r="J64" i="1"/>
  <c r="N63" i="1"/>
  <c r="A58" i="1"/>
  <c r="B54" i="1"/>
  <c r="B55" i="1" s="1"/>
  <c r="B56" i="1" s="1"/>
  <c r="F20" i="1"/>
  <c r="D26" i="1"/>
  <c r="L64" i="1" l="1"/>
  <c r="N64" i="1" s="1"/>
  <c r="K64" i="1"/>
  <c r="M64" i="1" s="1"/>
  <c r="L79" i="1"/>
  <c r="N79" i="1" s="1"/>
  <c r="K79" i="1"/>
  <c r="J80" i="1"/>
  <c r="M79" i="1"/>
  <c r="J65" i="1"/>
  <c r="B28" i="1"/>
  <c r="L65" i="1" l="1"/>
  <c r="K65" i="1"/>
  <c r="M65" i="1" s="1"/>
  <c r="L80" i="1"/>
  <c r="K80" i="1"/>
  <c r="J81" i="1"/>
  <c r="N80" i="1"/>
  <c r="M80" i="1"/>
  <c r="J66" i="1"/>
  <c r="N65" i="1"/>
  <c r="B27" i="1"/>
  <c r="B26" i="1"/>
  <c r="L66" i="1" l="1"/>
  <c r="N66" i="1" s="1"/>
  <c r="K66" i="1"/>
  <c r="M66" i="1" s="1"/>
  <c r="L81" i="1"/>
  <c r="N81" i="1" s="1"/>
  <c r="K81" i="1"/>
  <c r="M81" i="1" s="1"/>
  <c r="J82" i="1"/>
  <c r="J67" i="1"/>
  <c r="I14" i="1"/>
  <c r="H14" i="1"/>
  <c r="G14" i="1"/>
  <c r="F14" i="1"/>
  <c r="L82" i="1" l="1"/>
  <c r="K82" i="1"/>
  <c r="L67" i="1"/>
  <c r="N67" i="1" s="1"/>
  <c r="K67" i="1"/>
  <c r="M67" i="1" s="1"/>
  <c r="N82" i="1"/>
  <c r="J83" i="1"/>
  <c r="M82" i="1"/>
  <c r="J68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L68" i="1" l="1"/>
  <c r="K68" i="1"/>
  <c r="L83" i="1"/>
  <c r="K83" i="1"/>
  <c r="M83" i="1"/>
  <c r="J84" i="1"/>
  <c r="N83" i="1"/>
  <c r="J69" i="1"/>
  <c r="N68" i="1"/>
  <c r="M68" i="1"/>
  <c r="C20" i="1"/>
  <c r="O22" i="1"/>
  <c r="F12" i="1"/>
  <c r="G12" i="1"/>
  <c r="L69" i="1" l="1"/>
  <c r="K69" i="1"/>
  <c r="K84" i="1"/>
  <c r="L84" i="1"/>
  <c r="N84" i="1" s="1"/>
  <c r="M84" i="1"/>
  <c r="N69" i="1"/>
  <c r="M69" i="1"/>
  <c r="I12" i="1"/>
  <c r="H12" i="1"/>
  <c r="B29" i="1" l="1"/>
  <c r="C203" i="1" l="1"/>
  <c r="L24" i="1"/>
  <c r="L26" i="1" s="1"/>
  <c r="K24" i="1"/>
  <c r="K27" i="1" s="1"/>
  <c r="L27" i="1" l="1"/>
  <c r="L38" i="1"/>
  <c r="L39" i="1"/>
  <c r="L30" i="1"/>
  <c r="L31" i="1"/>
  <c r="L32" i="1"/>
  <c r="L35" i="1"/>
  <c r="L33" i="1"/>
  <c r="L36" i="1"/>
  <c r="L34" i="1"/>
  <c r="L37" i="1"/>
  <c r="L25" i="1"/>
  <c r="L29" i="1"/>
  <c r="L28" i="1"/>
  <c r="D204" i="1"/>
  <c r="P22" i="1"/>
  <c r="H204" i="1" s="1"/>
  <c r="K196" i="1"/>
  <c r="L195" i="1"/>
  <c r="M195" i="1" s="1"/>
  <c r="K194" i="1"/>
  <c r="A204" i="1"/>
  <c r="A205" i="1" s="1"/>
  <c r="A206" i="1" s="1"/>
  <c r="L193" i="1"/>
  <c r="M193" i="1" s="1"/>
  <c r="I10" i="1"/>
  <c r="H10" i="1"/>
  <c r="G10" i="1"/>
  <c r="F10" i="1"/>
  <c r="I8" i="1"/>
  <c r="H8" i="1"/>
  <c r="G8" i="1"/>
  <c r="F8" i="1"/>
  <c r="I6" i="1"/>
  <c r="H6" i="1"/>
  <c r="G6" i="1"/>
  <c r="F6" i="1"/>
  <c r="I4" i="1"/>
  <c r="H4" i="1"/>
  <c r="G4" i="1"/>
  <c r="F4" i="1"/>
  <c r="B5" i="1"/>
  <c r="C204" i="1" l="1"/>
  <c r="F204" i="1" s="1"/>
  <c r="H203" i="1"/>
  <c r="H205" i="1"/>
  <c r="D203" i="1"/>
  <c r="F203" i="1" s="1"/>
  <c r="H206" i="1"/>
  <c r="L196" i="1"/>
  <c r="M196" i="1" s="1"/>
  <c r="L194" i="1"/>
  <c r="M194" i="1" s="1"/>
  <c r="E28" i="1"/>
  <c r="E29" i="1" s="1"/>
  <c r="H27" i="1"/>
  <c r="I27" i="1" s="1"/>
  <c r="H26" i="1"/>
  <c r="I26" i="1" s="1"/>
  <c r="F24" i="1"/>
  <c r="E24" i="1"/>
  <c r="D24" i="1"/>
  <c r="N38" i="1" l="1"/>
  <c r="N27" i="1"/>
  <c r="N33" i="1"/>
  <c r="N31" i="1"/>
  <c r="N37" i="1"/>
  <c r="N34" i="1"/>
  <c r="N28" i="1"/>
  <c r="N39" i="1"/>
  <c r="N36" i="1"/>
  <c r="N29" i="1"/>
  <c r="N26" i="1"/>
  <c r="N30" i="1"/>
  <c r="N35" i="1"/>
  <c r="N32" i="1"/>
  <c r="O29" i="1"/>
  <c r="O36" i="1"/>
  <c r="O30" i="1"/>
  <c r="O37" i="1"/>
  <c r="O38" i="1"/>
  <c r="O27" i="1"/>
  <c r="O26" i="1"/>
  <c r="O31" i="1"/>
  <c r="O32" i="1"/>
  <c r="O39" i="1"/>
  <c r="O33" i="1"/>
  <c r="O40" i="1"/>
  <c r="O28" i="1"/>
  <c r="O34" i="1"/>
  <c r="O35" i="1"/>
  <c r="G29" i="1"/>
  <c r="C29" i="1" l="1"/>
  <c r="C24" i="1"/>
  <c r="A50" i="1" l="1"/>
  <c r="A51" i="1" s="1"/>
  <c r="A52" i="1" s="1"/>
  <c r="A54" i="1" s="1"/>
  <c r="A55" i="1" s="1"/>
  <c r="A56" i="1" s="1"/>
  <c r="B50" i="1"/>
  <c r="B60" i="1" s="1"/>
  <c r="B70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B71" i="1" l="1"/>
  <c r="B72" i="1" s="1"/>
  <c r="B73" i="1" s="1"/>
  <c r="B74" i="1" s="1"/>
  <c r="B75" i="1" s="1"/>
  <c r="B76" i="1" s="1"/>
  <c r="B77" i="1" s="1"/>
  <c r="B78" i="1" s="1"/>
  <c r="B79" i="1" s="1"/>
  <c r="B80" i="1"/>
  <c r="A61" i="1"/>
  <c r="A71" i="1" s="1"/>
  <c r="A81" i="1" s="1"/>
  <c r="A91" i="1" s="1"/>
  <c r="A101" i="1" s="1"/>
  <c r="A111" i="1" s="1"/>
  <c r="A121" i="1" s="1"/>
  <c r="A131" i="1" s="1"/>
  <c r="A141" i="1" s="1"/>
  <c r="A151" i="1" s="1"/>
  <c r="A161" i="1" s="1"/>
  <c r="A171" i="1" s="1"/>
  <c r="A181" i="1" s="1"/>
  <c r="A191" i="1" s="1"/>
  <c r="A60" i="1"/>
  <c r="A70" i="1" s="1"/>
  <c r="A80" i="1" s="1"/>
  <c r="A90" i="1" s="1"/>
  <c r="A100" i="1" s="1"/>
  <c r="A110" i="1" s="1"/>
  <c r="A120" i="1" s="1"/>
  <c r="A130" i="1" s="1"/>
  <c r="A140" i="1" s="1"/>
  <c r="A150" i="1" s="1"/>
  <c r="A160" i="1" s="1"/>
  <c r="A170" i="1" s="1"/>
  <c r="A180" i="1" s="1"/>
  <c r="A190" i="1" s="1"/>
  <c r="B51" i="1"/>
  <c r="B52" i="1" s="1"/>
  <c r="B58" i="1" s="1"/>
  <c r="B59" i="1" s="1"/>
  <c r="B24" i="1"/>
  <c r="L15" i="1"/>
  <c r="K15" i="1"/>
  <c r="A15" i="1"/>
  <c r="L14" i="1"/>
  <c r="K14" i="1"/>
  <c r="A14" i="1"/>
  <c r="L13" i="1"/>
  <c r="K13" i="1"/>
  <c r="A13" i="1"/>
  <c r="L12" i="1"/>
  <c r="K12" i="1"/>
  <c r="A12" i="1"/>
  <c r="L11" i="1"/>
  <c r="K11" i="1"/>
  <c r="A11" i="1"/>
  <c r="L10" i="1"/>
  <c r="K10" i="1"/>
  <c r="A10" i="1"/>
  <c r="L9" i="1"/>
  <c r="K9" i="1"/>
  <c r="A9" i="1"/>
  <c r="L8" i="1"/>
  <c r="K8" i="1"/>
  <c r="A8" i="1"/>
  <c r="L7" i="1"/>
  <c r="K7" i="1"/>
  <c r="A7" i="1"/>
  <c r="L6" i="1"/>
  <c r="K6" i="1"/>
  <c r="A6" i="1"/>
  <c r="L5" i="1"/>
  <c r="K5" i="1"/>
  <c r="A5" i="1"/>
  <c r="L4" i="1"/>
  <c r="K4" i="1"/>
  <c r="A4" i="1"/>
  <c r="L3" i="1"/>
  <c r="K3" i="1"/>
  <c r="E3" i="1"/>
  <c r="B90" i="1" l="1"/>
  <c r="B81" i="1"/>
  <c r="B82" i="1" s="1"/>
  <c r="B83" i="1" s="1"/>
  <c r="B84" i="1" s="1"/>
  <c r="B85" i="1" s="1"/>
  <c r="B86" i="1" s="1"/>
  <c r="B87" i="1" s="1"/>
  <c r="B88" i="1" s="1"/>
  <c r="B89" i="1" s="1"/>
  <c r="A62" i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E4" i="1"/>
  <c r="J3" i="1"/>
  <c r="B91" i="1" l="1"/>
  <c r="B92" i="1" s="1"/>
  <c r="B93" i="1" s="1"/>
  <c r="B94" i="1" s="1"/>
  <c r="B95" i="1" s="1"/>
  <c r="B96" i="1" s="1"/>
  <c r="B97" i="1" s="1"/>
  <c r="B98" i="1" s="1"/>
  <c r="B99" i="1" s="1"/>
  <c r="B100" i="1"/>
  <c r="A63" i="1"/>
  <c r="A73" i="1" s="1"/>
  <c r="A83" i="1" s="1"/>
  <c r="A93" i="1" s="1"/>
  <c r="A103" i="1" s="1"/>
  <c r="A113" i="1" s="1"/>
  <c r="A123" i="1" s="1"/>
  <c r="A133" i="1" s="1"/>
  <c r="A143" i="1" s="1"/>
  <c r="A153" i="1" s="1"/>
  <c r="A163" i="1" s="1"/>
  <c r="A173" i="1" s="1"/>
  <c r="A183" i="1" s="1"/>
  <c r="A193" i="1" s="1"/>
  <c r="B61" i="1"/>
  <c r="B62" i="1" s="1"/>
  <c r="B63" i="1" s="1"/>
  <c r="B64" i="1" s="1"/>
  <c r="B65" i="1" s="1"/>
  <c r="B66" i="1" s="1"/>
  <c r="B67" i="1" s="1"/>
  <c r="B68" i="1" s="1"/>
  <c r="B69" i="1" s="1"/>
  <c r="E5" i="1"/>
  <c r="J4" i="1"/>
  <c r="B101" i="1" l="1"/>
  <c r="B102" i="1" s="1"/>
  <c r="B103" i="1" s="1"/>
  <c r="B104" i="1" s="1"/>
  <c r="B105" i="1" s="1"/>
  <c r="B106" i="1" s="1"/>
  <c r="B107" i="1" s="1"/>
  <c r="B108" i="1" s="1"/>
  <c r="B109" i="1" s="1"/>
  <c r="B110" i="1"/>
  <c r="A64" i="1"/>
  <c r="A74" i="1" s="1"/>
  <c r="A84" i="1" s="1"/>
  <c r="A94" i="1" s="1"/>
  <c r="A104" i="1" s="1"/>
  <c r="A114" i="1" s="1"/>
  <c r="A124" i="1" s="1"/>
  <c r="A134" i="1" s="1"/>
  <c r="A144" i="1" s="1"/>
  <c r="A154" i="1" s="1"/>
  <c r="A164" i="1" s="1"/>
  <c r="A174" i="1" s="1"/>
  <c r="A184" i="1" s="1"/>
  <c r="A194" i="1" s="1"/>
  <c r="J5" i="1"/>
  <c r="E6" i="1"/>
  <c r="J6" i="1" s="1"/>
  <c r="B111" i="1" l="1"/>
  <c r="B112" i="1" s="1"/>
  <c r="B113" i="1" s="1"/>
  <c r="B114" i="1" s="1"/>
  <c r="B115" i="1" s="1"/>
  <c r="B116" i="1" s="1"/>
  <c r="B117" i="1" s="1"/>
  <c r="B118" i="1" s="1"/>
  <c r="B119" i="1" s="1"/>
  <c r="B120" i="1"/>
  <c r="A65" i="1"/>
  <c r="A75" i="1" s="1"/>
  <c r="A85" i="1" s="1"/>
  <c r="A95" i="1" s="1"/>
  <c r="A105" i="1" s="1"/>
  <c r="A115" i="1" s="1"/>
  <c r="A125" i="1" s="1"/>
  <c r="A135" i="1" s="1"/>
  <c r="A145" i="1" s="1"/>
  <c r="A155" i="1" s="1"/>
  <c r="A165" i="1" s="1"/>
  <c r="A175" i="1" s="1"/>
  <c r="A185" i="1" s="1"/>
  <c r="A195" i="1" s="1"/>
  <c r="D206" i="1"/>
  <c r="E7" i="1"/>
  <c r="B130" i="1" l="1"/>
  <c r="B121" i="1"/>
  <c r="B122" i="1" s="1"/>
  <c r="B123" i="1" s="1"/>
  <c r="B124" i="1" s="1"/>
  <c r="B125" i="1" s="1"/>
  <c r="B126" i="1" s="1"/>
  <c r="B127" i="1" s="1"/>
  <c r="B128" i="1" s="1"/>
  <c r="B129" i="1" s="1"/>
  <c r="A66" i="1"/>
  <c r="A76" i="1" s="1"/>
  <c r="A86" i="1" s="1"/>
  <c r="A96" i="1" s="1"/>
  <c r="A106" i="1" s="1"/>
  <c r="A116" i="1" s="1"/>
  <c r="A126" i="1" s="1"/>
  <c r="A136" i="1" s="1"/>
  <c r="A146" i="1" s="1"/>
  <c r="A156" i="1" s="1"/>
  <c r="A166" i="1" s="1"/>
  <c r="A176" i="1" s="1"/>
  <c r="A186" i="1" s="1"/>
  <c r="A196" i="1" s="1"/>
  <c r="E8" i="1"/>
  <c r="E9" i="1" s="1"/>
  <c r="J7" i="1"/>
  <c r="B131" i="1" l="1"/>
  <c r="B132" i="1" s="1"/>
  <c r="B133" i="1" s="1"/>
  <c r="B134" i="1" s="1"/>
  <c r="B135" i="1" s="1"/>
  <c r="B136" i="1" s="1"/>
  <c r="B137" i="1" s="1"/>
  <c r="B138" i="1" s="1"/>
  <c r="B139" i="1" s="1"/>
  <c r="B140" i="1"/>
  <c r="A67" i="1"/>
  <c r="A77" i="1" s="1"/>
  <c r="A87" i="1" s="1"/>
  <c r="A97" i="1" s="1"/>
  <c r="A107" i="1" s="1"/>
  <c r="A117" i="1" s="1"/>
  <c r="A127" i="1" s="1"/>
  <c r="A137" i="1" s="1"/>
  <c r="A147" i="1" s="1"/>
  <c r="A157" i="1" s="1"/>
  <c r="A167" i="1" s="1"/>
  <c r="A177" i="1" s="1"/>
  <c r="A187" i="1" s="1"/>
  <c r="A197" i="1" s="1"/>
  <c r="E10" i="1"/>
  <c r="E11" i="1" s="1"/>
  <c r="J9" i="1"/>
  <c r="J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/>
  <c r="A59" i="1"/>
  <c r="A69" i="1" s="1"/>
  <c r="A79" i="1" s="1"/>
  <c r="A68" i="1"/>
  <c r="A78" i="1" s="1"/>
  <c r="A88" i="1" s="1"/>
  <c r="A98" i="1" s="1"/>
  <c r="A108" i="1" s="1"/>
  <c r="A118" i="1" s="1"/>
  <c r="A128" i="1" s="1"/>
  <c r="A138" i="1" s="1"/>
  <c r="A148" i="1" s="1"/>
  <c r="A158" i="1" s="1"/>
  <c r="A168" i="1" s="1"/>
  <c r="A178" i="1" s="1"/>
  <c r="A188" i="1" s="1"/>
  <c r="A198" i="1" s="1"/>
  <c r="J10" i="1"/>
  <c r="J11" i="1"/>
  <c r="O4" i="1"/>
  <c r="P4" i="1" s="1"/>
  <c r="E12" i="1"/>
  <c r="E13" i="1" s="1"/>
  <c r="J13" i="1" s="1"/>
  <c r="B160" i="1" l="1"/>
  <c r="B151" i="1"/>
  <c r="B152" i="1" s="1"/>
  <c r="B153" i="1" s="1"/>
  <c r="B154" i="1" s="1"/>
  <c r="B155" i="1" s="1"/>
  <c r="B156" i="1" s="1"/>
  <c r="B157" i="1" s="1"/>
  <c r="B158" i="1" s="1"/>
  <c r="B159" i="1" s="1"/>
  <c r="A89" i="1"/>
  <c r="A99" i="1" s="1"/>
  <c r="A109" i="1" s="1"/>
  <c r="A119" i="1" s="1"/>
  <c r="A129" i="1" s="1"/>
  <c r="A139" i="1" s="1"/>
  <c r="A149" i="1" s="1"/>
  <c r="A159" i="1" s="1"/>
  <c r="A169" i="1" s="1"/>
  <c r="A179" i="1" s="1"/>
  <c r="A189" i="1" s="1"/>
  <c r="A199" i="1" s="1"/>
  <c r="C205" i="1" s="1"/>
  <c r="C206" i="1" s="1"/>
  <c r="F206" i="1" s="1"/>
  <c r="E14" i="1"/>
  <c r="J12" i="1"/>
  <c r="B161" i="1" l="1"/>
  <c r="B162" i="1" s="1"/>
  <c r="B163" i="1" s="1"/>
  <c r="B164" i="1" s="1"/>
  <c r="B165" i="1" s="1"/>
  <c r="B166" i="1" s="1"/>
  <c r="B167" i="1" s="1"/>
  <c r="B168" i="1" s="1"/>
  <c r="B169" i="1" s="1"/>
  <c r="B170" i="1"/>
  <c r="J14" i="1"/>
  <c r="E15" i="1"/>
  <c r="N196" i="1" s="1"/>
  <c r="B180" i="1" l="1"/>
  <c r="B171" i="1"/>
  <c r="B172" i="1" s="1"/>
  <c r="B173" i="1" s="1"/>
  <c r="B174" i="1" s="1"/>
  <c r="B175" i="1" s="1"/>
  <c r="B176" i="1" s="1"/>
  <c r="B177" i="1" s="1"/>
  <c r="B178" i="1" s="1"/>
  <c r="B179" i="1" s="1"/>
  <c r="J15" i="1"/>
  <c r="N193" i="1"/>
  <c r="O193" i="1" s="1"/>
  <c r="P193" i="1" s="1"/>
  <c r="E203" i="1" s="1"/>
  <c r="B30" i="1"/>
  <c r="N195" i="1"/>
  <c r="N194" i="1"/>
  <c r="O194" i="1" s="1"/>
  <c r="P194" i="1" s="1"/>
  <c r="E204" i="1" s="1"/>
  <c r="B190" i="1" l="1"/>
  <c r="B191" i="1" s="1"/>
  <c r="B192" i="1" s="1"/>
  <c r="B193" i="1" s="1"/>
  <c r="B194" i="1" s="1"/>
  <c r="B195" i="1" s="1"/>
  <c r="B196" i="1" s="1"/>
  <c r="B197" i="1" s="1"/>
  <c r="B198" i="1" s="1"/>
  <c r="B199" i="1" s="1"/>
  <c r="D205" i="1" s="1"/>
  <c r="F205" i="1" s="1"/>
  <c r="B181" i="1"/>
  <c r="B182" i="1" s="1"/>
  <c r="B183" i="1" s="1"/>
  <c r="B184" i="1" s="1"/>
  <c r="B185" i="1" s="1"/>
  <c r="B186" i="1" s="1"/>
  <c r="B187" i="1" s="1"/>
  <c r="B188" i="1" s="1"/>
  <c r="B189" i="1" s="1"/>
  <c r="C30" i="1"/>
  <c r="C31" i="1" s="1"/>
  <c r="O196" i="1"/>
  <c r="P196" i="1" s="1"/>
  <c r="E206" i="1" s="1"/>
  <c r="O195" i="1"/>
  <c r="P195" i="1" s="1"/>
  <c r="E205" i="1" s="1"/>
  <c r="D30" i="1" l="1"/>
  <c r="E30" i="1" l="1"/>
  <c r="D31" i="1"/>
  <c r="D32" i="1" l="1"/>
  <c r="C52" i="1" s="1"/>
  <c r="D35" i="1"/>
  <c r="D36" i="1" s="1"/>
  <c r="F30" i="1"/>
  <c r="E31" i="1"/>
  <c r="E35" i="1" l="1"/>
  <c r="E36" i="1" s="1"/>
  <c r="E32" i="1"/>
  <c r="E37" i="1" s="1"/>
  <c r="E38" i="1" s="1"/>
  <c r="E39" i="1" s="1"/>
  <c r="G31" i="1"/>
  <c r="F31" i="1"/>
  <c r="F35" i="1" l="1"/>
  <c r="F36" i="1" s="1"/>
  <c r="F32" i="1"/>
  <c r="F37" i="1" s="1"/>
  <c r="F38" i="1" s="1"/>
  <c r="F39" i="1" s="1"/>
  <c r="G35" i="1"/>
  <c r="G36" i="1" s="1"/>
  <c r="G32" i="1"/>
  <c r="K38" i="1" l="1"/>
  <c r="K26" i="1"/>
  <c r="K25" i="1"/>
  <c r="K28" i="1"/>
  <c r="K39" i="1"/>
  <c r="K32" i="1"/>
  <c r="K37" i="1"/>
  <c r="K30" i="1"/>
  <c r="K31" i="1"/>
  <c r="K34" i="1"/>
  <c r="K29" i="1"/>
  <c r="K33" i="1"/>
  <c r="K36" i="1"/>
  <c r="K35" i="1"/>
  <c r="B20" i="1"/>
  <c r="B31" i="1"/>
  <c r="B35" i="1" l="1"/>
  <c r="B36" i="1" s="1"/>
  <c r="B32" i="1"/>
  <c r="C50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32" i="1"/>
  <c r="C37" i="1" s="1"/>
  <c r="C38" i="1" s="1"/>
  <c r="C39" i="1" s="1"/>
  <c r="C35" i="1"/>
  <c r="C36" i="1" s="1"/>
  <c r="C150" i="1" l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51" i="1"/>
</calcChain>
</file>

<file path=xl/sharedStrings.xml><?xml version="1.0" encoding="utf-8"?>
<sst xmlns="http://schemas.openxmlformats.org/spreadsheetml/2006/main" count="673" uniqueCount="223">
  <si>
    <t>Expected x (nm)</t>
  </si>
  <si>
    <t>Expected y (nm)</t>
  </si>
  <si>
    <t>Energy (MeV)</t>
  </si>
  <si>
    <t>Frequency (Hz)</t>
  </si>
  <si>
    <t>Points</t>
  </si>
  <si>
    <t>Blanks</t>
  </si>
  <si>
    <t>Count Rate Calculation</t>
  </si>
  <si>
    <t>Brightness</t>
  </si>
  <si>
    <t>Detector Position
(mm)</t>
  </si>
  <si>
    <t>Equivalent Count
Rate (protons/s)</t>
  </si>
  <si>
    <t>Count Rate
(protons/s)</t>
  </si>
  <si>
    <t>On-axis ref (mm)</t>
  </si>
  <si>
    <t>ox (um)</t>
  </si>
  <si>
    <t>oy (um)</t>
  </si>
  <si>
    <t>cx (um)</t>
  </si>
  <si>
    <t>cy (um)</t>
  </si>
  <si>
    <t>Scanning Parameters</t>
  </si>
  <si>
    <t>Resolution</t>
  </si>
  <si>
    <t>Time per pixel (s)</t>
  </si>
  <si>
    <t>Total time (s)</t>
  </si>
  <si>
    <t>File Name</t>
  </si>
  <si>
    <t>Beam spot size (um)</t>
  </si>
  <si>
    <t>Scan size (um)</t>
  </si>
  <si>
    <t>x</t>
  </si>
  <si>
    <t>y</t>
  </si>
  <si>
    <t>Writing Parameters</t>
  </si>
  <si>
    <t>x pixel size (mm)</t>
  </si>
  <si>
    <t>y pixel size (mm)</t>
  </si>
  <si>
    <t>Ion Count Rate
(#/s)</t>
  </si>
  <si>
    <t>Dose (#/cm2)</t>
  </si>
  <si>
    <t>Total time (min)</t>
  </si>
  <si>
    <t>Scan area (mm2)</t>
  </si>
  <si>
    <t>X (mm)</t>
  </si>
  <si>
    <t>Y (mm)</t>
  </si>
  <si>
    <t>X Voltage (V)</t>
  </si>
  <si>
    <t>Y Voltage (V)</t>
  </si>
  <si>
    <t>EPL File Name</t>
  </si>
  <si>
    <t>Writing</t>
  </si>
  <si>
    <t>Dose (nC/mm2)</t>
  </si>
  <si>
    <t>Target X (mm)</t>
  </si>
  <si>
    <t>Target Y (mm)</t>
  </si>
  <si>
    <t>Writing Place</t>
  </si>
  <si>
    <t>X (nm)</t>
  </si>
  <si>
    <t>Y (nm)</t>
  </si>
  <si>
    <t>Spot Size</t>
  </si>
  <si>
    <t>Target Z (mm)</t>
  </si>
  <si>
    <t>3. Alignment Marker</t>
  </si>
  <si>
    <t>Stage direction(0=y)</t>
  </si>
  <si>
    <t>X(mm)</t>
  </si>
  <si>
    <t>Y(mm)</t>
  </si>
  <si>
    <t>Stage Velocity(mm/s)</t>
  </si>
  <si>
    <t>Final(mm)</t>
  </si>
  <si>
    <t>Voltage</t>
  </si>
  <si>
    <t>width (um)</t>
  </si>
  <si>
    <t>(dose nC/mm2)</t>
  </si>
  <si>
    <t>length (mm)</t>
  </si>
  <si>
    <t>Area (mm^2)</t>
  </si>
  <si>
    <t>ions needed</t>
  </si>
  <si>
    <t>ions #/s</t>
  </si>
  <si>
    <t xml:space="preserve">time per channel </t>
  </si>
  <si>
    <t>stage speed</t>
  </si>
  <si>
    <t>for writing</t>
  </si>
  <si>
    <t>X (um)</t>
  </si>
  <si>
    <t>Y (um)</t>
  </si>
  <si>
    <t>Scan size</t>
  </si>
  <si>
    <t>Beam spot size</t>
  </si>
  <si>
    <t>Position</t>
  </si>
  <si>
    <t>Grid</t>
  </si>
  <si>
    <t>Current</t>
  </si>
  <si>
    <t>nA</t>
  </si>
  <si>
    <t>pixel</t>
  </si>
  <si>
    <t>x (nm)</t>
  </si>
  <si>
    <t>y (nm)</t>
  </si>
  <si>
    <t>num</t>
  </si>
  <si>
    <t>20250430_dou_512</t>
  </si>
  <si>
    <t>nm</t>
  </si>
  <si>
    <t>px for 1 um</t>
  </si>
  <si>
    <t>lines</t>
  </si>
  <si>
    <t>512 max</t>
  </si>
  <si>
    <t>horzarray512</t>
  </si>
  <si>
    <t>vertarray512</t>
  </si>
  <si>
    <t>Grid w bias</t>
  </si>
  <si>
    <t>Grid no bias</t>
  </si>
  <si>
    <t>On-axis no bias</t>
  </si>
  <si>
    <t>1k</t>
  </si>
  <si>
    <t>6k</t>
  </si>
  <si>
    <t>~900</t>
  </si>
  <si>
    <t>grid w bias</t>
  </si>
  <si>
    <t>400ish</t>
  </si>
  <si>
    <t>x step size (nm)</t>
  </si>
  <si>
    <t>y step size (nm)</t>
  </si>
  <si>
    <t>resolution</t>
  </si>
  <si>
    <t>no. of px for 1 um</t>
  </si>
  <si>
    <t>voltage step (mV)/px</t>
  </si>
  <si>
    <t>Step 4</t>
  </si>
  <si>
    <t>on axis ref</t>
  </si>
  <si>
    <t>detector pos</t>
  </si>
  <si>
    <t>count rate</t>
  </si>
  <si>
    <t>equivalent count rate</t>
  </si>
  <si>
    <t>ox</t>
  </si>
  <si>
    <t>oy</t>
  </si>
  <si>
    <t>cx</t>
  </si>
  <si>
    <t>cy</t>
  </si>
  <si>
    <t>brightness</t>
  </si>
  <si>
    <t>Measured spot size</t>
  </si>
  <si>
    <t>Remark</t>
  </si>
  <si>
    <t>2P</t>
  </si>
  <si>
    <t>ADC</t>
  </si>
  <si>
    <t>LLD</t>
  </si>
  <si>
    <t>ULD</t>
  </si>
  <si>
    <t>Res</t>
  </si>
  <si>
    <t>V/per channel</t>
  </si>
  <si>
    <t>Noise channel</t>
  </si>
  <si>
    <t>Noise Voltage</t>
  </si>
  <si>
    <t>25*100</t>
  </si>
  <si>
    <t>Step 2</t>
  </si>
  <si>
    <t>50*250</t>
  </si>
  <si>
    <t>Grid center</t>
  </si>
  <si>
    <t xml:space="preserve">PMMA corner 1 </t>
  </si>
  <si>
    <t>PMMA edge 2</t>
  </si>
  <si>
    <t>PMMA edge 3</t>
  </si>
  <si>
    <t xml:space="preserve">PMMA1  center </t>
  </si>
  <si>
    <t>X</t>
  </si>
  <si>
    <t>Y</t>
  </si>
  <si>
    <t>Area (mm2)</t>
  </si>
  <si>
    <t>pixel size in x (mm)</t>
  </si>
  <si>
    <t>pixel size in y (mm)</t>
  </si>
  <si>
    <t>dose (nC/mm2)</t>
  </si>
  <si>
    <t>Ion count rate (#/sec)</t>
  </si>
  <si>
    <t>Beam Current (nC/sec)</t>
  </si>
  <si>
    <t>Time per Pixel (sec)</t>
  </si>
  <si>
    <t>Total # of pixels</t>
  </si>
  <si>
    <t>Time in total(Sec)</t>
  </si>
  <si>
    <t>Z (below grid, use '+')</t>
  </si>
  <si>
    <t>black_512_epl</t>
  </si>
  <si>
    <t>A</t>
  </si>
  <si>
    <t>USING NEW FORMULAS</t>
  </si>
  <si>
    <t>90L1P</t>
  </si>
  <si>
    <t>10L0.5P</t>
  </si>
  <si>
    <t>1. 4 Lines</t>
  </si>
  <si>
    <t>TMAH dev sets 1,2</t>
  </si>
  <si>
    <t>old dosage (inacc)</t>
  </si>
  <si>
    <t xml:space="preserve">time total (second) </t>
  </si>
  <si>
    <t xml:space="preserve">(mins) </t>
  </si>
  <si>
    <t>Salty dev set 3,4</t>
  </si>
  <si>
    <t>x2 for H2+</t>
  </si>
  <si>
    <t>Beam spot size ( nm)</t>
  </si>
  <si>
    <t>actual current 1.6 pA</t>
  </si>
  <si>
    <t>time per channel (seconds)</t>
  </si>
  <si>
    <t>diff in count rate from using grid to block and reduce count rate (do this before moving pin diode)</t>
  </si>
  <si>
    <t>cells to input (note the boxes to see how they are related to neighbouring cells)</t>
  </si>
  <si>
    <t>output from excel, pay attention!</t>
  </si>
  <si>
    <t>copy these columns into notepad, for the writing software to read</t>
  </si>
  <si>
    <t>of interest to present to prof, usually count rate/current</t>
  </si>
  <si>
    <t>horzarray512 (actual dose)</t>
  </si>
  <si>
    <t>horzarray512 (old)</t>
  </si>
  <si>
    <t>Ion count/length (#/um)</t>
  </si>
  <si>
    <t>beam velocity (mm/s)</t>
  </si>
  <si>
    <t>beam velocity (um/s)</t>
  </si>
  <si>
    <t>ions (#/s)</t>
  </si>
  <si>
    <t>time per channel (s)</t>
  </si>
  <si>
    <t>stage speed (mm/s)</t>
  </si>
  <si>
    <t>stage velo (um/s)</t>
  </si>
  <si>
    <t>ion count rate (#/s)</t>
  </si>
  <si>
    <t>horzarray512 (test)</t>
  </si>
  <si>
    <t>count rate (#/s)</t>
  </si>
  <si>
    <t>RBD current (nA)</t>
  </si>
  <si>
    <t>RBD current (pA)</t>
  </si>
  <si>
    <t>note rbd can measure up to 0.1 pA precision, or 0.0001 nA</t>
  </si>
  <si>
    <t>length (um)</t>
  </si>
  <si>
    <t>Ions needed (#)</t>
  </si>
  <si>
    <t>time (s)</t>
  </si>
  <si>
    <t>stage speed (um/s)</t>
  </si>
  <si>
    <t xml:space="preserve">total time (s) </t>
  </si>
  <si>
    <t>Beam spot size (nm)</t>
  </si>
  <si>
    <t>1D Lines</t>
  </si>
  <si>
    <t>Voltage (legacy, keep 0 for 1D)</t>
  </si>
  <si>
    <t>2D Alignment Marker (use old 2D excel formulas)</t>
  </si>
  <si>
    <t>Raster direction(0=y)</t>
  </si>
  <si>
    <t>Ion Count Rate (#/s)</t>
  </si>
  <si>
    <t>x pixel size (mm/px)</t>
  </si>
  <si>
    <t>y pixel size (mm/px)</t>
  </si>
  <si>
    <t>Frequency (Hz) or px/s</t>
  </si>
  <si>
    <t>Scanning Parameters (for 1D lines)</t>
  </si>
  <si>
    <t>time</t>
  </si>
  <si>
    <t xml:space="preserve">time total (s) </t>
  </si>
  <si>
    <t>spacing(nm)</t>
  </si>
  <si>
    <t>mm</t>
  </si>
  <si>
    <t>top and lower bars</t>
  </si>
  <si>
    <t>dist from start</t>
  </si>
  <si>
    <t>256 line</t>
  </si>
  <si>
    <t>512 line</t>
  </si>
  <si>
    <t>1024 line</t>
  </si>
  <si>
    <t>2048 line</t>
  </si>
  <si>
    <t>512 line density</t>
  </si>
  <si>
    <t>512 multi line</t>
  </si>
  <si>
    <t>dose 2</t>
  </si>
  <si>
    <t>dose 1</t>
  </si>
  <si>
    <t>dose 3</t>
  </si>
  <si>
    <t>dose 4</t>
  </si>
  <si>
    <t>dose 5</t>
  </si>
  <si>
    <t>dose 6</t>
  </si>
  <si>
    <t>dose 7</t>
  </si>
  <si>
    <t>dose 8</t>
  </si>
  <si>
    <t>dose 9</t>
  </si>
  <si>
    <t>dose 10</t>
  </si>
  <si>
    <t>512 singles</t>
  </si>
  <si>
    <t>Horz bar</t>
  </si>
  <si>
    <t>512rezline</t>
  </si>
  <si>
    <t>1024rezline</t>
  </si>
  <si>
    <t>2048 rezline</t>
  </si>
  <si>
    <t>512linedensity</t>
  </si>
  <si>
    <t>512multi</t>
  </si>
  <si>
    <t>horzbar</t>
  </si>
  <si>
    <t xml:space="preserve">rb shows </t>
  </si>
  <si>
    <t>x spread (nm)/ um depth</t>
  </si>
  <si>
    <t>Y spread (nm)/ um depth</t>
  </si>
  <si>
    <t>y spread/spot size %</t>
  </si>
  <si>
    <t>x spread/spot size %</t>
  </si>
  <si>
    <t>target current</t>
  </si>
  <si>
    <t>count rate needed</t>
  </si>
  <si>
    <t>H2+</t>
  </si>
  <si>
    <t>2x count rate to be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</si>
</sst>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6" borderId="19" applyNumberFormat="0" applyAlignment="0" applyProtection="0"/>
    <xf numFmtId="0" fontId="4" fillId="7" borderId="19" applyNumberFormat="0" applyAlignment="0" applyProtection="0"/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0" xfId="0" applyFont="1"/>
    <xf numFmtId="11" fontId="0" fillId="0" borderId="0" xfId="0" applyNumberFormat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1" fontId="0" fillId="0" borderId="17" xfId="0" applyNumberFormat="1" applyBorder="1"/>
    <xf numFmtId="11" fontId="0" fillId="0" borderId="18" xfId="0" applyNumberFormat="1" applyBorder="1"/>
    <xf numFmtId="0" fontId="0" fillId="0" borderId="18" xfId="0" applyBorder="1"/>
    <xf numFmtId="164" fontId="0" fillId="0" borderId="18" xfId="0" applyNumberFormat="1" applyBorder="1"/>
    <xf numFmtId="0" fontId="0" fillId="0" borderId="3" xfId="0" applyBorder="1"/>
    <xf numFmtId="165" fontId="0" fillId="0" borderId="0" xfId="0" applyNumberFormat="1"/>
    <xf numFmtId="166" fontId="0" fillId="0" borderId="0" xfId="0" applyNumberFormat="1"/>
    <xf numFmtId="0" fontId="0" fillId="0" borderId="7" xfId="0" applyBorder="1"/>
    <xf numFmtId="164" fontId="0" fillId="0" borderId="0" xfId="0" applyNumberFormat="1"/>
    <xf numFmtId="1" fontId="0" fillId="0" borderId="0" xfId="0" applyNumberFormat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11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66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0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6" xfId="0" applyBorder="1"/>
    <xf numFmtId="2" fontId="0" fillId="0" borderId="0" xfId="0" applyNumberFormat="1"/>
    <xf numFmtId="0" fontId="1" fillId="0" borderId="6" xfId="0" applyFont="1" applyBorder="1"/>
    <xf numFmtId="2" fontId="0" fillId="0" borderId="5" xfId="0" applyNumberFormat="1" applyBorder="1"/>
    <xf numFmtId="0" fontId="0" fillId="0" borderId="2" xfId="0" applyBorder="1" applyAlignment="1">
      <alignment horizontal="right"/>
    </xf>
    <xf numFmtId="0" fontId="4" fillId="7" borderId="21" xfId="2" applyBorder="1" applyAlignment="1">
      <alignment horizontal="right"/>
    </xf>
    <xf numFmtId="0" fontId="4" fillId="7" borderId="21" xfId="2" applyBorder="1"/>
    <xf numFmtId="0" fontId="4" fillId="7" borderId="22" xfId="2" applyBorder="1"/>
    <xf numFmtId="0" fontId="4" fillId="7" borderId="19" xfId="2"/>
    <xf numFmtId="0" fontId="4" fillId="7" borderId="23" xfId="2" applyBorder="1"/>
    <xf numFmtId="0" fontId="4" fillId="7" borderId="24" xfId="2" applyBorder="1"/>
    <xf numFmtId="0" fontId="4" fillId="7" borderId="25" xfId="2" applyBorder="1"/>
    <xf numFmtId="11" fontId="3" fillId="6" borderId="19" xfId="1" applyNumberFormat="1"/>
    <xf numFmtId="11" fontId="4" fillId="7" borderId="19" xfId="2" applyNumberFormat="1"/>
    <xf numFmtId="1" fontId="4" fillId="7" borderId="19" xfId="2" applyNumberFormat="1"/>
    <xf numFmtId="167" fontId="0" fillId="0" borderId="0" xfId="0" applyNumberFormat="1"/>
    <xf numFmtId="0" fontId="0" fillId="0" borderId="0" xfId="0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2" borderId="3" xfId="0" applyFill="1" applyBorder="1"/>
    <xf numFmtId="1" fontId="0" fillId="5" borderId="0" xfId="0" applyNumberFormat="1" applyFill="1"/>
    <xf numFmtId="1" fontId="0" fillId="8" borderId="0" xfId="0" applyNumberFormat="1" applyFill="1"/>
    <xf numFmtId="1" fontId="0" fillId="3" borderId="0" xfId="0" applyNumberFormat="1" applyFill="1"/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11" fontId="0" fillId="9" borderId="28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1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1" fontId="0" fillId="10" borderId="26" xfId="0" applyNumberFormat="1" applyFill="1" applyBorder="1" applyAlignment="1">
      <alignment horizontal="center" vertical="center"/>
    </xf>
    <xf numFmtId="2" fontId="0" fillId="10" borderId="0" xfId="0" applyNumberFormat="1" applyFill="1"/>
    <xf numFmtId="11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4" xfId="0" applyFill="1" applyBorder="1"/>
    <xf numFmtId="0" fontId="0" fillId="2" borderId="35" xfId="0" applyFill="1" applyBorder="1"/>
    <xf numFmtId="11" fontId="0" fillId="10" borderId="0" xfId="0" applyNumberFormat="1" applyFill="1"/>
    <xf numFmtId="167" fontId="0" fillId="10" borderId="0" xfId="0" applyNumberFormat="1" applyFill="1"/>
    <xf numFmtId="0" fontId="0" fillId="4" borderId="36" xfId="0" applyFill="1" applyBorder="1"/>
    <xf numFmtId="0" fontId="0" fillId="4" borderId="37" xfId="0" applyFill="1" applyBorder="1"/>
    <xf numFmtId="11" fontId="0" fillId="4" borderId="38" xfId="0" applyNumberFormat="1" applyFill="1" applyBorder="1"/>
    <xf numFmtId="11" fontId="0" fillId="4" borderId="16" xfId="0" applyNumberFormat="1" applyFill="1" applyBorder="1"/>
    <xf numFmtId="1" fontId="0" fillId="4" borderId="16" xfId="0" applyNumberFormat="1" applyFill="1" applyBorder="1"/>
    <xf numFmtId="11" fontId="0" fillId="2" borderId="36" xfId="0" applyNumberFormat="1" applyFill="1" applyBorder="1"/>
    <xf numFmtId="0" fontId="0" fillId="2" borderId="37" xfId="0" applyFill="1" applyBorder="1"/>
    <xf numFmtId="11" fontId="0" fillId="2" borderId="38" xfId="0" applyNumberFormat="1" applyFill="1" applyBorder="1"/>
    <xf numFmtId="0" fontId="0" fillId="2" borderId="39" xfId="0" applyFill="1" applyBorder="1"/>
    <xf numFmtId="165" fontId="0" fillId="2" borderId="0" xfId="0" applyNumberFormat="1" applyFill="1"/>
    <xf numFmtId="165" fontId="0" fillId="2" borderId="31" xfId="0" applyNumberFormat="1" applyFill="1" applyBorder="1"/>
    <xf numFmtId="164" fontId="0" fillId="2" borderId="39" xfId="0" applyNumberFormat="1" applyFill="1" applyBorder="1"/>
    <xf numFmtId="0" fontId="0" fillId="2" borderId="0" xfId="0" applyFill="1"/>
    <xf numFmtId="0" fontId="0" fillId="2" borderId="31" xfId="0" applyFill="1" applyBorder="1"/>
    <xf numFmtId="165" fontId="0" fillId="2" borderId="30" xfId="0" applyNumberFormat="1" applyFill="1" applyBorder="1"/>
    <xf numFmtId="165" fontId="0" fillId="2" borderId="35" xfId="0" applyNumberFormat="1" applyFill="1" applyBorder="1"/>
    <xf numFmtId="164" fontId="0" fillId="2" borderId="34" xfId="0" applyNumberFormat="1" applyFill="1" applyBorder="1"/>
    <xf numFmtId="0" fontId="0" fillId="2" borderId="30" xfId="0" applyFill="1" applyBorder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0" fillId="2" borderId="18" xfId="0" applyNumberFormat="1" applyFill="1" applyBorder="1"/>
    <xf numFmtId="11" fontId="0" fillId="2" borderId="18" xfId="0" applyNumberFormat="1" applyFill="1" applyBorder="1"/>
    <xf numFmtId="164" fontId="4" fillId="7" borderId="22" xfId="2" applyNumberFormat="1" applyBorder="1"/>
    <xf numFmtId="164" fontId="4" fillId="7" borderId="23" xfId="2" applyNumberFormat="1" applyBorder="1"/>
    <xf numFmtId="164" fontId="4" fillId="7" borderId="25" xfId="2" applyNumberFormat="1" applyBorder="1"/>
    <xf numFmtId="11" fontId="0" fillId="8" borderId="0" xfId="0" applyNumberFormat="1" applyFill="1"/>
    <xf numFmtId="11" fontId="0" fillId="3" borderId="0" xfId="0" applyNumberFormat="1" applyFill="1"/>
    <xf numFmtId="11" fontId="0" fillId="5" borderId="0" xfId="0" applyNumberFormat="1" applyFill="1"/>
    <xf numFmtId="11" fontId="0" fillId="5" borderId="0" xfId="0" applyNumberFormat="1" applyFill="1" applyAlignment="1">
      <alignment horizontal="center" vertical="center"/>
    </xf>
    <xf numFmtId="0" fontId="0" fillId="0" borderId="0" xfId="0" applyNumberFormat="1"/>
    <xf numFmtId="11" fontId="0" fillId="0" borderId="0" xfId="0" applyNumberFormat="1" applyFill="1"/>
    <xf numFmtId="11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Fill="1" applyBorder="1"/>
    <xf numFmtId="0" fontId="4" fillId="0" borderId="0" xfId="2" applyFill="1" applyBorder="1"/>
    <xf numFmtId="11" fontId="3" fillId="0" borderId="0" xfId="1" applyNumberFormat="1" applyFill="1" applyBorder="1"/>
    <xf numFmtId="11" fontId="4" fillId="0" borderId="0" xfId="2" applyNumberFormat="1" applyFill="1" applyBorder="1"/>
    <xf numFmtId="1" fontId="4" fillId="0" borderId="0" xfId="2" applyNumberForma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167" fontId="0" fillId="0" borderId="0" xfId="0" applyNumberFormat="1" applyFill="1"/>
    <xf numFmtId="0" fontId="1" fillId="0" borderId="29" xfId="0" applyFont="1" applyBorder="1"/>
    <xf numFmtId="0" fontId="0" fillId="0" borderId="29" xfId="0" applyBorder="1"/>
    <xf numFmtId="11" fontId="0" fillId="0" borderId="29" xfId="0" applyNumberFormat="1" applyBorder="1"/>
    <xf numFmtId="0" fontId="0" fillId="2" borderId="29" xfId="0" applyFill="1" applyBorder="1"/>
    <xf numFmtId="0" fontId="0" fillId="5" borderId="29" xfId="0" applyFill="1" applyBorder="1"/>
    <xf numFmtId="0" fontId="0" fillId="4" borderId="29" xfId="0" applyFill="1" applyBorder="1"/>
    <xf numFmtId="11" fontId="0" fillId="4" borderId="29" xfId="0" applyNumberFormat="1" applyFill="1" applyBorder="1"/>
    <xf numFmtId="1" fontId="0" fillId="4" borderId="29" xfId="0" applyNumberFormat="1" applyFill="1" applyBorder="1"/>
    <xf numFmtId="11" fontId="0" fillId="2" borderId="29" xfId="0" applyNumberFormat="1" applyFill="1" applyBorder="1"/>
    <xf numFmtId="165" fontId="0" fillId="2" borderId="29" xfId="0" applyNumberFormat="1" applyFill="1" applyBorder="1"/>
    <xf numFmtId="166" fontId="0" fillId="0" borderId="29" xfId="0" applyNumberFormat="1" applyBorder="1"/>
    <xf numFmtId="164" fontId="0" fillId="2" borderId="29" xfId="0" applyNumberFormat="1" applyFill="1" applyBorder="1"/>
    <xf numFmtId="11" fontId="0" fillId="0" borderId="29" xfId="0" applyNumberFormat="1" applyFill="1" applyBorder="1"/>
    <xf numFmtId="0" fontId="0" fillId="2" borderId="29" xfId="0" applyFill="1" applyBorder="1" applyAlignment="1">
      <alignment horizontal="center" vertical="center"/>
    </xf>
    <xf numFmtId="164" fontId="0" fillId="0" borderId="29" xfId="0" applyNumberFormat="1" applyBorder="1"/>
    <xf numFmtId="0" fontId="0" fillId="0" borderId="29" xfId="0" applyFill="1" applyBorder="1"/>
    <xf numFmtId="1" fontId="0" fillId="0" borderId="29" xfId="0" applyNumberFormat="1" applyBorder="1"/>
    <xf numFmtId="2" fontId="0" fillId="0" borderId="29" xfId="0" applyNumberFormat="1" applyBorder="1"/>
    <xf numFmtId="165" fontId="0" fillId="0" borderId="29" xfId="0" applyNumberFormat="1" applyBorder="1"/>
    <xf numFmtId="2" fontId="0" fillId="5" borderId="0" xfId="0" applyNumberFormat="1" applyFill="1"/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9" borderId="35" xfId="0" applyNumberFormat="1" applyFill="1" applyBorder="1" applyAlignment="1">
      <alignment horizontal="center" vertical="center"/>
    </xf>
    <xf numFmtId="11" fontId="0" fillId="2" borderId="28" xfId="0" applyNumberFormat="1" applyFill="1" applyBorder="1" applyAlignment="1">
      <alignment horizontal="center" vertical="center"/>
    </xf>
    <xf numFmtId="11" fontId="0" fillId="2" borderId="35" xfId="0" applyNumberFormat="1" applyFill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10" borderId="28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41" xfId="0" applyBorder="1"/>
    <xf numFmtId="0" fontId="0" fillId="0" borderId="3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0" xfId="0" applyFont="1" applyBorder="1"/>
    <xf numFmtId="11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10" borderId="29" xfId="0" applyNumberFormat="1" applyFill="1" applyBorder="1" applyAlignment="1">
      <alignment horizontal="center" vertical="center"/>
    </xf>
    <xf numFmtId="166" fontId="0" fillId="10" borderId="29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/>
    </xf>
    <xf numFmtId="2" fontId="0" fillId="0" borderId="0" xfId="0" applyNumberFormat="1" applyFill="1"/>
    <xf numFmtId="165" fontId="0" fillId="0" borderId="29" xfId="0" applyNumberFormat="1" applyFill="1" applyBorder="1"/>
    <xf numFmtId="166" fontId="0" fillId="0" borderId="29" xfId="0" applyNumberFormat="1" applyFill="1" applyBorder="1"/>
    <xf numFmtId="2" fontId="0" fillId="0" borderId="29" xfId="0" applyNumberFormat="1" applyFill="1" applyBorder="1"/>
    <xf numFmtId="1" fontId="0" fillId="0" borderId="0" xfId="0" applyNumberFormat="1" applyFill="1"/>
    <xf numFmtId="164" fontId="0" fillId="0" borderId="0" xfId="0" applyNumberFormat="1" applyFill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1" fontId="0" fillId="2" borderId="29" xfId="0" applyNumberForma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0" fillId="10" borderId="29" xfId="0" applyNumberFormat="1" applyFill="1" applyBorder="1"/>
    <xf numFmtId="2" fontId="0" fillId="5" borderId="29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opLeftCell="A4" zoomScaleNormal="100" workbookViewId="0">
      <selection activeCell="G35" sqref="G35"/>
    </sheetView>
  </sheetViews>
  <sheetFormatPr defaultColWidth="9.140625" defaultRowHeight="15" x14ac:dyDescent="0.25"/>
  <cols>
    <col min="1" max="11" width="18.28515625" style="1" customWidth="1"/>
    <col min="12" max="12" width="18.42578125" style="1" customWidth="1"/>
    <col min="13" max="16384" width="9.140625" style="1"/>
  </cols>
  <sheetData>
    <row r="1" spans="1:16" thickBot="1" x14ac:dyDescent="0.35">
      <c r="A1" s="250" t="s">
        <v>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2"/>
    </row>
    <row r="2" spans="1:16" ht="28.9" x14ac:dyDescent="0.3">
      <c r="A2" s="2" t="s">
        <v>11</v>
      </c>
      <c r="B2" s="14" t="s">
        <v>8</v>
      </c>
      <c r="C2" s="15" t="s">
        <v>66</v>
      </c>
      <c r="D2" s="15" t="s">
        <v>10</v>
      </c>
      <c r="E2" s="16" t="s">
        <v>9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6" ht="14.45" x14ac:dyDescent="0.3">
      <c r="A3" s="4">
        <v>0</v>
      </c>
      <c r="B3" s="4">
        <v>17</v>
      </c>
      <c r="C3" s="1" t="s">
        <v>83</v>
      </c>
      <c r="D3" s="1">
        <v>3700</v>
      </c>
      <c r="E3" s="9">
        <f>D3</f>
        <v>3700</v>
      </c>
      <c r="F3" s="1">
        <v>4</v>
      </c>
      <c r="G3" s="1">
        <v>4</v>
      </c>
      <c r="H3" s="1">
        <v>5</v>
      </c>
      <c r="I3" s="1">
        <v>5</v>
      </c>
      <c r="J3" s="10">
        <f t="shared" ref="J3:J15" si="0">E3*0.16*6.38^2/(F3*G3*H3*I3*M3)</f>
        <v>40.161674666666663</v>
      </c>
      <c r="K3" s="10">
        <f t="shared" ref="K3:K15" si="1">F3/857*1000</f>
        <v>4.6674445740956818</v>
      </c>
      <c r="L3" s="10">
        <f t="shared" ref="L3:L15" si="2">G3/130*1000</f>
        <v>30.76923076923077</v>
      </c>
      <c r="M3" s="12">
        <v>1.5</v>
      </c>
      <c r="O3" s="1" t="s">
        <v>68</v>
      </c>
      <c r="P3" s="1" t="s">
        <v>69</v>
      </c>
    </row>
    <row r="4" spans="1:16" ht="14.45" x14ac:dyDescent="0.3">
      <c r="A4" s="4">
        <f>B4-$B$3</f>
        <v>0</v>
      </c>
      <c r="B4" s="4">
        <v>17</v>
      </c>
      <c r="C4" s="1" t="s">
        <v>82</v>
      </c>
      <c r="D4" s="1">
        <v>750</v>
      </c>
      <c r="E4" s="9">
        <f>E3</f>
        <v>3700</v>
      </c>
      <c r="F4" s="1">
        <f>F3</f>
        <v>4</v>
      </c>
      <c r="G4" s="1">
        <f t="shared" ref="G4:I4" si="3">G3</f>
        <v>4</v>
      </c>
      <c r="H4" s="1">
        <f t="shared" si="3"/>
        <v>5</v>
      </c>
      <c r="I4" s="1">
        <f t="shared" si="3"/>
        <v>5</v>
      </c>
      <c r="J4" s="10">
        <f t="shared" si="0"/>
        <v>40.161674666666663</v>
      </c>
      <c r="K4" s="10">
        <f t="shared" si="1"/>
        <v>4.6674445740956818</v>
      </c>
      <c r="L4" s="10">
        <f t="shared" si="2"/>
        <v>30.76923076923077</v>
      </c>
      <c r="M4" s="12">
        <v>1.5</v>
      </c>
      <c r="O4" s="9">
        <f>E11*1.6E-19</f>
        <v>0</v>
      </c>
      <c r="P4" s="1">
        <f>O4*1000000000</f>
        <v>0</v>
      </c>
    </row>
    <row r="5" spans="1:16" ht="14.45" x14ac:dyDescent="0.3">
      <c r="A5" s="4">
        <f>B5-$B$3</f>
        <v>0</v>
      </c>
      <c r="B5" s="4">
        <f>B4</f>
        <v>17</v>
      </c>
      <c r="C5" s="1" t="s">
        <v>82</v>
      </c>
      <c r="D5" s="1">
        <v>4900</v>
      </c>
      <c r="E5" s="9">
        <f>IFERROR(D5*E4/D4,0)</f>
        <v>24173.333333333332</v>
      </c>
      <c r="F5" s="1">
        <v>4</v>
      </c>
      <c r="G5" s="1">
        <v>4</v>
      </c>
      <c r="H5" s="1">
        <v>15</v>
      </c>
      <c r="I5" s="1">
        <v>15</v>
      </c>
      <c r="J5" s="10">
        <f t="shared" si="0"/>
        <v>29.154400869135802</v>
      </c>
      <c r="K5" s="10">
        <f t="shared" si="1"/>
        <v>4.6674445740956818</v>
      </c>
      <c r="L5" s="10">
        <f t="shared" si="2"/>
        <v>30.76923076923077</v>
      </c>
      <c r="M5" s="12">
        <v>1.5</v>
      </c>
    </row>
    <row r="6" spans="1:16" ht="14.45" x14ac:dyDescent="0.3">
      <c r="A6" s="4">
        <f t="shared" ref="A6:A15" si="4">B6-$B$3</f>
        <v>11</v>
      </c>
      <c r="B6" s="4">
        <v>28</v>
      </c>
      <c r="C6" s="1" t="s">
        <v>82</v>
      </c>
      <c r="D6" s="1">
        <v>350</v>
      </c>
      <c r="E6" s="9">
        <f>E5</f>
        <v>24173.333333333332</v>
      </c>
      <c r="F6" s="1">
        <f>F5</f>
        <v>4</v>
      </c>
      <c r="G6" s="1">
        <f t="shared" ref="G6:I6" si="5">G5</f>
        <v>4</v>
      </c>
      <c r="H6" s="1">
        <f t="shared" si="5"/>
        <v>15</v>
      </c>
      <c r="I6" s="1">
        <f t="shared" si="5"/>
        <v>15</v>
      </c>
      <c r="J6" s="10">
        <f t="shared" si="0"/>
        <v>29.154400869135802</v>
      </c>
      <c r="K6" s="10">
        <f t="shared" si="1"/>
        <v>4.6674445740956818</v>
      </c>
      <c r="L6" s="10">
        <f t="shared" si="2"/>
        <v>30.76923076923077</v>
      </c>
      <c r="M6" s="12">
        <v>1.5</v>
      </c>
    </row>
    <row r="7" spans="1:16" ht="14.45" x14ac:dyDescent="0.3">
      <c r="A7" s="4">
        <f t="shared" si="4"/>
        <v>11</v>
      </c>
      <c r="B7" s="4">
        <v>28</v>
      </c>
      <c r="C7" s="50" t="s">
        <v>82</v>
      </c>
      <c r="D7" s="50">
        <v>5800</v>
      </c>
      <c r="E7" s="9">
        <f>IFERROR(D7*E6/D6,0)</f>
        <v>400586.66666666663</v>
      </c>
      <c r="F7" s="1">
        <v>10</v>
      </c>
      <c r="G7" s="1">
        <v>8</v>
      </c>
      <c r="H7" s="1">
        <v>30</v>
      </c>
      <c r="I7" s="1">
        <v>30</v>
      </c>
      <c r="J7" s="10">
        <f t="shared" si="0"/>
        <v>24.156503577283949</v>
      </c>
      <c r="K7" s="10">
        <f t="shared" si="1"/>
        <v>11.668611435239207</v>
      </c>
      <c r="L7" s="10">
        <f t="shared" si="2"/>
        <v>61.53846153846154</v>
      </c>
      <c r="M7" s="12">
        <v>1.5</v>
      </c>
    </row>
    <row r="8" spans="1:16" ht="14.45" x14ac:dyDescent="0.3">
      <c r="A8" s="4">
        <f t="shared" si="4"/>
        <v>19</v>
      </c>
      <c r="B8" s="4">
        <v>36</v>
      </c>
      <c r="C8" s="52" t="s">
        <v>82</v>
      </c>
      <c r="D8" s="52">
        <v>420</v>
      </c>
      <c r="E8" s="9">
        <f>E7</f>
        <v>400586.66666666663</v>
      </c>
      <c r="F8" s="1">
        <f>F7</f>
        <v>10</v>
      </c>
      <c r="G8" s="1">
        <f t="shared" ref="G8:I14" si="6">G7</f>
        <v>8</v>
      </c>
      <c r="H8" s="1">
        <f t="shared" si="6"/>
        <v>30</v>
      </c>
      <c r="I8" s="1">
        <f t="shared" si="6"/>
        <v>30</v>
      </c>
      <c r="J8" s="10">
        <f t="shared" si="0"/>
        <v>24.156503577283949</v>
      </c>
      <c r="K8" s="10">
        <f t="shared" si="1"/>
        <v>11.668611435239207</v>
      </c>
      <c r="L8" s="10">
        <f t="shared" si="2"/>
        <v>61.53846153846154</v>
      </c>
      <c r="M8" s="12">
        <v>1.5</v>
      </c>
    </row>
    <row r="9" spans="1:16" ht="14.45" x14ac:dyDescent="0.3">
      <c r="A9" s="4">
        <f t="shared" si="4"/>
        <v>11</v>
      </c>
      <c r="B9" s="4">
        <v>28</v>
      </c>
      <c r="C9" s="50" t="s">
        <v>81</v>
      </c>
      <c r="D9" s="50" t="s">
        <v>85</v>
      </c>
      <c r="E9" s="9">
        <f>IFERROR(D9*E8/D8,0)</f>
        <v>0</v>
      </c>
      <c r="F9" s="1">
        <v>10</v>
      </c>
      <c r="G9" s="1">
        <v>8</v>
      </c>
      <c r="H9" s="1">
        <v>30</v>
      </c>
      <c r="I9" s="1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6" ht="14.45" x14ac:dyDescent="0.3">
      <c r="A10" s="4">
        <f t="shared" si="4"/>
        <v>16</v>
      </c>
      <c r="B10" s="4">
        <v>33</v>
      </c>
      <c r="C10" s="51" t="s">
        <v>81</v>
      </c>
      <c r="D10" s="51" t="s">
        <v>84</v>
      </c>
      <c r="E10" s="9">
        <f>E9</f>
        <v>0</v>
      </c>
      <c r="F10" s="1">
        <f>F9</f>
        <v>10</v>
      </c>
      <c r="G10" s="1">
        <f t="shared" si="6"/>
        <v>8</v>
      </c>
      <c r="H10" s="1">
        <f t="shared" si="6"/>
        <v>30</v>
      </c>
      <c r="I10" s="1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6" ht="14.45" x14ac:dyDescent="0.3">
      <c r="A11" s="4">
        <f t="shared" si="4"/>
        <v>16</v>
      </c>
      <c r="B11" s="4">
        <v>33</v>
      </c>
      <c r="C11" s="51" t="s">
        <v>82</v>
      </c>
      <c r="D11" s="51" t="s">
        <v>86</v>
      </c>
      <c r="E11" s="9">
        <f>IFERROR(D11*E10/D10,0)</f>
        <v>0</v>
      </c>
      <c r="F11" s="1">
        <v>4</v>
      </c>
      <c r="G11" s="1">
        <v>20</v>
      </c>
      <c r="H11" s="1">
        <v>40</v>
      </c>
      <c r="I11" s="1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6" ht="14.45" x14ac:dyDescent="0.3">
      <c r="A12" s="4">
        <f t="shared" si="4"/>
        <v>19</v>
      </c>
      <c r="B12" s="4">
        <v>36</v>
      </c>
      <c r="C12" s="52" t="s">
        <v>87</v>
      </c>
      <c r="D12" s="52" t="s">
        <v>88</v>
      </c>
      <c r="E12" s="9">
        <f>E11</f>
        <v>0</v>
      </c>
      <c r="F12" s="1">
        <f>F11</f>
        <v>4</v>
      </c>
      <c r="G12" s="1">
        <f t="shared" si="6"/>
        <v>20</v>
      </c>
      <c r="H12" s="1">
        <f t="shared" si="6"/>
        <v>40</v>
      </c>
      <c r="I12" s="1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6" ht="14.45" x14ac:dyDescent="0.3">
      <c r="A13" s="4">
        <f t="shared" si="4"/>
        <v>23</v>
      </c>
      <c r="B13" s="4">
        <v>40</v>
      </c>
      <c r="C13" s="1" t="s">
        <v>67</v>
      </c>
      <c r="D13" s="1">
        <v>0</v>
      </c>
      <c r="E13" s="9">
        <f>IFERROR(D13*E12/D12,0)</f>
        <v>0</v>
      </c>
      <c r="F13" s="1">
        <v>10</v>
      </c>
      <c r="G13" s="1">
        <v>30</v>
      </c>
      <c r="H13" s="1">
        <v>50</v>
      </c>
      <c r="I13" s="1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6" ht="14.45" x14ac:dyDescent="0.3">
      <c r="A14" s="4">
        <f t="shared" si="4"/>
        <v>27</v>
      </c>
      <c r="B14" s="4">
        <v>44</v>
      </c>
      <c r="C14" s="1" t="s">
        <v>67</v>
      </c>
      <c r="D14" s="1">
        <v>0</v>
      </c>
      <c r="E14" s="9">
        <f>E13</f>
        <v>0</v>
      </c>
      <c r="F14" s="1">
        <f>F13</f>
        <v>10</v>
      </c>
      <c r="G14" s="1">
        <f t="shared" si="6"/>
        <v>30</v>
      </c>
      <c r="H14" s="1">
        <f t="shared" si="6"/>
        <v>50</v>
      </c>
      <c r="I14" s="1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6" thickBot="1" x14ac:dyDescent="0.35">
      <c r="A15" s="5">
        <f t="shared" si="4"/>
        <v>27</v>
      </c>
      <c r="B15" s="5">
        <v>44</v>
      </c>
      <c r="C15" s="6" t="s">
        <v>67</v>
      </c>
      <c r="D15" s="6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6" thickBot="1" x14ac:dyDescent="0.35">
      <c r="D16" s="9"/>
      <c r="I16" s="10"/>
      <c r="J16" s="10"/>
      <c r="K16" s="10"/>
    </row>
    <row r="17" spans="1:16" thickBot="1" x14ac:dyDescent="0.35">
      <c r="A17" s="253" t="s">
        <v>25</v>
      </c>
      <c r="B17" s="254"/>
      <c r="C17" s="255"/>
      <c r="D17" s="9"/>
      <c r="E17" s="258" t="s">
        <v>41</v>
      </c>
      <c r="F17" s="257"/>
      <c r="H17" s="253" t="s">
        <v>44</v>
      </c>
      <c r="I17" s="255"/>
      <c r="J17" s="10"/>
      <c r="K17" s="10"/>
    </row>
    <row r="18" spans="1:16" ht="14.45" x14ac:dyDescent="0.3">
      <c r="A18" s="17"/>
      <c r="B18" s="1" t="s">
        <v>23</v>
      </c>
      <c r="C18" s="12" t="s">
        <v>24</v>
      </c>
      <c r="D18" s="9"/>
      <c r="E18" s="17" t="s">
        <v>39</v>
      </c>
      <c r="F18" s="8">
        <v>0.9</v>
      </c>
      <c r="H18" s="2" t="s">
        <v>42</v>
      </c>
      <c r="I18" s="24">
        <v>42</v>
      </c>
      <c r="J18" s="10"/>
      <c r="K18" s="10"/>
    </row>
    <row r="19" spans="1:16" thickBot="1" x14ac:dyDescent="0.35">
      <c r="A19" s="18" t="s">
        <v>22</v>
      </c>
      <c r="B19" s="1">
        <v>12.43</v>
      </c>
      <c r="C19" s="12">
        <v>13.84</v>
      </c>
      <c r="D19" s="9"/>
      <c r="E19" s="18" t="s">
        <v>40</v>
      </c>
      <c r="F19" s="12">
        <v>3.75</v>
      </c>
      <c r="H19" s="5" t="s">
        <v>43</v>
      </c>
      <c r="I19" s="25">
        <v>106</v>
      </c>
      <c r="J19" s="10"/>
      <c r="K19" s="10"/>
    </row>
    <row r="20" spans="1:16" thickBot="1" x14ac:dyDescent="0.35">
      <c r="A20" s="19" t="s">
        <v>21</v>
      </c>
      <c r="B20" s="6">
        <f>I18/1000</f>
        <v>4.2000000000000003E-2</v>
      </c>
      <c r="C20" s="13">
        <f>I19/1000</f>
        <v>0.106</v>
      </c>
      <c r="D20" s="9"/>
      <c r="E20" s="19" t="s">
        <v>45</v>
      </c>
      <c r="F20" s="13">
        <f>-7.5+0.486</f>
        <v>-7.0140000000000002</v>
      </c>
      <c r="I20" s="10"/>
      <c r="J20" s="10"/>
      <c r="K20" s="10"/>
      <c r="N20" s="41" t="s">
        <v>61</v>
      </c>
      <c r="O20" s="42"/>
      <c r="P20" s="43"/>
    </row>
    <row r="21" spans="1:16" thickBot="1" x14ac:dyDescent="0.35">
      <c r="A21" s="20"/>
      <c r="B21" s="49"/>
      <c r="N21" s="35"/>
      <c r="O21" s="27" t="s">
        <v>62</v>
      </c>
      <c r="P21" s="44" t="s">
        <v>63</v>
      </c>
    </row>
    <row r="22" spans="1:16" thickBot="1" x14ac:dyDescent="0.35">
      <c r="A22" s="253" t="s">
        <v>16</v>
      </c>
      <c r="B22" s="256"/>
      <c r="C22" s="256"/>
      <c r="D22" s="256"/>
      <c r="E22" s="256"/>
      <c r="F22" s="257"/>
      <c r="H22" s="9"/>
      <c r="N22" s="35" t="s">
        <v>64</v>
      </c>
      <c r="O22">
        <f>B19</f>
        <v>12.43</v>
      </c>
      <c r="P22" s="38">
        <f>C19</f>
        <v>13.84</v>
      </c>
    </row>
    <row r="23" spans="1:16" ht="15.75" thickBot="1" x14ac:dyDescent="0.3">
      <c r="A23" s="2" t="s">
        <v>20</v>
      </c>
      <c r="B23" s="2" t="s">
        <v>74</v>
      </c>
      <c r="C23" s="3" t="s">
        <v>154</v>
      </c>
      <c r="D23" s="3" t="s">
        <v>80</v>
      </c>
      <c r="E23" s="3" t="s">
        <v>155</v>
      </c>
      <c r="F23" s="3" t="s">
        <v>164</v>
      </c>
      <c r="G23" s="232" t="s">
        <v>207</v>
      </c>
      <c r="K23" s="1" t="s">
        <v>71</v>
      </c>
      <c r="L23" s="1" t="s">
        <v>72</v>
      </c>
      <c r="N23" s="45" t="s">
        <v>65</v>
      </c>
      <c r="O23" s="46">
        <v>4.2000000000000003E-2</v>
      </c>
      <c r="P23" s="47">
        <v>0.106</v>
      </c>
    </row>
    <row r="24" spans="1:16" x14ac:dyDescent="0.25">
      <c r="A24" s="4" t="s">
        <v>31</v>
      </c>
      <c r="B24" s="4">
        <f t="shared" ref="B24:F24" si="7">$B$19*$C$19/1000000</f>
        <v>1.7203119999999999E-4</v>
      </c>
      <c r="C24" s="1">
        <f t="shared" si="7"/>
        <v>1.7203119999999999E-4</v>
      </c>
      <c r="D24" s="1">
        <f t="shared" si="7"/>
        <v>1.7203119999999999E-4</v>
      </c>
      <c r="E24" s="1">
        <f t="shared" si="7"/>
        <v>1.7203119999999999E-4</v>
      </c>
      <c r="F24" s="1">
        <f t="shared" si="7"/>
        <v>1.7203119999999999E-4</v>
      </c>
      <c r="G24" s="233">
        <f>'Beam scan new'!B19*'Beam scan new'!C19/1000000</f>
        <v>1.2994192688000001E-4</v>
      </c>
      <c r="J24" s="1" t="s">
        <v>70</v>
      </c>
      <c r="K24" s="1">
        <f>B19/512*1000</f>
        <v>24.27734375</v>
      </c>
      <c r="L24" s="1">
        <f>C19/512*1000</f>
        <v>27.03125</v>
      </c>
    </row>
    <row r="25" spans="1:16" x14ac:dyDescent="0.25">
      <c r="A25" s="4" t="s">
        <v>17</v>
      </c>
      <c r="B25" s="4">
        <v>512</v>
      </c>
      <c r="C25" s="1">
        <v>512</v>
      </c>
      <c r="D25" s="1">
        <v>512</v>
      </c>
      <c r="E25" s="1">
        <v>512</v>
      </c>
      <c r="F25" s="1">
        <v>512</v>
      </c>
      <c r="G25" s="233">
        <v>512</v>
      </c>
      <c r="H25" s="1" t="s">
        <v>75</v>
      </c>
      <c r="I25" s="1" t="s">
        <v>76</v>
      </c>
      <c r="J25" s="1">
        <v>1</v>
      </c>
      <c r="K25" s="10">
        <f>$I$18+(J25-1)*K$24</f>
        <v>42</v>
      </c>
      <c r="L25" s="10">
        <f>$I$19+(J25-1)*L$24</f>
        <v>106</v>
      </c>
      <c r="M25" s="1" t="s">
        <v>77</v>
      </c>
      <c r="N25" s="1" t="s">
        <v>23</v>
      </c>
      <c r="O25" s="1" t="s">
        <v>24</v>
      </c>
      <c r="P25" s="1" t="s">
        <v>78</v>
      </c>
    </row>
    <row r="26" spans="1:16" x14ac:dyDescent="0.25">
      <c r="A26" s="138" t="s">
        <v>26</v>
      </c>
      <c r="B26" s="4">
        <f>$B$19/B25/1000</f>
        <v>2.427734375E-5</v>
      </c>
      <c r="C26" s="4">
        <f>$B$19/C25/1000</f>
        <v>2.427734375E-5</v>
      </c>
      <c r="D26" s="4">
        <f>$I$18/1000000</f>
        <v>4.1999999999999998E-5</v>
      </c>
      <c r="E26" s="4">
        <f>$I$18/1000000</f>
        <v>4.1999999999999998E-5</v>
      </c>
      <c r="F26" s="4">
        <f>$B$19/F25/1000</f>
        <v>2.427734375E-5</v>
      </c>
      <c r="G26" s="234">
        <f>'Beam scan new'!B19/G25/1000</f>
        <v>2.4211328124999999E-5</v>
      </c>
      <c r="H26" s="1">
        <f>G26*1000000</f>
        <v>24.211328124999998</v>
      </c>
      <c r="I26" s="1">
        <f>1000/H26</f>
        <v>41.302979945467165</v>
      </c>
      <c r="J26" s="1">
        <v>2</v>
      </c>
      <c r="K26" s="10">
        <f>$I$18+(J26-1)*K$24</f>
        <v>66.27734375</v>
      </c>
      <c r="L26" s="10">
        <f t="shared" ref="L26:L34" si="8">$I$19+(J26-1)*L$24</f>
        <v>133.03125</v>
      </c>
      <c r="M26" s="1">
        <v>1</v>
      </c>
      <c r="N26" s="1">
        <f>$I$26*(M26-1)</f>
        <v>0</v>
      </c>
      <c r="O26" s="1">
        <f>$I$27*(M26-1)</f>
        <v>0</v>
      </c>
    </row>
    <row r="27" spans="1:16" x14ac:dyDescent="0.25">
      <c r="A27" s="138" t="s">
        <v>27</v>
      </c>
      <c r="B27" s="4">
        <f>$C$19/B25/1000</f>
        <v>2.703125E-5</v>
      </c>
      <c r="C27" s="4">
        <f>$I$19/1000000</f>
        <v>1.06E-4</v>
      </c>
      <c r="D27" s="4">
        <f>$C$19/D25/1000</f>
        <v>2.703125E-5</v>
      </c>
      <c r="E27" s="4">
        <f>$I$19/1000000</f>
        <v>1.06E-4</v>
      </c>
      <c r="F27" s="4">
        <f>$I$19/1000000</f>
        <v>1.06E-4</v>
      </c>
      <c r="G27" s="234">
        <f>'Beam scan new'!C19/G25/1000</f>
        <v>2.0473437499999999E-5</v>
      </c>
      <c r="H27" s="1">
        <f>G27*1000000</f>
        <v>20.473437499999999</v>
      </c>
      <c r="I27" s="1">
        <f>1000/H27</f>
        <v>48.843776234450125</v>
      </c>
      <c r="J27" s="1">
        <v>3</v>
      </c>
      <c r="K27" s="10">
        <f>$I$18+(J27-1)*K$24</f>
        <v>90.5546875</v>
      </c>
      <c r="L27" s="10">
        <f t="shared" si="8"/>
        <v>160.0625</v>
      </c>
      <c r="M27" s="1">
        <v>2</v>
      </c>
      <c r="N27" s="1">
        <f t="shared" ref="N27:N39" si="9">$I$26*(M27-1)</f>
        <v>41.302979945467165</v>
      </c>
      <c r="O27" s="1">
        <f t="shared" ref="O27:O40" si="10">$I$27*(M27-1)</f>
        <v>48.843776234450125</v>
      </c>
    </row>
    <row r="28" spans="1:16" x14ac:dyDescent="0.25">
      <c r="A28" s="4" t="s">
        <v>29</v>
      </c>
      <c r="B28" s="1">
        <f>8000000000000/6.4*300</f>
        <v>375000000000000</v>
      </c>
      <c r="C28" s="1">
        <f>4000000000000/6.4*519</f>
        <v>324375000000000</v>
      </c>
      <c r="D28" s="1">
        <f>4000000000000/6.4*300</f>
        <v>187500000000000</v>
      </c>
      <c r="E28" s="1">
        <f t="shared" ref="E28:F28" si="11">4000000000000/6.4*300</f>
        <v>187500000000000</v>
      </c>
      <c r="F28" s="1">
        <f t="shared" si="11"/>
        <v>187500000000000</v>
      </c>
      <c r="G28" s="233">
        <f>4000000000000/6.4*600</f>
        <v>375000000000000</v>
      </c>
      <c r="J28" s="1">
        <v>4</v>
      </c>
      <c r="K28" s="10">
        <f t="shared" ref="K28" si="12">$I$18+(J28-1)*K$24</f>
        <v>114.83203125</v>
      </c>
      <c r="L28" s="10">
        <f t="shared" si="8"/>
        <v>187.09375</v>
      </c>
      <c r="M28" s="1">
        <v>3</v>
      </c>
      <c r="N28" s="1">
        <f t="shared" si="9"/>
        <v>82.605959890934329</v>
      </c>
      <c r="O28" s="1">
        <f t="shared" si="10"/>
        <v>97.68755246890025</v>
      </c>
    </row>
    <row r="29" spans="1:16" x14ac:dyDescent="0.25">
      <c r="A29" s="4" t="s">
        <v>38</v>
      </c>
      <c r="B29" s="4">
        <f>B$28*1.6E-19/100*1000000000</f>
        <v>600</v>
      </c>
      <c r="C29" s="1">
        <f t="shared" ref="C29:G29" si="13">C$28*1.6E-19/100*1000000000</f>
        <v>518.99999999999989</v>
      </c>
      <c r="D29" s="1">
        <f t="shared" si="13"/>
        <v>300</v>
      </c>
      <c r="E29" s="1">
        <f t="shared" si="13"/>
        <v>300</v>
      </c>
      <c r="F29" s="1">
        <f t="shared" si="13"/>
        <v>300</v>
      </c>
      <c r="G29" s="233">
        <f t="shared" si="13"/>
        <v>600</v>
      </c>
      <c r="J29" s="1">
        <v>5</v>
      </c>
      <c r="K29" s="10">
        <f>$I$18+(J29-1)*K$24</f>
        <v>139.109375</v>
      </c>
      <c r="L29" s="10">
        <f t="shared" si="8"/>
        <v>214.125</v>
      </c>
      <c r="M29" s="1">
        <v>4</v>
      </c>
      <c r="N29" s="1">
        <f t="shared" si="9"/>
        <v>123.90893983640149</v>
      </c>
      <c r="O29" s="1">
        <f t="shared" si="10"/>
        <v>146.53132870335037</v>
      </c>
    </row>
    <row r="30" spans="1:16" ht="30" x14ac:dyDescent="0.25">
      <c r="A30" s="137" t="s">
        <v>28</v>
      </c>
      <c r="B30" s="21">
        <f>MAX(E3:E15)*2</f>
        <v>801173.33333333326</v>
      </c>
      <c r="C30" s="9">
        <f>B30</f>
        <v>801173.33333333326</v>
      </c>
      <c r="D30" s="9">
        <f t="shared" ref="D30:F30" si="14">C30</f>
        <v>801173.33333333326</v>
      </c>
      <c r="E30" s="9">
        <f t="shared" si="14"/>
        <v>801173.33333333326</v>
      </c>
      <c r="F30" s="9">
        <f t="shared" si="14"/>
        <v>801173.33333333326</v>
      </c>
      <c r="G30" s="235">
        <f>'Beam scan new'!E7</f>
        <v>868403.10077519389</v>
      </c>
      <c r="J30" s="1">
        <v>6</v>
      </c>
      <c r="K30" s="10">
        <f t="shared" ref="K30:K39" si="15">$I$18+(J30-1)*K$24</f>
        <v>163.38671875</v>
      </c>
      <c r="L30" s="10">
        <f t="shared" si="8"/>
        <v>241.15625</v>
      </c>
      <c r="M30" s="1">
        <v>5</v>
      </c>
      <c r="N30" s="1">
        <f t="shared" si="9"/>
        <v>165.21191978186866</v>
      </c>
      <c r="O30" s="1">
        <f t="shared" si="10"/>
        <v>195.3751049378005</v>
      </c>
    </row>
    <row r="31" spans="1:16" x14ac:dyDescent="0.25">
      <c r="A31" s="4" t="s">
        <v>18</v>
      </c>
      <c r="B31" s="21">
        <f>B$28*B$26*B$27/100/B$30</f>
        <v>3.0716524795818675E-3</v>
      </c>
      <c r="C31" s="9">
        <f>C$28*C$26*C$27/100/C$30</f>
        <v>1.0419045210741695E-2</v>
      </c>
      <c r="D31" s="9">
        <f t="shared" ref="D31:G31" si="16">D$28*D$26*D$27/100/D$30</f>
        <v>2.6569917506407271E-3</v>
      </c>
      <c r="E31" s="9">
        <f t="shared" si="16"/>
        <v>1.0419093662628146E-2</v>
      </c>
      <c r="F31" s="9">
        <f t="shared" si="16"/>
        <v>6.022569485977858E-3</v>
      </c>
      <c r="G31" s="235">
        <f t="shared" si="16"/>
        <v>2.1405199643893553E-3</v>
      </c>
      <c r="J31" s="1">
        <v>7</v>
      </c>
      <c r="K31" s="10">
        <f t="shared" si="15"/>
        <v>187.6640625</v>
      </c>
      <c r="L31" s="10">
        <f t="shared" si="8"/>
        <v>268.1875</v>
      </c>
      <c r="M31" s="1">
        <v>6</v>
      </c>
      <c r="N31" s="1">
        <f t="shared" si="9"/>
        <v>206.51489972733583</v>
      </c>
      <c r="O31" s="1">
        <f t="shared" si="10"/>
        <v>244.21888117225063</v>
      </c>
    </row>
    <row r="32" spans="1:16" x14ac:dyDescent="0.25">
      <c r="A32" s="138" t="s">
        <v>3</v>
      </c>
      <c r="B32" s="22">
        <f>1/B31</f>
        <v>325.55766208816897</v>
      </c>
      <c r="C32" s="10">
        <f t="shared" ref="C32" si="17">1/C31</f>
        <v>95.978084342030954</v>
      </c>
      <c r="D32" s="10">
        <f t="shared" ref="D32:G32" si="18">1/D31</f>
        <v>376.36548918861052</v>
      </c>
      <c r="E32" s="10">
        <f t="shared" si="18"/>
        <v>95.977638015373856</v>
      </c>
      <c r="F32" s="10">
        <f t="shared" si="18"/>
        <v>166.04208591171354</v>
      </c>
      <c r="G32" s="236">
        <f t="shared" si="18"/>
        <v>467.17620794780987</v>
      </c>
      <c r="J32" s="1">
        <v>8</v>
      </c>
      <c r="K32" s="10">
        <f t="shared" si="15"/>
        <v>211.94140625</v>
      </c>
      <c r="L32" s="10">
        <f t="shared" si="8"/>
        <v>295.21875</v>
      </c>
      <c r="M32" s="1">
        <v>7</v>
      </c>
      <c r="N32" s="1">
        <f t="shared" si="9"/>
        <v>247.81787967280297</v>
      </c>
      <c r="O32" s="1">
        <f t="shared" si="10"/>
        <v>293.06265740670074</v>
      </c>
    </row>
    <row r="33" spans="1:16" x14ac:dyDescent="0.25">
      <c r="A33" s="4" t="s">
        <v>4</v>
      </c>
      <c r="B33" s="4">
        <v>33953</v>
      </c>
      <c r="C33" s="1">
        <v>7680</v>
      </c>
      <c r="D33" s="1">
        <v>7168</v>
      </c>
      <c r="E33" s="1">
        <v>7680</v>
      </c>
      <c r="F33" s="1">
        <v>7680</v>
      </c>
      <c r="G33" s="233">
        <v>104960</v>
      </c>
      <c r="J33" s="1">
        <v>9</v>
      </c>
      <c r="K33" s="10">
        <f t="shared" si="15"/>
        <v>236.21875</v>
      </c>
      <c r="L33" s="10">
        <f t="shared" si="8"/>
        <v>322.25</v>
      </c>
      <c r="M33" s="1">
        <v>8</v>
      </c>
      <c r="N33" s="1">
        <f t="shared" si="9"/>
        <v>289.12085961827017</v>
      </c>
      <c r="O33" s="1">
        <f t="shared" si="10"/>
        <v>341.9064336411509</v>
      </c>
    </row>
    <row r="34" spans="1:16" x14ac:dyDescent="0.25">
      <c r="A34" s="4" t="s">
        <v>5</v>
      </c>
      <c r="B34" s="4">
        <v>49619</v>
      </c>
      <c r="C34" s="1">
        <v>1545</v>
      </c>
      <c r="D34" s="1">
        <v>2053</v>
      </c>
      <c r="E34" s="1">
        <v>1545</v>
      </c>
      <c r="F34" s="1">
        <v>1545</v>
      </c>
      <c r="G34" s="233">
        <v>1329</v>
      </c>
      <c r="J34" s="1">
        <v>10</v>
      </c>
      <c r="K34" s="10">
        <f t="shared" si="15"/>
        <v>260.49609375</v>
      </c>
      <c r="L34" s="10">
        <f t="shared" si="8"/>
        <v>349.28125</v>
      </c>
      <c r="M34" s="1">
        <v>9</v>
      </c>
      <c r="N34" s="1">
        <f t="shared" si="9"/>
        <v>330.42383956373732</v>
      </c>
      <c r="O34" s="1">
        <f t="shared" si="10"/>
        <v>390.750209875601</v>
      </c>
    </row>
    <row r="35" spans="1:16" x14ac:dyDescent="0.25">
      <c r="A35" s="4" t="s">
        <v>19</v>
      </c>
      <c r="B35" s="22">
        <f>(B$33+B$34)*B$31</f>
        <v>256.70414102361582</v>
      </c>
      <c r="C35" s="10">
        <f t="shared" ref="C35:G35" si="19">(C$33+C$34)*C$31</f>
        <v>96.115692069092134</v>
      </c>
      <c r="D35" s="10">
        <f t="shared" si="19"/>
        <v>24.500120932658145</v>
      </c>
      <c r="E35" s="10">
        <f t="shared" si="19"/>
        <v>96.116139037744645</v>
      </c>
      <c r="F35" s="10">
        <f t="shared" si="19"/>
        <v>55.558203508145738</v>
      </c>
      <c r="G35" s="236">
        <f t="shared" si="19"/>
        <v>227.51372649498018</v>
      </c>
      <c r="J35" s="1">
        <v>11</v>
      </c>
      <c r="K35" s="10">
        <f t="shared" si="15"/>
        <v>284.7734375</v>
      </c>
      <c r="L35" s="10">
        <f t="shared" ref="L35:L39" si="20">$I$19+(J35-1)*L$24</f>
        <v>376.3125</v>
      </c>
      <c r="M35" s="1">
        <v>10</v>
      </c>
      <c r="N35" s="1">
        <f t="shared" si="9"/>
        <v>371.72681950920446</v>
      </c>
      <c r="O35" s="1">
        <f t="shared" si="10"/>
        <v>439.59398611005111</v>
      </c>
    </row>
    <row r="36" spans="1:16" ht="15.75" thickBot="1" x14ac:dyDescent="0.3">
      <c r="A36" s="5" t="s">
        <v>30</v>
      </c>
      <c r="B36" s="23">
        <f>B35/60</f>
        <v>4.2784023503935966</v>
      </c>
      <c r="C36" s="7">
        <f t="shared" ref="C36" si="21">C35/60</f>
        <v>1.6019282011515357</v>
      </c>
      <c r="D36" s="7">
        <f t="shared" ref="D36:G36" si="22">D35/60</f>
        <v>0.40833534887763573</v>
      </c>
      <c r="E36" s="7">
        <f t="shared" si="22"/>
        <v>1.6019356506290774</v>
      </c>
      <c r="F36" s="7">
        <f t="shared" si="22"/>
        <v>0.92597005846909564</v>
      </c>
      <c r="G36" s="237">
        <f t="shared" si="22"/>
        <v>3.7918954415830028</v>
      </c>
      <c r="J36" s="1">
        <v>12</v>
      </c>
      <c r="K36" s="10">
        <f t="shared" si="15"/>
        <v>309.05078125</v>
      </c>
      <c r="L36" s="10">
        <f t="shared" si="20"/>
        <v>403.34375</v>
      </c>
      <c r="M36" s="1">
        <v>11</v>
      </c>
      <c r="N36" s="1">
        <f t="shared" si="9"/>
        <v>413.02979945467166</v>
      </c>
      <c r="O36" s="1">
        <f t="shared" si="10"/>
        <v>488.43776234450127</v>
      </c>
    </row>
    <row r="37" spans="1:16" ht="14.45" x14ac:dyDescent="0.3">
      <c r="A37" s="1" t="s">
        <v>157</v>
      </c>
      <c r="B37" s="9"/>
      <c r="C37" s="9">
        <f>C32*C26</f>
        <v>2.3300929460379782E-3</v>
      </c>
      <c r="D37" s="9"/>
      <c r="E37" s="9">
        <f>E32*E26</f>
        <v>4.031060796645702E-3</v>
      </c>
      <c r="F37" s="9">
        <f>F32*F26</f>
        <v>4.031060796645702E-3</v>
      </c>
      <c r="G37" s="9"/>
      <c r="J37" s="1">
        <v>13</v>
      </c>
      <c r="K37" s="10">
        <f t="shared" si="15"/>
        <v>333.328125</v>
      </c>
      <c r="L37" s="10">
        <f t="shared" si="20"/>
        <v>430.375</v>
      </c>
      <c r="M37" s="1">
        <v>12</v>
      </c>
      <c r="N37" s="1">
        <f t="shared" si="9"/>
        <v>454.3327794001388</v>
      </c>
      <c r="O37" s="1">
        <f t="shared" si="10"/>
        <v>537.28153857895143</v>
      </c>
    </row>
    <row r="38" spans="1:16" ht="14.45" x14ac:dyDescent="0.3">
      <c r="A38" s="1" t="s">
        <v>158</v>
      </c>
      <c r="B38" s="10"/>
      <c r="C38" s="10">
        <f>C37*1000</f>
        <v>2.3300929460379782</v>
      </c>
      <c r="D38" s="10"/>
      <c r="E38" s="10">
        <f>E37*1000</f>
        <v>4.0310607966457024</v>
      </c>
      <c r="F38" s="10">
        <f>F37*1000</f>
        <v>4.0310607966457024</v>
      </c>
      <c r="G38" s="10"/>
      <c r="J38" s="1">
        <v>14</v>
      </c>
      <c r="K38" s="10">
        <f t="shared" si="15"/>
        <v>357.60546875</v>
      </c>
      <c r="L38" s="10">
        <f t="shared" si="20"/>
        <v>457.40625</v>
      </c>
      <c r="M38" s="1">
        <v>13</v>
      </c>
      <c r="N38" s="1">
        <f t="shared" si="9"/>
        <v>495.63575934560595</v>
      </c>
      <c r="O38" s="1">
        <f t="shared" si="10"/>
        <v>586.12531481340147</v>
      </c>
    </row>
    <row r="39" spans="1:16" ht="14.45" x14ac:dyDescent="0.3">
      <c r="A39" s="1" t="s">
        <v>156</v>
      </c>
      <c r="C39" s="147">
        <f>C30/C38</f>
        <v>343837.49999999994</v>
      </c>
      <c r="E39" s="150">
        <f>E30/E38</f>
        <v>198749.99999999997</v>
      </c>
      <c r="F39" s="150">
        <f>F30/F38</f>
        <v>198749.99999999997</v>
      </c>
      <c r="J39" s="1">
        <v>15</v>
      </c>
      <c r="K39" s="10">
        <f t="shared" si="15"/>
        <v>381.8828125</v>
      </c>
      <c r="L39" s="10">
        <f t="shared" si="20"/>
        <v>484.4375</v>
      </c>
      <c r="M39" s="1">
        <v>14</v>
      </c>
      <c r="N39" s="1">
        <f t="shared" si="9"/>
        <v>536.93873929107315</v>
      </c>
      <c r="O39" s="1">
        <f t="shared" si="10"/>
        <v>634.96909104785163</v>
      </c>
    </row>
    <row r="40" spans="1:16" ht="14.45" x14ac:dyDescent="0.3">
      <c r="C40" s="1">
        <v>343837.49999999994</v>
      </c>
      <c r="M40" s="1">
        <v>15</v>
      </c>
      <c r="O40" s="1">
        <f t="shared" si="10"/>
        <v>683.8128672823018</v>
      </c>
    </row>
    <row r="41" spans="1:16" thickBot="1" x14ac:dyDescent="0.35"/>
    <row r="42" spans="1:16" x14ac:dyDescent="0.25">
      <c r="J42" s="17"/>
      <c r="K42" s="1" t="s">
        <v>23</v>
      </c>
      <c r="L42" s="12" t="s">
        <v>24</v>
      </c>
    </row>
    <row r="43" spans="1:16" x14ac:dyDescent="0.25">
      <c r="J43" s="18" t="s">
        <v>22</v>
      </c>
      <c r="K43" s="1">
        <v>15</v>
      </c>
      <c r="L43" s="12">
        <v>15</v>
      </c>
    </row>
    <row r="44" spans="1:16" ht="15.75" thickBot="1" x14ac:dyDescent="0.3">
      <c r="J44" s="19" t="s">
        <v>21</v>
      </c>
      <c r="K44" s="6">
        <f>50/1000</f>
        <v>0.05</v>
      </c>
      <c r="L44" s="13">
        <f>300/1000</f>
        <v>0.3</v>
      </c>
      <c r="M44" s="248" t="s">
        <v>92</v>
      </c>
      <c r="N44" s="249"/>
      <c r="O44" s="54"/>
      <c r="P44" s="54"/>
    </row>
    <row r="45" spans="1:16" x14ac:dyDescent="0.25">
      <c r="J45" s="1" t="s">
        <v>91</v>
      </c>
      <c r="K45" s="1" t="s">
        <v>89</v>
      </c>
      <c r="L45" s="1" t="s">
        <v>90</v>
      </c>
      <c r="M45" s="1" t="s">
        <v>23</v>
      </c>
      <c r="N45" s="1" t="s">
        <v>24</v>
      </c>
      <c r="O45" s="55" t="s">
        <v>93</v>
      </c>
    </row>
    <row r="46" spans="1:16" x14ac:dyDescent="0.25">
      <c r="J46" s="1">
        <v>64</v>
      </c>
      <c r="K46" s="10">
        <f>$K$43/J46*1000</f>
        <v>234.375</v>
      </c>
      <c r="L46" s="10">
        <f>$L$43/J46*1000</f>
        <v>234.375</v>
      </c>
      <c r="M46" s="53">
        <f>1000/K46</f>
        <v>4.2666666666666666</v>
      </c>
      <c r="N46" s="53">
        <f>1000/L46</f>
        <v>4.2666666666666666</v>
      </c>
      <c r="O46" s="10">
        <f>20000/J46</f>
        <v>312.5</v>
      </c>
    </row>
    <row r="47" spans="1:16" ht="15.75" thickBot="1" x14ac:dyDescent="0.3">
      <c r="J47" s="1">
        <f>J46*2</f>
        <v>128</v>
      </c>
      <c r="K47" s="10">
        <f t="shared" ref="K47:K54" si="23">$K$43/J47*1000</f>
        <v>117.1875</v>
      </c>
      <c r="L47" s="10">
        <f t="shared" ref="L47:L54" si="24">$L$43/J47*1000</f>
        <v>117.1875</v>
      </c>
      <c r="M47" s="53">
        <f t="shared" ref="M47:M54" si="25">1000/K47</f>
        <v>8.5333333333333332</v>
      </c>
      <c r="N47" s="53">
        <f t="shared" ref="N47:N54" si="26">1000/L47</f>
        <v>8.5333333333333332</v>
      </c>
      <c r="O47" s="10">
        <f t="shared" ref="O47:O54" si="27">20000/J47</f>
        <v>156.25</v>
      </c>
    </row>
    <row r="48" spans="1:16" ht="15.75" thickBot="1" x14ac:dyDescent="0.3">
      <c r="A48" s="258" t="s">
        <v>37</v>
      </c>
      <c r="B48" s="256"/>
      <c r="C48" s="256"/>
      <c r="D48" s="256"/>
      <c r="E48" s="256"/>
      <c r="F48" s="257"/>
      <c r="J48" s="1">
        <f t="shared" ref="J48:J54" si="28">J47*2</f>
        <v>256</v>
      </c>
      <c r="K48" s="10">
        <f t="shared" si="23"/>
        <v>58.59375</v>
      </c>
      <c r="L48" s="10">
        <f t="shared" si="24"/>
        <v>58.59375</v>
      </c>
      <c r="M48" s="53">
        <f t="shared" si="25"/>
        <v>17.066666666666666</v>
      </c>
      <c r="N48" s="53">
        <f t="shared" si="26"/>
        <v>17.066666666666666</v>
      </c>
      <c r="O48" s="10">
        <f t="shared" si="27"/>
        <v>78.125</v>
      </c>
    </row>
    <row r="49" spans="1:15" ht="15.75" thickBot="1" x14ac:dyDescent="0.3">
      <c r="A49" s="2" t="s">
        <v>32</v>
      </c>
      <c r="B49" s="3" t="s">
        <v>33</v>
      </c>
      <c r="C49" s="3" t="s">
        <v>3</v>
      </c>
      <c r="D49" s="3" t="s">
        <v>34</v>
      </c>
      <c r="E49" s="3" t="s">
        <v>35</v>
      </c>
      <c r="F49" s="8" t="s">
        <v>36</v>
      </c>
      <c r="H49" s="1" t="s">
        <v>73</v>
      </c>
      <c r="J49" s="1">
        <f t="shared" si="28"/>
        <v>512</v>
      </c>
      <c r="K49" s="10">
        <f t="shared" si="23"/>
        <v>29.296875</v>
      </c>
      <c r="L49" s="10">
        <f t="shared" si="24"/>
        <v>29.296875</v>
      </c>
      <c r="M49" s="53">
        <f t="shared" si="25"/>
        <v>34.133333333333333</v>
      </c>
      <c r="N49" s="53">
        <f t="shared" si="26"/>
        <v>34.133333333333333</v>
      </c>
      <c r="O49" s="10">
        <f t="shared" si="27"/>
        <v>39.0625</v>
      </c>
    </row>
    <row r="50" spans="1:15" ht="15.75" thickBot="1" x14ac:dyDescent="0.3">
      <c r="A50" s="4">
        <f>$F$18</f>
        <v>0.9</v>
      </c>
      <c r="B50" s="1">
        <f>$F$19</f>
        <v>3.75</v>
      </c>
      <c r="C50" s="48">
        <f>B32</f>
        <v>325.55766208816897</v>
      </c>
      <c r="D50" s="1">
        <v>10</v>
      </c>
      <c r="E50" s="1">
        <v>10</v>
      </c>
      <c r="F50" s="2" t="s">
        <v>74</v>
      </c>
      <c r="H50" s="1">
        <v>1</v>
      </c>
      <c r="J50" s="1">
        <f t="shared" si="28"/>
        <v>1024</v>
      </c>
      <c r="K50" s="10">
        <f t="shared" si="23"/>
        <v>14.6484375</v>
      </c>
      <c r="L50" s="10">
        <f t="shared" si="24"/>
        <v>14.6484375</v>
      </c>
      <c r="M50" s="53">
        <f t="shared" si="25"/>
        <v>68.266666666666666</v>
      </c>
      <c r="N50" s="53">
        <f t="shared" si="26"/>
        <v>68.266666666666666</v>
      </c>
      <c r="O50" s="10">
        <f t="shared" si="27"/>
        <v>19.53125</v>
      </c>
    </row>
    <row r="51" spans="1:15" ht="15.75" thickBot="1" x14ac:dyDescent="0.3">
      <c r="A51" s="4">
        <f>A50+$B$19/1000</f>
        <v>0.91243000000000007</v>
      </c>
      <c r="B51" s="1">
        <f>B50</f>
        <v>3.75</v>
      </c>
      <c r="C51" s="10">
        <f>C32</f>
        <v>95.978084342030954</v>
      </c>
      <c r="D51" s="1">
        <v>10</v>
      </c>
      <c r="E51" s="1">
        <v>10</v>
      </c>
      <c r="F51" s="3" t="s">
        <v>79</v>
      </c>
      <c r="H51" s="1">
        <f>H50+1</f>
        <v>2</v>
      </c>
      <c r="J51" s="1">
        <f t="shared" si="28"/>
        <v>2048</v>
      </c>
      <c r="K51" s="10">
        <f t="shared" si="23"/>
        <v>7.32421875</v>
      </c>
      <c r="L51" s="10">
        <f t="shared" si="24"/>
        <v>7.32421875</v>
      </c>
      <c r="M51" s="53">
        <f t="shared" si="25"/>
        <v>136.53333333333333</v>
      </c>
      <c r="N51" s="53">
        <f t="shared" si="26"/>
        <v>136.53333333333333</v>
      </c>
      <c r="O51" s="10">
        <f t="shared" si="27"/>
        <v>9.765625</v>
      </c>
    </row>
    <row r="52" spans="1:15" x14ac:dyDescent="0.25">
      <c r="A52" s="4">
        <f>A51+$B$19/1000</f>
        <v>0.92486000000000013</v>
      </c>
      <c r="B52" s="1">
        <f t="shared" ref="B52:B59" si="29">B51</f>
        <v>3.75</v>
      </c>
      <c r="C52" s="48">
        <f>D32</f>
        <v>376.36548918861052</v>
      </c>
      <c r="D52" s="1">
        <v>10</v>
      </c>
      <c r="E52" s="1">
        <v>10</v>
      </c>
      <c r="F52" s="3" t="s">
        <v>80</v>
      </c>
      <c r="H52" s="1">
        <f t="shared" ref="H52:H79" si="30">H51+1</f>
        <v>3</v>
      </c>
      <c r="J52" s="1">
        <f t="shared" si="28"/>
        <v>4096</v>
      </c>
      <c r="K52" s="10">
        <f t="shared" si="23"/>
        <v>3.662109375</v>
      </c>
      <c r="L52" s="10">
        <f t="shared" si="24"/>
        <v>3.662109375</v>
      </c>
      <c r="M52" s="53">
        <f t="shared" si="25"/>
        <v>273.06666666666666</v>
      </c>
      <c r="N52" s="53">
        <f t="shared" si="26"/>
        <v>273.06666666666666</v>
      </c>
      <c r="O52" s="10">
        <f t="shared" si="27"/>
        <v>4.8828125</v>
      </c>
    </row>
    <row r="53" spans="1:15" ht="15.75" thickBot="1" x14ac:dyDescent="0.3">
      <c r="A53" s="4"/>
      <c r="C53" s="48"/>
      <c r="F53" s="12"/>
      <c r="H53" s="1">
        <f t="shared" si="30"/>
        <v>4</v>
      </c>
      <c r="J53" s="1">
        <f t="shared" si="28"/>
        <v>8192</v>
      </c>
      <c r="K53" s="10">
        <f t="shared" si="23"/>
        <v>1.8310546875</v>
      </c>
      <c r="L53" s="10">
        <f t="shared" si="24"/>
        <v>1.8310546875</v>
      </c>
      <c r="M53" s="53">
        <f t="shared" si="25"/>
        <v>546.13333333333333</v>
      </c>
      <c r="N53" s="53">
        <f t="shared" si="26"/>
        <v>546.13333333333333</v>
      </c>
      <c r="O53" s="10">
        <f t="shared" si="27"/>
        <v>2.44140625</v>
      </c>
    </row>
    <row r="54" spans="1:15" ht="15.75" thickBot="1" x14ac:dyDescent="0.3">
      <c r="A54" s="4">
        <f>A52+$B$19*2/1000</f>
        <v>0.94972000000000012</v>
      </c>
      <c r="B54" s="1">
        <f>$F$19</f>
        <v>3.75</v>
      </c>
      <c r="C54" s="48">
        <v>325.55766208816897</v>
      </c>
      <c r="D54" s="1">
        <v>10</v>
      </c>
      <c r="E54" s="1">
        <v>10</v>
      </c>
      <c r="F54" s="2" t="s">
        <v>74</v>
      </c>
      <c r="H54" s="1">
        <f t="shared" si="30"/>
        <v>5</v>
      </c>
      <c r="J54" s="1">
        <f t="shared" si="28"/>
        <v>16384</v>
      </c>
      <c r="K54" s="10">
        <f t="shared" si="23"/>
        <v>0.91552734375</v>
      </c>
      <c r="L54" s="10">
        <f t="shared" si="24"/>
        <v>0.91552734375</v>
      </c>
      <c r="M54" s="53">
        <f t="shared" si="25"/>
        <v>1092.2666666666667</v>
      </c>
      <c r="N54" s="53">
        <f t="shared" si="26"/>
        <v>1092.2666666666667</v>
      </c>
      <c r="O54" s="10">
        <f t="shared" si="27"/>
        <v>1.220703125</v>
      </c>
    </row>
    <row r="55" spans="1:15" ht="15.75" thickBot="1" x14ac:dyDescent="0.3">
      <c r="A55" s="4">
        <f>A54+$B$19/1000</f>
        <v>0.96215000000000017</v>
      </c>
      <c r="B55" s="1">
        <f>B54</f>
        <v>3.75</v>
      </c>
      <c r="C55" s="10">
        <v>95.977638015373856</v>
      </c>
      <c r="D55" s="1">
        <v>10</v>
      </c>
      <c r="E55" s="1">
        <v>10</v>
      </c>
      <c r="F55" s="3" t="s">
        <v>79</v>
      </c>
      <c r="H55" s="1">
        <f t="shared" si="30"/>
        <v>6</v>
      </c>
    </row>
    <row r="56" spans="1:15" ht="15.75" thickBot="1" x14ac:dyDescent="0.3">
      <c r="A56" s="4">
        <f>A55+$B$19/1000</f>
        <v>0.97458000000000022</v>
      </c>
      <c r="B56" s="1">
        <f t="shared" si="29"/>
        <v>3.75</v>
      </c>
      <c r="C56" s="48">
        <v>95.977638015373856</v>
      </c>
      <c r="D56" s="1">
        <v>10</v>
      </c>
      <c r="E56" s="1">
        <v>10</v>
      </c>
      <c r="F56" s="3" t="s">
        <v>80</v>
      </c>
      <c r="H56" s="1">
        <f t="shared" si="30"/>
        <v>7</v>
      </c>
    </row>
    <row r="57" spans="1:15" x14ac:dyDescent="0.25">
      <c r="A57" s="4"/>
      <c r="C57" s="48"/>
      <c r="F57" s="12"/>
      <c r="H57" s="1">
        <f t="shared" si="30"/>
        <v>8</v>
      </c>
      <c r="J57" s="17"/>
      <c r="K57" s="1" t="s">
        <v>23</v>
      </c>
      <c r="L57" s="12" t="s">
        <v>24</v>
      </c>
    </row>
    <row r="58" spans="1:15" x14ac:dyDescent="0.25">
      <c r="A58" s="4">
        <f>0.974596+$B$19*2/1000</f>
        <v>0.99945600000000001</v>
      </c>
      <c r="B58" s="1">
        <f t="shared" si="29"/>
        <v>0</v>
      </c>
      <c r="C58" s="48">
        <f t="shared" ref="C58:C115" si="31">C57</f>
        <v>0</v>
      </c>
      <c r="D58" s="1">
        <v>10</v>
      </c>
      <c r="E58" s="1">
        <v>10</v>
      </c>
      <c r="F58" s="12">
        <f t="shared" ref="F58:F115" si="32">F57</f>
        <v>0</v>
      </c>
      <c r="H58" s="1">
        <f t="shared" si="30"/>
        <v>9</v>
      </c>
      <c r="J58" s="18" t="s">
        <v>22</v>
      </c>
      <c r="K58" s="1">
        <v>10</v>
      </c>
      <c r="L58" s="12">
        <v>10</v>
      </c>
    </row>
    <row r="59" spans="1:15" ht="15.75" thickBot="1" x14ac:dyDescent="0.3">
      <c r="A59" s="4">
        <f t="shared" ref="A59" si="33">A58+0.01</f>
        <v>1.0094559999999999</v>
      </c>
      <c r="B59" s="1">
        <f t="shared" si="29"/>
        <v>0</v>
      </c>
      <c r="C59" s="48">
        <f t="shared" si="31"/>
        <v>0</v>
      </c>
      <c r="D59" s="1">
        <v>10</v>
      </c>
      <c r="E59" s="1">
        <v>10</v>
      </c>
      <c r="F59" s="12">
        <f t="shared" si="32"/>
        <v>0</v>
      </c>
      <c r="H59" s="1">
        <f t="shared" si="30"/>
        <v>10</v>
      </c>
      <c r="J59" s="19" t="s">
        <v>21</v>
      </c>
      <c r="K59" s="6">
        <f>50/1000</f>
        <v>0.05</v>
      </c>
      <c r="L59" s="13">
        <f>300/1000</f>
        <v>0.3</v>
      </c>
      <c r="M59" s="248" t="s">
        <v>92</v>
      </c>
      <c r="N59" s="249"/>
    </row>
    <row r="60" spans="1:15" x14ac:dyDescent="0.25">
      <c r="A60" s="4">
        <f>A50</f>
        <v>0.9</v>
      </c>
      <c r="B60" s="1">
        <f>B50+0.01</f>
        <v>3.76</v>
      </c>
      <c r="C60" s="48">
        <f t="shared" si="31"/>
        <v>0</v>
      </c>
      <c r="D60" s="1">
        <v>10</v>
      </c>
      <c r="E60" s="1">
        <v>10</v>
      </c>
      <c r="F60" s="12">
        <f t="shared" si="32"/>
        <v>0</v>
      </c>
      <c r="H60" s="1">
        <f t="shared" si="30"/>
        <v>11</v>
      </c>
      <c r="J60" s="1" t="s">
        <v>91</v>
      </c>
      <c r="K60" s="1" t="s">
        <v>89</v>
      </c>
      <c r="L60" s="1" t="s">
        <v>90</v>
      </c>
      <c r="M60" s="1" t="s">
        <v>23</v>
      </c>
      <c r="N60" s="1" t="s">
        <v>24</v>
      </c>
    </row>
    <row r="61" spans="1:15" x14ac:dyDescent="0.25">
      <c r="A61" s="4">
        <f t="shared" ref="A61:A124" si="34">A51</f>
        <v>0.91243000000000007</v>
      </c>
      <c r="B61" s="1">
        <f t="shared" ref="B61:C124" si="35">B60</f>
        <v>3.76</v>
      </c>
      <c r="C61" s="48">
        <f t="shared" si="31"/>
        <v>0</v>
      </c>
      <c r="D61" s="1">
        <v>10</v>
      </c>
      <c r="E61" s="1">
        <v>10</v>
      </c>
      <c r="F61" s="12">
        <f t="shared" si="32"/>
        <v>0</v>
      </c>
      <c r="H61" s="1">
        <f t="shared" si="30"/>
        <v>12</v>
      </c>
      <c r="J61" s="1">
        <v>64</v>
      </c>
      <c r="K61" s="10">
        <f>$K$58/J61*1000</f>
        <v>156.25</v>
      </c>
      <c r="L61" s="10">
        <f>$L$58/J61*1000</f>
        <v>156.25</v>
      </c>
      <c r="M61" s="53">
        <f>1000/K61</f>
        <v>6.4</v>
      </c>
      <c r="N61" s="53">
        <f>1000/L61</f>
        <v>6.4</v>
      </c>
    </row>
    <row r="62" spans="1:15" x14ac:dyDescent="0.25">
      <c r="A62" s="4">
        <f t="shared" si="34"/>
        <v>0.92486000000000013</v>
      </c>
      <c r="B62" s="1">
        <f t="shared" si="35"/>
        <v>3.76</v>
      </c>
      <c r="C62" s="48">
        <f t="shared" si="31"/>
        <v>0</v>
      </c>
      <c r="D62" s="1">
        <v>10</v>
      </c>
      <c r="E62" s="1">
        <v>10</v>
      </c>
      <c r="F62" s="12">
        <f t="shared" si="32"/>
        <v>0</v>
      </c>
      <c r="H62" s="1">
        <f t="shared" si="30"/>
        <v>13</v>
      </c>
      <c r="J62" s="1">
        <f>J61*2</f>
        <v>128</v>
      </c>
      <c r="K62" s="10">
        <f t="shared" ref="K62:K69" si="36">$K$58/J62*1000</f>
        <v>78.125</v>
      </c>
      <c r="L62" s="10">
        <f t="shared" ref="L62:L69" si="37">$L$58/J62*1000</f>
        <v>78.125</v>
      </c>
      <c r="M62" s="53">
        <f t="shared" ref="M62:M69" si="38">1000/K62</f>
        <v>12.8</v>
      </c>
      <c r="N62" s="53">
        <f t="shared" ref="N62:N69" si="39">1000/L62</f>
        <v>12.8</v>
      </c>
    </row>
    <row r="63" spans="1:15" x14ac:dyDescent="0.25">
      <c r="A63" s="4">
        <f t="shared" si="34"/>
        <v>0</v>
      </c>
      <c r="B63" s="1">
        <f t="shared" si="35"/>
        <v>3.76</v>
      </c>
      <c r="C63" s="48">
        <f t="shared" si="31"/>
        <v>0</v>
      </c>
      <c r="D63" s="1">
        <v>10</v>
      </c>
      <c r="E63" s="1">
        <v>10</v>
      </c>
      <c r="F63" s="12">
        <f t="shared" si="32"/>
        <v>0</v>
      </c>
      <c r="H63" s="1">
        <f t="shared" si="30"/>
        <v>14</v>
      </c>
      <c r="J63" s="1">
        <f t="shared" ref="J63:J69" si="40">J62*2</f>
        <v>256</v>
      </c>
      <c r="K63" s="10">
        <f t="shared" si="36"/>
        <v>39.0625</v>
      </c>
      <c r="L63" s="10">
        <f t="shared" si="37"/>
        <v>39.0625</v>
      </c>
      <c r="M63" s="53">
        <f t="shared" si="38"/>
        <v>25.6</v>
      </c>
      <c r="N63" s="53">
        <f t="shared" si="39"/>
        <v>25.6</v>
      </c>
    </row>
    <row r="64" spans="1:15" x14ac:dyDescent="0.25">
      <c r="A64" s="4">
        <f t="shared" si="34"/>
        <v>0.94972000000000012</v>
      </c>
      <c r="B64" s="1">
        <f t="shared" si="35"/>
        <v>3.76</v>
      </c>
      <c r="C64" s="48">
        <f t="shared" si="31"/>
        <v>0</v>
      </c>
      <c r="D64" s="1">
        <v>10</v>
      </c>
      <c r="E64" s="1">
        <v>10</v>
      </c>
      <c r="F64" s="12">
        <f t="shared" si="32"/>
        <v>0</v>
      </c>
      <c r="H64" s="1">
        <f t="shared" si="30"/>
        <v>15</v>
      </c>
      <c r="J64" s="1">
        <f t="shared" si="40"/>
        <v>512</v>
      </c>
      <c r="K64" s="10">
        <f t="shared" si="36"/>
        <v>19.53125</v>
      </c>
      <c r="L64" s="10">
        <f t="shared" si="37"/>
        <v>19.53125</v>
      </c>
      <c r="M64" s="53">
        <f t="shared" si="38"/>
        <v>51.2</v>
      </c>
      <c r="N64" s="53">
        <f t="shared" si="39"/>
        <v>51.2</v>
      </c>
    </row>
    <row r="65" spans="1:14" x14ac:dyDescent="0.25">
      <c r="A65" s="4">
        <f t="shared" si="34"/>
        <v>0.96215000000000017</v>
      </c>
      <c r="B65" s="1">
        <f t="shared" si="35"/>
        <v>3.76</v>
      </c>
      <c r="C65" s="48">
        <f t="shared" si="31"/>
        <v>0</v>
      </c>
      <c r="D65" s="1">
        <v>10</v>
      </c>
      <c r="E65" s="1">
        <v>10</v>
      </c>
      <c r="F65" s="12">
        <f t="shared" si="32"/>
        <v>0</v>
      </c>
      <c r="H65" s="1">
        <f t="shared" si="30"/>
        <v>16</v>
      </c>
      <c r="J65" s="1">
        <f t="shared" si="40"/>
        <v>1024</v>
      </c>
      <c r="K65" s="10">
        <f t="shared" si="36"/>
        <v>9.765625</v>
      </c>
      <c r="L65" s="10">
        <f t="shared" si="37"/>
        <v>9.765625</v>
      </c>
      <c r="M65" s="53">
        <f t="shared" si="38"/>
        <v>102.4</v>
      </c>
      <c r="N65" s="53">
        <f t="shared" si="39"/>
        <v>102.4</v>
      </c>
    </row>
    <row r="66" spans="1:14" x14ac:dyDescent="0.25">
      <c r="A66" s="4">
        <f t="shared" si="34"/>
        <v>0.97458000000000022</v>
      </c>
      <c r="B66" s="1">
        <f t="shared" si="35"/>
        <v>3.76</v>
      </c>
      <c r="C66" s="48">
        <f t="shared" si="31"/>
        <v>0</v>
      </c>
      <c r="D66" s="1">
        <v>10</v>
      </c>
      <c r="E66" s="1">
        <v>10</v>
      </c>
      <c r="F66" s="12">
        <f t="shared" si="32"/>
        <v>0</v>
      </c>
      <c r="H66" s="1">
        <f t="shared" si="30"/>
        <v>17</v>
      </c>
      <c r="J66" s="1">
        <f t="shared" si="40"/>
        <v>2048</v>
      </c>
      <c r="K66" s="10">
        <f t="shared" si="36"/>
        <v>4.8828125</v>
      </c>
      <c r="L66" s="10">
        <f t="shared" si="37"/>
        <v>4.8828125</v>
      </c>
      <c r="M66" s="53">
        <f t="shared" si="38"/>
        <v>204.8</v>
      </c>
      <c r="N66" s="53">
        <f t="shared" si="39"/>
        <v>204.8</v>
      </c>
    </row>
    <row r="67" spans="1:14" x14ac:dyDescent="0.25">
      <c r="A67" s="4">
        <f t="shared" si="34"/>
        <v>0</v>
      </c>
      <c r="B67" s="1">
        <f t="shared" si="35"/>
        <v>3.76</v>
      </c>
      <c r="C67" s="48">
        <f t="shared" si="31"/>
        <v>0</v>
      </c>
      <c r="D67" s="1">
        <v>10</v>
      </c>
      <c r="E67" s="1">
        <v>10</v>
      </c>
      <c r="F67" s="12">
        <f t="shared" si="32"/>
        <v>0</v>
      </c>
      <c r="H67" s="1">
        <f t="shared" si="30"/>
        <v>18</v>
      </c>
      <c r="J67" s="1">
        <f t="shared" si="40"/>
        <v>4096</v>
      </c>
      <c r="K67" s="10">
        <f t="shared" si="36"/>
        <v>2.44140625</v>
      </c>
      <c r="L67" s="10">
        <f t="shared" si="37"/>
        <v>2.44140625</v>
      </c>
      <c r="M67" s="53">
        <f t="shared" si="38"/>
        <v>409.6</v>
      </c>
      <c r="N67" s="53">
        <f t="shared" si="39"/>
        <v>409.6</v>
      </c>
    </row>
    <row r="68" spans="1:14" x14ac:dyDescent="0.25">
      <c r="A68" s="4">
        <f t="shared" si="34"/>
        <v>0.99945600000000001</v>
      </c>
      <c r="B68" s="1">
        <f t="shared" si="35"/>
        <v>3.76</v>
      </c>
      <c r="C68" s="48">
        <f t="shared" si="31"/>
        <v>0</v>
      </c>
      <c r="D68" s="1">
        <v>10</v>
      </c>
      <c r="E68" s="1">
        <v>10</v>
      </c>
      <c r="F68" s="12">
        <f t="shared" si="32"/>
        <v>0</v>
      </c>
      <c r="H68" s="1">
        <f t="shared" si="30"/>
        <v>19</v>
      </c>
      <c r="J68" s="1">
        <f t="shared" si="40"/>
        <v>8192</v>
      </c>
      <c r="K68" s="10">
        <f t="shared" si="36"/>
        <v>1.220703125</v>
      </c>
      <c r="L68" s="10">
        <f t="shared" si="37"/>
        <v>1.220703125</v>
      </c>
      <c r="M68" s="53">
        <f t="shared" si="38"/>
        <v>819.2</v>
      </c>
      <c r="N68" s="53">
        <f t="shared" si="39"/>
        <v>819.2</v>
      </c>
    </row>
    <row r="69" spans="1:14" x14ac:dyDescent="0.25">
      <c r="A69" s="4">
        <f t="shared" si="34"/>
        <v>1.0094559999999999</v>
      </c>
      <c r="B69" s="1">
        <f t="shared" si="35"/>
        <v>3.76</v>
      </c>
      <c r="C69" s="48">
        <f t="shared" si="31"/>
        <v>0</v>
      </c>
      <c r="D69" s="1">
        <v>10</v>
      </c>
      <c r="E69" s="1">
        <v>10</v>
      </c>
      <c r="F69" s="12">
        <f t="shared" si="32"/>
        <v>0</v>
      </c>
      <c r="H69" s="1">
        <f t="shared" si="30"/>
        <v>20</v>
      </c>
      <c r="J69" s="1">
        <f t="shared" si="40"/>
        <v>16384</v>
      </c>
      <c r="K69" s="10">
        <f t="shared" si="36"/>
        <v>0.6103515625</v>
      </c>
      <c r="L69" s="10">
        <f t="shared" si="37"/>
        <v>0.6103515625</v>
      </c>
      <c r="M69" s="53">
        <f t="shared" si="38"/>
        <v>1638.4</v>
      </c>
      <c r="N69" s="53">
        <f t="shared" si="39"/>
        <v>1638.4</v>
      </c>
    </row>
    <row r="70" spans="1:14" x14ac:dyDescent="0.25">
      <c r="A70" s="4">
        <f>A60</f>
        <v>0.9</v>
      </c>
      <c r="B70" s="1">
        <f>B60+0.01</f>
        <v>3.7699999999999996</v>
      </c>
      <c r="C70" s="48">
        <f t="shared" si="31"/>
        <v>0</v>
      </c>
      <c r="D70" s="1">
        <v>10</v>
      </c>
      <c r="E70" s="1">
        <v>10</v>
      </c>
      <c r="F70" s="12">
        <f t="shared" si="32"/>
        <v>0</v>
      </c>
      <c r="H70" s="1">
        <f t="shared" si="30"/>
        <v>21</v>
      </c>
    </row>
    <row r="71" spans="1:14" ht="15.75" thickBot="1" x14ac:dyDescent="0.3">
      <c r="A71" s="4">
        <f t="shared" si="34"/>
        <v>0.91243000000000007</v>
      </c>
      <c r="B71" s="1">
        <f t="shared" si="35"/>
        <v>3.7699999999999996</v>
      </c>
      <c r="C71" s="48">
        <f t="shared" si="31"/>
        <v>0</v>
      </c>
      <c r="D71" s="1">
        <v>10</v>
      </c>
      <c r="E71" s="1">
        <v>10</v>
      </c>
      <c r="F71" s="12">
        <f t="shared" si="32"/>
        <v>0</v>
      </c>
      <c r="H71" s="1">
        <f t="shared" si="30"/>
        <v>22</v>
      </c>
    </row>
    <row r="72" spans="1:14" x14ac:dyDescent="0.25">
      <c r="A72" s="4">
        <f t="shared" si="34"/>
        <v>0.92486000000000013</v>
      </c>
      <c r="B72" s="1">
        <f t="shared" si="35"/>
        <v>3.7699999999999996</v>
      </c>
      <c r="C72" s="48">
        <f t="shared" si="31"/>
        <v>0</v>
      </c>
      <c r="D72" s="1">
        <v>10</v>
      </c>
      <c r="E72" s="1">
        <v>10</v>
      </c>
      <c r="F72" s="12">
        <f t="shared" si="32"/>
        <v>0</v>
      </c>
      <c r="H72" s="1">
        <f t="shared" si="30"/>
        <v>23</v>
      </c>
      <c r="J72" s="17"/>
      <c r="K72" s="1" t="s">
        <v>23</v>
      </c>
      <c r="L72" s="12" t="s">
        <v>24</v>
      </c>
    </row>
    <row r="73" spans="1:14" x14ac:dyDescent="0.25">
      <c r="A73" s="4">
        <f t="shared" si="34"/>
        <v>0</v>
      </c>
      <c r="B73" s="1">
        <f t="shared" si="35"/>
        <v>3.7699999999999996</v>
      </c>
      <c r="C73" s="48">
        <f t="shared" si="31"/>
        <v>0</v>
      </c>
      <c r="D73" s="1">
        <v>10</v>
      </c>
      <c r="E73" s="1">
        <v>10</v>
      </c>
      <c r="F73" s="12">
        <f t="shared" si="32"/>
        <v>0</v>
      </c>
      <c r="H73" s="1">
        <f t="shared" si="30"/>
        <v>24</v>
      </c>
      <c r="J73" s="18" t="s">
        <v>22</v>
      </c>
      <c r="K73" s="1">
        <v>5</v>
      </c>
      <c r="L73" s="12">
        <v>5</v>
      </c>
    </row>
    <row r="74" spans="1:14" ht="15.75" thickBot="1" x14ac:dyDescent="0.3">
      <c r="A74" s="4">
        <f t="shared" si="34"/>
        <v>0.94972000000000012</v>
      </c>
      <c r="B74" s="1">
        <f t="shared" si="35"/>
        <v>3.7699999999999996</v>
      </c>
      <c r="C74" s="48">
        <f t="shared" si="31"/>
        <v>0</v>
      </c>
      <c r="D74" s="1">
        <v>10</v>
      </c>
      <c r="E74" s="1">
        <v>10</v>
      </c>
      <c r="F74" s="12">
        <f t="shared" si="32"/>
        <v>0</v>
      </c>
      <c r="H74" s="1">
        <f t="shared" si="30"/>
        <v>25</v>
      </c>
      <c r="J74" s="19" t="s">
        <v>21</v>
      </c>
      <c r="K74" s="6">
        <f>50/1000</f>
        <v>0.05</v>
      </c>
      <c r="L74" s="13">
        <f>300/1000</f>
        <v>0.3</v>
      </c>
      <c r="M74" s="248" t="s">
        <v>92</v>
      </c>
      <c r="N74" s="249"/>
    </row>
    <row r="75" spans="1:14" x14ac:dyDescent="0.25">
      <c r="A75" s="4">
        <f t="shared" si="34"/>
        <v>0.96215000000000017</v>
      </c>
      <c r="B75" s="1">
        <f t="shared" si="35"/>
        <v>3.7699999999999996</v>
      </c>
      <c r="C75" s="48">
        <f t="shared" si="31"/>
        <v>0</v>
      </c>
      <c r="D75" s="1">
        <v>10</v>
      </c>
      <c r="E75" s="1">
        <v>10</v>
      </c>
      <c r="F75" s="12">
        <f t="shared" si="32"/>
        <v>0</v>
      </c>
      <c r="H75" s="1">
        <f t="shared" si="30"/>
        <v>26</v>
      </c>
      <c r="J75" s="1" t="s">
        <v>91</v>
      </c>
      <c r="K75" s="1" t="s">
        <v>89</v>
      </c>
      <c r="L75" s="1" t="s">
        <v>90</v>
      </c>
      <c r="M75" s="1" t="s">
        <v>23</v>
      </c>
      <c r="N75" s="1" t="s">
        <v>24</v>
      </c>
    </row>
    <row r="76" spans="1:14" x14ac:dyDescent="0.25">
      <c r="A76" s="4">
        <f t="shared" si="34"/>
        <v>0.97458000000000022</v>
      </c>
      <c r="B76" s="1">
        <f t="shared" si="35"/>
        <v>3.7699999999999996</v>
      </c>
      <c r="C76" s="48">
        <f t="shared" si="31"/>
        <v>0</v>
      </c>
      <c r="D76" s="1">
        <v>10</v>
      </c>
      <c r="E76" s="1">
        <v>10</v>
      </c>
      <c r="F76" s="12">
        <f t="shared" si="32"/>
        <v>0</v>
      </c>
      <c r="H76" s="1">
        <f t="shared" si="30"/>
        <v>27</v>
      </c>
      <c r="J76" s="1">
        <v>64</v>
      </c>
      <c r="K76" s="10">
        <f>$K$73/J76*1000</f>
        <v>78.125</v>
      </c>
      <c r="L76" s="10">
        <f>$L$73/J76*1000</f>
        <v>78.125</v>
      </c>
      <c r="M76" s="53">
        <f>1000/K76</f>
        <v>12.8</v>
      </c>
      <c r="N76" s="53">
        <f>1000/L76</f>
        <v>12.8</v>
      </c>
    </row>
    <row r="77" spans="1:14" x14ac:dyDescent="0.25">
      <c r="A77" s="4">
        <f t="shared" si="34"/>
        <v>0</v>
      </c>
      <c r="B77" s="1">
        <f t="shared" si="35"/>
        <v>3.7699999999999996</v>
      </c>
      <c r="C77" s="48">
        <f t="shared" si="31"/>
        <v>0</v>
      </c>
      <c r="D77" s="1">
        <v>10</v>
      </c>
      <c r="E77" s="1">
        <v>10</v>
      </c>
      <c r="F77" s="12">
        <f t="shared" si="32"/>
        <v>0</v>
      </c>
      <c r="H77" s="1">
        <f t="shared" si="30"/>
        <v>28</v>
      </c>
      <c r="J77" s="1">
        <f>J76*2</f>
        <v>128</v>
      </c>
      <c r="K77" s="10">
        <f t="shared" ref="K77:K84" si="41">$K$73/J77*1000</f>
        <v>39.0625</v>
      </c>
      <c r="L77" s="10">
        <f t="shared" ref="L77:L84" si="42">$L$73/J77*1000</f>
        <v>39.0625</v>
      </c>
      <c r="M77" s="53">
        <f t="shared" ref="M77:M84" si="43">1000/K77</f>
        <v>25.6</v>
      </c>
      <c r="N77" s="53">
        <f t="shared" ref="N77:N84" si="44">1000/L77</f>
        <v>25.6</v>
      </c>
    </row>
    <row r="78" spans="1:14" x14ac:dyDescent="0.25">
      <c r="A78" s="4">
        <f t="shared" si="34"/>
        <v>0.99945600000000001</v>
      </c>
      <c r="B78" s="1">
        <f t="shared" si="35"/>
        <v>3.7699999999999996</v>
      </c>
      <c r="C78" s="48">
        <f t="shared" si="31"/>
        <v>0</v>
      </c>
      <c r="D78" s="1">
        <v>10</v>
      </c>
      <c r="E78" s="1">
        <v>10</v>
      </c>
      <c r="F78" s="12">
        <f t="shared" si="32"/>
        <v>0</v>
      </c>
      <c r="H78" s="1">
        <f t="shared" si="30"/>
        <v>29</v>
      </c>
      <c r="J78" s="1">
        <f t="shared" ref="J78:J84" si="45">J77*2</f>
        <v>256</v>
      </c>
      <c r="K78" s="10">
        <f t="shared" si="41"/>
        <v>19.53125</v>
      </c>
      <c r="L78" s="10">
        <f t="shared" si="42"/>
        <v>19.53125</v>
      </c>
      <c r="M78" s="53">
        <f t="shared" si="43"/>
        <v>51.2</v>
      </c>
      <c r="N78" s="53">
        <f t="shared" si="44"/>
        <v>51.2</v>
      </c>
    </row>
    <row r="79" spans="1:14" x14ac:dyDescent="0.25">
      <c r="A79" s="4">
        <f t="shared" si="34"/>
        <v>1.0094559999999999</v>
      </c>
      <c r="B79" s="1">
        <f t="shared" si="35"/>
        <v>3.7699999999999996</v>
      </c>
      <c r="C79" s="48">
        <f t="shared" si="31"/>
        <v>0</v>
      </c>
      <c r="D79" s="1">
        <v>10</v>
      </c>
      <c r="E79" s="1">
        <v>10</v>
      </c>
      <c r="F79" s="12">
        <f t="shared" si="32"/>
        <v>0</v>
      </c>
      <c r="H79" s="1">
        <f t="shared" si="30"/>
        <v>30</v>
      </c>
      <c r="J79" s="1">
        <f t="shared" si="45"/>
        <v>512</v>
      </c>
      <c r="K79" s="10">
        <f t="shared" si="41"/>
        <v>9.765625</v>
      </c>
      <c r="L79" s="10">
        <f t="shared" si="42"/>
        <v>9.765625</v>
      </c>
      <c r="M79" s="53">
        <f t="shared" si="43"/>
        <v>102.4</v>
      </c>
      <c r="N79" s="53">
        <f t="shared" si="44"/>
        <v>102.4</v>
      </c>
    </row>
    <row r="80" spans="1:14" x14ac:dyDescent="0.25">
      <c r="A80" s="4">
        <f>A70</f>
        <v>0.9</v>
      </c>
      <c r="B80" s="1">
        <f>B70+0.01</f>
        <v>3.7799999999999994</v>
      </c>
      <c r="C80" s="48">
        <f t="shared" si="31"/>
        <v>0</v>
      </c>
      <c r="D80" s="1">
        <v>10</v>
      </c>
      <c r="E80" s="1">
        <v>10</v>
      </c>
      <c r="F80" s="12">
        <f t="shared" si="32"/>
        <v>0</v>
      </c>
      <c r="H80" s="1">
        <f t="shared" ref="H80:H119" si="46">H79+1</f>
        <v>31</v>
      </c>
      <c r="J80" s="1">
        <f t="shared" si="45"/>
        <v>1024</v>
      </c>
      <c r="K80" s="10">
        <f t="shared" si="41"/>
        <v>4.8828125</v>
      </c>
      <c r="L80" s="10">
        <f t="shared" si="42"/>
        <v>4.8828125</v>
      </c>
      <c r="M80" s="53">
        <f t="shared" si="43"/>
        <v>204.8</v>
      </c>
      <c r="N80" s="53">
        <f t="shared" si="44"/>
        <v>204.8</v>
      </c>
    </row>
    <row r="81" spans="1:14" x14ac:dyDescent="0.25">
      <c r="A81" s="4">
        <f t="shared" si="34"/>
        <v>0.91243000000000007</v>
      </c>
      <c r="B81" s="1">
        <f t="shared" si="35"/>
        <v>3.7799999999999994</v>
      </c>
      <c r="C81" s="48">
        <f t="shared" si="31"/>
        <v>0</v>
      </c>
      <c r="D81" s="1">
        <v>10</v>
      </c>
      <c r="E81" s="1">
        <v>10</v>
      </c>
      <c r="F81" s="12">
        <f t="shared" si="32"/>
        <v>0</v>
      </c>
      <c r="H81" s="1">
        <f t="shared" si="46"/>
        <v>32</v>
      </c>
      <c r="J81" s="1">
        <f t="shared" si="45"/>
        <v>2048</v>
      </c>
      <c r="K81" s="10">
        <f t="shared" si="41"/>
        <v>2.44140625</v>
      </c>
      <c r="L81" s="10">
        <f t="shared" si="42"/>
        <v>2.44140625</v>
      </c>
      <c r="M81" s="53">
        <f t="shared" si="43"/>
        <v>409.6</v>
      </c>
      <c r="N81" s="53">
        <f t="shared" si="44"/>
        <v>409.6</v>
      </c>
    </row>
    <row r="82" spans="1:14" x14ac:dyDescent="0.25">
      <c r="A82" s="4">
        <f t="shared" si="34"/>
        <v>0.92486000000000013</v>
      </c>
      <c r="B82" s="1">
        <f t="shared" si="35"/>
        <v>3.7799999999999994</v>
      </c>
      <c r="C82" s="48">
        <f t="shared" si="31"/>
        <v>0</v>
      </c>
      <c r="D82" s="1">
        <v>10</v>
      </c>
      <c r="E82" s="1">
        <v>10</v>
      </c>
      <c r="F82" s="12">
        <f t="shared" si="32"/>
        <v>0</v>
      </c>
      <c r="H82" s="1">
        <f t="shared" si="46"/>
        <v>33</v>
      </c>
      <c r="J82" s="1">
        <f t="shared" si="45"/>
        <v>4096</v>
      </c>
      <c r="K82" s="10">
        <f t="shared" si="41"/>
        <v>1.220703125</v>
      </c>
      <c r="L82" s="10">
        <f t="shared" si="42"/>
        <v>1.220703125</v>
      </c>
      <c r="M82" s="53">
        <f t="shared" si="43"/>
        <v>819.2</v>
      </c>
      <c r="N82" s="53">
        <f t="shared" si="44"/>
        <v>819.2</v>
      </c>
    </row>
    <row r="83" spans="1:14" x14ac:dyDescent="0.25">
      <c r="A83" s="4">
        <f t="shared" si="34"/>
        <v>0</v>
      </c>
      <c r="B83" s="1">
        <f t="shared" si="35"/>
        <v>3.7799999999999994</v>
      </c>
      <c r="C83" s="48">
        <f t="shared" si="31"/>
        <v>0</v>
      </c>
      <c r="D83" s="1">
        <v>10</v>
      </c>
      <c r="E83" s="1">
        <v>10</v>
      </c>
      <c r="F83" s="12">
        <f t="shared" si="32"/>
        <v>0</v>
      </c>
      <c r="H83" s="1">
        <f t="shared" si="46"/>
        <v>34</v>
      </c>
      <c r="J83" s="1">
        <f t="shared" si="45"/>
        <v>8192</v>
      </c>
      <c r="K83" s="10">
        <f t="shared" si="41"/>
        <v>0.6103515625</v>
      </c>
      <c r="L83" s="10">
        <f t="shared" si="42"/>
        <v>0.6103515625</v>
      </c>
      <c r="M83" s="53">
        <f t="shared" si="43"/>
        <v>1638.4</v>
      </c>
      <c r="N83" s="53">
        <f t="shared" si="44"/>
        <v>1638.4</v>
      </c>
    </row>
    <row r="84" spans="1:14" x14ac:dyDescent="0.25">
      <c r="A84" s="4">
        <f t="shared" si="34"/>
        <v>0.94972000000000012</v>
      </c>
      <c r="B84" s="1">
        <f t="shared" si="35"/>
        <v>3.7799999999999994</v>
      </c>
      <c r="C84" s="48">
        <f t="shared" si="31"/>
        <v>0</v>
      </c>
      <c r="D84" s="1">
        <v>10</v>
      </c>
      <c r="E84" s="1">
        <v>10</v>
      </c>
      <c r="F84" s="12">
        <f t="shared" si="32"/>
        <v>0</v>
      </c>
      <c r="H84" s="1">
        <f t="shared" si="46"/>
        <v>35</v>
      </c>
      <c r="J84" s="1">
        <f t="shared" si="45"/>
        <v>16384</v>
      </c>
      <c r="K84" s="10">
        <f t="shared" si="41"/>
        <v>0.30517578125</v>
      </c>
      <c r="L84" s="10">
        <f t="shared" si="42"/>
        <v>0.30517578125</v>
      </c>
      <c r="M84" s="53">
        <f t="shared" si="43"/>
        <v>3276.8</v>
      </c>
      <c r="N84" s="53">
        <f t="shared" si="44"/>
        <v>3276.8</v>
      </c>
    </row>
    <row r="85" spans="1:14" x14ac:dyDescent="0.25">
      <c r="A85" s="4">
        <f t="shared" si="34"/>
        <v>0.96215000000000017</v>
      </c>
      <c r="B85" s="1">
        <f t="shared" si="35"/>
        <v>3.7799999999999994</v>
      </c>
      <c r="C85" s="48">
        <f t="shared" si="31"/>
        <v>0</v>
      </c>
      <c r="D85" s="1">
        <v>10</v>
      </c>
      <c r="E85" s="1">
        <v>10</v>
      </c>
      <c r="F85" s="12">
        <f t="shared" si="32"/>
        <v>0</v>
      </c>
      <c r="H85" s="1">
        <f t="shared" si="46"/>
        <v>36</v>
      </c>
    </row>
    <row r="86" spans="1:14" x14ac:dyDescent="0.25">
      <c r="A86" s="4">
        <f t="shared" si="34"/>
        <v>0.97458000000000022</v>
      </c>
      <c r="B86" s="1">
        <f t="shared" si="35"/>
        <v>3.7799999999999994</v>
      </c>
      <c r="C86" s="48">
        <f t="shared" si="31"/>
        <v>0</v>
      </c>
      <c r="D86" s="1">
        <v>10</v>
      </c>
      <c r="E86" s="1">
        <v>10</v>
      </c>
      <c r="F86" s="12">
        <f t="shared" si="32"/>
        <v>0</v>
      </c>
      <c r="H86" s="1">
        <f t="shared" si="46"/>
        <v>37</v>
      </c>
    </row>
    <row r="87" spans="1:14" x14ac:dyDescent="0.25">
      <c r="A87" s="4">
        <f t="shared" si="34"/>
        <v>0</v>
      </c>
      <c r="B87" s="1">
        <f t="shared" si="35"/>
        <v>3.7799999999999994</v>
      </c>
      <c r="C87" s="48">
        <f t="shared" si="31"/>
        <v>0</v>
      </c>
      <c r="D87" s="1">
        <v>10</v>
      </c>
      <c r="E87" s="1">
        <v>10</v>
      </c>
      <c r="F87" s="12">
        <f t="shared" si="32"/>
        <v>0</v>
      </c>
      <c r="H87" s="1">
        <f t="shared" si="46"/>
        <v>38</v>
      </c>
    </row>
    <row r="88" spans="1:14" x14ac:dyDescent="0.25">
      <c r="A88" s="4">
        <f t="shared" si="34"/>
        <v>0.99945600000000001</v>
      </c>
      <c r="B88" s="1">
        <f t="shared" si="35"/>
        <v>3.7799999999999994</v>
      </c>
      <c r="C88" s="48">
        <f t="shared" si="31"/>
        <v>0</v>
      </c>
      <c r="D88" s="1">
        <v>10</v>
      </c>
      <c r="E88" s="1">
        <v>10</v>
      </c>
      <c r="F88" s="12">
        <f t="shared" si="32"/>
        <v>0</v>
      </c>
      <c r="H88" s="1">
        <f t="shared" si="46"/>
        <v>39</v>
      </c>
    </row>
    <row r="89" spans="1:14" x14ac:dyDescent="0.25">
      <c r="A89" s="4">
        <f t="shared" si="34"/>
        <v>1.0094559999999999</v>
      </c>
      <c r="B89" s="1">
        <f t="shared" si="35"/>
        <v>3.7799999999999994</v>
      </c>
      <c r="C89" s="48">
        <f t="shared" si="31"/>
        <v>0</v>
      </c>
      <c r="D89" s="1">
        <v>10</v>
      </c>
      <c r="E89" s="1">
        <v>10</v>
      </c>
      <c r="F89" s="12">
        <f t="shared" si="32"/>
        <v>0</v>
      </c>
      <c r="H89" s="1">
        <f t="shared" si="46"/>
        <v>40</v>
      </c>
    </row>
    <row r="90" spans="1:14" x14ac:dyDescent="0.25">
      <c r="A90" s="4">
        <f>A80</f>
        <v>0.9</v>
      </c>
      <c r="B90" s="1">
        <f>B80+0.01</f>
        <v>3.7899999999999991</v>
      </c>
      <c r="C90" s="48">
        <f t="shared" si="31"/>
        <v>0</v>
      </c>
      <c r="D90" s="1">
        <v>10</v>
      </c>
      <c r="E90" s="1">
        <v>10</v>
      </c>
      <c r="F90" s="12">
        <f t="shared" si="32"/>
        <v>0</v>
      </c>
      <c r="H90" s="1">
        <f t="shared" si="46"/>
        <v>41</v>
      </c>
    </row>
    <row r="91" spans="1:14" x14ac:dyDescent="0.25">
      <c r="A91" s="4">
        <f t="shared" si="34"/>
        <v>0.91243000000000007</v>
      </c>
      <c r="B91" s="1">
        <f t="shared" si="35"/>
        <v>3.7899999999999991</v>
      </c>
      <c r="C91" s="48">
        <f t="shared" si="31"/>
        <v>0</v>
      </c>
      <c r="D91" s="1">
        <v>10</v>
      </c>
      <c r="E91" s="1">
        <v>10</v>
      </c>
      <c r="F91" s="12">
        <f t="shared" si="32"/>
        <v>0</v>
      </c>
      <c r="H91" s="1">
        <f t="shared" si="46"/>
        <v>42</v>
      </c>
    </row>
    <row r="92" spans="1:14" x14ac:dyDescent="0.25">
      <c r="A92" s="4">
        <f t="shared" si="34"/>
        <v>0.92486000000000013</v>
      </c>
      <c r="B92" s="1">
        <f t="shared" si="35"/>
        <v>3.7899999999999991</v>
      </c>
      <c r="C92" s="48">
        <f t="shared" si="31"/>
        <v>0</v>
      </c>
      <c r="D92" s="1">
        <v>10</v>
      </c>
      <c r="E92" s="1">
        <v>10</v>
      </c>
      <c r="F92" s="12">
        <f t="shared" si="32"/>
        <v>0</v>
      </c>
      <c r="H92" s="1">
        <f t="shared" si="46"/>
        <v>43</v>
      </c>
    </row>
    <row r="93" spans="1:14" x14ac:dyDescent="0.25">
      <c r="A93" s="4">
        <f t="shared" si="34"/>
        <v>0</v>
      </c>
      <c r="B93" s="1">
        <f t="shared" si="35"/>
        <v>3.7899999999999991</v>
      </c>
      <c r="C93" s="48">
        <f t="shared" si="31"/>
        <v>0</v>
      </c>
      <c r="D93" s="1">
        <v>10</v>
      </c>
      <c r="E93" s="1">
        <v>10</v>
      </c>
      <c r="F93" s="12">
        <f t="shared" si="32"/>
        <v>0</v>
      </c>
      <c r="H93" s="1">
        <f t="shared" si="46"/>
        <v>44</v>
      </c>
    </row>
    <row r="94" spans="1:14" x14ac:dyDescent="0.25">
      <c r="A94" s="4">
        <f t="shared" si="34"/>
        <v>0.94972000000000012</v>
      </c>
      <c r="B94" s="1">
        <f t="shared" si="35"/>
        <v>3.7899999999999991</v>
      </c>
      <c r="C94" s="48">
        <f t="shared" si="31"/>
        <v>0</v>
      </c>
      <c r="D94" s="1">
        <v>10</v>
      </c>
      <c r="E94" s="1">
        <v>10</v>
      </c>
      <c r="F94" s="12">
        <f t="shared" si="32"/>
        <v>0</v>
      </c>
      <c r="H94" s="1">
        <f t="shared" si="46"/>
        <v>45</v>
      </c>
    </row>
    <row r="95" spans="1:14" x14ac:dyDescent="0.25">
      <c r="A95" s="4">
        <f t="shared" si="34"/>
        <v>0.96215000000000017</v>
      </c>
      <c r="B95" s="1">
        <f t="shared" si="35"/>
        <v>3.7899999999999991</v>
      </c>
      <c r="C95" s="48">
        <f t="shared" si="31"/>
        <v>0</v>
      </c>
      <c r="D95" s="1">
        <v>10</v>
      </c>
      <c r="E95" s="1">
        <v>10</v>
      </c>
      <c r="F95" s="12">
        <f t="shared" si="32"/>
        <v>0</v>
      </c>
      <c r="H95" s="1">
        <f t="shared" si="46"/>
        <v>46</v>
      </c>
    </row>
    <row r="96" spans="1:14" x14ac:dyDescent="0.25">
      <c r="A96" s="4">
        <f t="shared" si="34"/>
        <v>0.97458000000000022</v>
      </c>
      <c r="B96" s="1">
        <f t="shared" si="35"/>
        <v>3.7899999999999991</v>
      </c>
      <c r="C96" s="48">
        <f t="shared" si="31"/>
        <v>0</v>
      </c>
      <c r="D96" s="1">
        <v>10</v>
      </c>
      <c r="E96" s="1">
        <v>10</v>
      </c>
      <c r="F96" s="12">
        <f t="shared" si="32"/>
        <v>0</v>
      </c>
      <c r="H96" s="1">
        <f t="shared" si="46"/>
        <v>47</v>
      </c>
    </row>
    <row r="97" spans="1:8" x14ac:dyDescent="0.25">
      <c r="A97" s="4">
        <f t="shared" si="34"/>
        <v>0</v>
      </c>
      <c r="B97" s="1">
        <f t="shared" si="35"/>
        <v>3.7899999999999991</v>
      </c>
      <c r="C97" s="48">
        <f t="shared" si="31"/>
        <v>0</v>
      </c>
      <c r="D97" s="1">
        <v>10</v>
      </c>
      <c r="E97" s="1">
        <v>10</v>
      </c>
      <c r="F97" s="12">
        <f t="shared" si="32"/>
        <v>0</v>
      </c>
      <c r="H97" s="1">
        <f t="shared" si="46"/>
        <v>48</v>
      </c>
    </row>
    <row r="98" spans="1:8" x14ac:dyDescent="0.25">
      <c r="A98" s="4">
        <f t="shared" si="34"/>
        <v>0.99945600000000001</v>
      </c>
      <c r="B98" s="1">
        <f t="shared" si="35"/>
        <v>3.7899999999999991</v>
      </c>
      <c r="C98" s="48">
        <f t="shared" si="31"/>
        <v>0</v>
      </c>
      <c r="D98" s="1">
        <v>10</v>
      </c>
      <c r="E98" s="1">
        <v>10</v>
      </c>
      <c r="F98" s="12">
        <f t="shared" si="32"/>
        <v>0</v>
      </c>
      <c r="H98" s="1">
        <f t="shared" si="46"/>
        <v>49</v>
      </c>
    </row>
    <row r="99" spans="1:8" x14ac:dyDescent="0.25">
      <c r="A99" s="4">
        <f t="shared" si="34"/>
        <v>1.0094559999999999</v>
      </c>
      <c r="B99" s="1">
        <f t="shared" si="35"/>
        <v>3.7899999999999991</v>
      </c>
      <c r="C99" s="48">
        <f t="shared" si="31"/>
        <v>0</v>
      </c>
      <c r="D99" s="1">
        <v>10</v>
      </c>
      <c r="E99" s="1">
        <v>10</v>
      </c>
      <c r="F99" s="12">
        <f t="shared" si="32"/>
        <v>0</v>
      </c>
      <c r="H99" s="1">
        <f t="shared" si="46"/>
        <v>50</v>
      </c>
    </row>
    <row r="100" spans="1:8" x14ac:dyDescent="0.25">
      <c r="A100" s="4">
        <f>A90</f>
        <v>0.9</v>
      </c>
      <c r="B100" s="1">
        <f>B90+0.01</f>
        <v>3.7999999999999989</v>
      </c>
      <c r="C100" s="48">
        <f t="shared" si="31"/>
        <v>0</v>
      </c>
      <c r="D100" s="1">
        <v>10</v>
      </c>
      <c r="E100" s="1">
        <v>10</v>
      </c>
      <c r="F100" s="12">
        <f t="shared" si="32"/>
        <v>0</v>
      </c>
      <c r="H100" s="1">
        <f t="shared" si="46"/>
        <v>51</v>
      </c>
    </row>
    <row r="101" spans="1:8" x14ac:dyDescent="0.25">
      <c r="A101" s="4">
        <f t="shared" si="34"/>
        <v>0.91243000000000007</v>
      </c>
      <c r="B101" s="1">
        <f t="shared" si="35"/>
        <v>3.7999999999999989</v>
      </c>
      <c r="C101" s="48">
        <f t="shared" si="31"/>
        <v>0</v>
      </c>
      <c r="D101" s="1">
        <v>10</v>
      </c>
      <c r="E101" s="1">
        <v>10</v>
      </c>
      <c r="F101" s="12">
        <f t="shared" si="32"/>
        <v>0</v>
      </c>
      <c r="H101" s="1">
        <f t="shared" si="46"/>
        <v>52</v>
      </c>
    </row>
    <row r="102" spans="1:8" x14ac:dyDescent="0.25">
      <c r="A102" s="4">
        <f t="shared" si="34"/>
        <v>0.92486000000000013</v>
      </c>
      <c r="B102" s="1">
        <f t="shared" si="35"/>
        <v>3.7999999999999989</v>
      </c>
      <c r="C102" s="48">
        <f t="shared" si="31"/>
        <v>0</v>
      </c>
      <c r="D102" s="1">
        <v>10</v>
      </c>
      <c r="E102" s="1">
        <v>10</v>
      </c>
      <c r="F102" s="12">
        <f t="shared" si="32"/>
        <v>0</v>
      </c>
      <c r="H102" s="1">
        <f t="shared" si="46"/>
        <v>53</v>
      </c>
    </row>
    <row r="103" spans="1:8" x14ac:dyDescent="0.25">
      <c r="A103" s="4">
        <f t="shared" si="34"/>
        <v>0</v>
      </c>
      <c r="B103" s="1">
        <f t="shared" si="35"/>
        <v>3.7999999999999989</v>
      </c>
      <c r="C103" s="48">
        <f t="shared" si="31"/>
        <v>0</v>
      </c>
      <c r="D103" s="1">
        <v>10</v>
      </c>
      <c r="E103" s="1">
        <v>10</v>
      </c>
      <c r="F103" s="12">
        <f t="shared" si="32"/>
        <v>0</v>
      </c>
      <c r="H103" s="1">
        <f t="shared" si="46"/>
        <v>54</v>
      </c>
    </row>
    <row r="104" spans="1:8" x14ac:dyDescent="0.25">
      <c r="A104" s="4">
        <f t="shared" si="34"/>
        <v>0.94972000000000012</v>
      </c>
      <c r="B104" s="1">
        <f t="shared" si="35"/>
        <v>3.7999999999999989</v>
      </c>
      <c r="C104" s="48">
        <f t="shared" si="31"/>
        <v>0</v>
      </c>
      <c r="D104" s="1">
        <v>10</v>
      </c>
      <c r="E104" s="1">
        <v>10</v>
      </c>
      <c r="F104" s="12">
        <f t="shared" si="32"/>
        <v>0</v>
      </c>
      <c r="H104" s="1">
        <f t="shared" si="46"/>
        <v>55</v>
      </c>
    </row>
    <row r="105" spans="1:8" x14ac:dyDescent="0.25">
      <c r="A105" s="4">
        <f t="shared" si="34"/>
        <v>0.96215000000000017</v>
      </c>
      <c r="B105" s="1">
        <f t="shared" si="35"/>
        <v>3.7999999999999989</v>
      </c>
      <c r="C105" s="48">
        <f t="shared" si="31"/>
        <v>0</v>
      </c>
      <c r="D105" s="1">
        <v>10</v>
      </c>
      <c r="E105" s="1">
        <v>10</v>
      </c>
      <c r="F105" s="12">
        <f t="shared" si="32"/>
        <v>0</v>
      </c>
      <c r="H105" s="1">
        <f t="shared" si="46"/>
        <v>56</v>
      </c>
    </row>
    <row r="106" spans="1:8" x14ac:dyDescent="0.25">
      <c r="A106" s="4">
        <f t="shared" si="34"/>
        <v>0.97458000000000022</v>
      </c>
      <c r="B106" s="1">
        <f t="shared" si="35"/>
        <v>3.7999999999999989</v>
      </c>
      <c r="C106" s="48">
        <f t="shared" si="31"/>
        <v>0</v>
      </c>
      <c r="D106" s="1">
        <v>10</v>
      </c>
      <c r="E106" s="1">
        <v>10</v>
      </c>
      <c r="F106" s="12">
        <f t="shared" si="32"/>
        <v>0</v>
      </c>
      <c r="H106" s="1">
        <f t="shared" si="46"/>
        <v>57</v>
      </c>
    </row>
    <row r="107" spans="1:8" x14ac:dyDescent="0.25">
      <c r="A107" s="4">
        <f t="shared" si="34"/>
        <v>0</v>
      </c>
      <c r="B107" s="1">
        <f t="shared" si="35"/>
        <v>3.7999999999999989</v>
      </c>
      <c r="C107" s="48">
        <f t="shared" si="31"/>
        <v>0</v>
      </c>
      <c r="D107" s="1">
        <v>10</v>
      </c>
      <c r="E107" s="1">
        <v>10</v>
      </c>
      <c r="F107" s="12">
        <f t="shared" si="32"/>
        <v>0</v>
      </c>
      <c r="H107" s="1">
        <f t="shared" si="46"/>
        <v>58</v>
      </c>
    </row>
    <row r="108" spans="1:8" x14ac:dyDescent="0.25">
      <c r="A108" s="4">
        <f t="shared" si="34"/>
        <v>0.99945600000000001</v>
      </c>
      <c r="B108" s="1">
        <f t="shared" si="35"/>
        <v>3.7999999999999989</v>
      </c>
      <c r="C108" s="48">
        <f t="shared" si="31"/>
        <v>0</v>
      </c>
      <c r="D108" s="1">
        <v>10</v>
      </c>
      <c r="E108" s="1">
        <v>10</v>
      </c>
      <c r="F108" s="12">
        <f t="shared" si="32"/>
        <v>0</v>
      </c>
      <c r="H108" s="1">
        <f t="shared" si="46"/>
        <v>59</v>
      </c>
    </row>
    <row r="109" spans="1:8" x14ac:dyDescent="0.25">
      <c r="A109" s="4">
        <f t="shared" si="34"/>
        <v>1.0094559999999999</v>
      </c>
      <c r="B109" s="1">
        <f t="shared" si="35"/>
        <v>3.7999999999999989</v>
      </c>
      <c r="C109" s="48">
        <f t="shared" si="31"/>
        <v>0</v>
      </c>
      <c r="D109" s="1">
        <v>10</v>
      </c>
      <c r="E109" s="1">
        <v>10</v>
      </c>
      <c r="F109" s="12">
        <f t="shared" si="32"/>
        <v>0</v>
      </c>
      <c r="H109" s="1">
        <f t="shared" si="46"/>
        <v>60</v>
      </c>
    </row>
    <row r="110" spans="1:8" x14ac:dyDescent="0.25">
      <c r="A110" s="4">
        <f>A100</f>
        <v>0.9</v>
      </c>
      <c r="B110" s="1">
        <f>B100+0.01</f>
        <v>3.8099999999999987</v>
      </c>
      <c r="C110" s="48">
        <f t="shared" si="31"/>
        <v>0</v>
      </c>
      <c r="D110" s="1">
        <v>10</v>
      </c>
      <c r="E110" s="1">
        <v>10</v>
      </c>
      <c r="F110" s="12">
        <f t="shared" si="32"/>
        <v>0</v>
      </c>
      <c r="H110" s="1">
        <f t="shared" si="46"/>
        <v>61</v>
      </c>
    </row>
    <row r="111" spans="1:8" x14ac:dyDescent="0.25">
      <c r="A111" s="4">
        <f t="shared" si="34"/>
        <v>0.91243000000000007</v>
      </c>
      <c r="B111" s="1">
        <f t="shared" si="35"/>
        <v>3.8099999999999987</v>
      </c>
      <c r="C111" s="48">
        <f t="shared" si="31"/>
        <v>0</v>
      </c>
      <c r="D111" s="1">
        <v>10</v>
      </c>
      <c r="E111" s="1">
        <v>10</v>
      </c>
      <c r="F111" s="12">
        <f t="shared" si="32"/>
        <v>0</v>
      </c>
      <c r="H111" s="1">
        <f t="shared" si="46"/>
        <v>62</v>
      </c>
    </row>
    <row r="112" spans="1:8" x14ac:dyDescent="0.25">
      <c r="A112" s="4">
        <f t="shared" si="34"/>
        <v>0.92486000000000013</v>
      </c>
      <c r="B112" s="1">
        <f t="shared" si="35"/>
        <v>3.8099999999999987</v>
      </c>
      <c r="C112" s="48">
        <f t="shared" si="31"/>
        <v>0</v>
      </c>
      <c r="D112" s="1">
        <v>10</v>
      </c>
      <c r="E112" s="1">
        <v>10</v>
      </c>
      <c r="F112" s="12">
        <f t="shared" si="32"/>
        <v>0</v>
      </c>
      <c r="H112" s="1">
        <f t="shared" si="46"/>
        <v>63</v>
      </c>
    </row>
    <row r="113" spans="1:8" x14ac:dyDescent="0.25">
      <c r="A113" s="4">
        <f t="shared" si="34"/>
        <v>0</v>
      </c>
      <c r="B113" s="1">
        <f t="shared" si="35"/>
        <v>3.8099999999999987</v>
      </c>
      <c r="C113" s="48">
        <f t="shared" si="31"/>
        <v>0</v>
      </c>
      <c r="D113" s="1">
        <v>10</v>
      </c>
      <c r="E113" s="1">
        <v>10</v>
      </c>
      <c r="F113" s="12">
        <f t="shared" si="32"/>
        <v>0</v>
      </c>
      <c r="H113" s="1">
        <f t="shared" si="46"/>
        <v>64</v>
      </c>
    </row>
    <row r="114" spans="1:8" x14ac:dyDescent="0.25">
      <c r="A114" s="4">
        <f t="shared" si="34"/>
        <v>0.94972000000000012</v>
      </c>
      <c r="B114" s="1">
        <f t="shared" si="35"/>
        <v>3.8099999999999987</v>
      </c>
      <c r="C114" s="48">
        <f t="shared" si="31"/>
        <v>0</v>
      </c>
      <c r="D114" s="1">
        <v>10</v>
      </c>
      <c r="E114" s="1">
        <v>10</v>
      </c>
      <c r="F114" s="12">
        <f t="shared" si="32"/>
        <v>0</v>
      </c>
      <c r="H114" s="1">
        <f t="shared" si="46"/>
        <v>65</v>
      </c>
    </row>
    <row r="115" spans="1:8" x14ac:dyDescent="0.25">
      <c r="A115" s="4">
        <f t="shared" si="34"/>
        <v>0.96215000000000017</v>
      </c>
      <c r="B115" s="1">
        <f t="shared" si="35"/>
        <v>3.8099999999999987</v>
      </c>
      <c r="C115" s="48">
        <f t="shared" si="31"/>
        <v>0</v>
      </c>
      <c r="D115" s="1">
        <v>10</v>
      </c>
      <c r="E115" s="1">
        <v>10</v>
      </c>
      <c r="F115" s="12">
        <f t="shared" si="32"/>
        <v>0</v>
      </c>
      <c r="H115" s="1">
        <f t="shared" si="46"/>
        <v>66</v>
      </c>
    </row>
    <row r="116" spans="1:8" x14ac:dyDescent="0.25">
      <c r="A116" s="4">
        <f t="shared" si="34"/>
        <v>0.97458000000000022</v>
      </c>
      <c r="B116" s="1">
        <f t="shared" si="35"/>
        <v>3.8099999999999987</v>
      </c>
      <c r="C116" s="48">
        <f t="shared" si="35"/>
        <v>0</v>
      </c>
      <c r="D116" s="1">
        <v>10</v>
      </c>
      <c r="E116" s="1">
        <v>10</v>
      </c>
      <c r="F116" s="12">
        <f t="shared" ref="F116:F165" si="47">F115</f>
        <v>0</v>
      </c>
      <c r="H116" s="1">
        <f t="shared" si="46"/>
        <v>67</v>
      </c>
    </row>
    <row r="117" spans="1:8" x14ac:dyDescent="0.25">
      <c r="A117" s="4">
        <f t="shared" si="34"/>
        <v>0</v>
      </c>
      <c r="B117" s="1">
        <f t="shared" si="35"/>
        <v>3.8099999999999987</v>
      </c>
      <c r="C117" s="48">
        <f t="shared" si="35"/>
        <v>0</v>
      </c>
      <c r="D117" s="1">
        <v>10</v>
      </c>
      <c r="E117" s="1">
        <v>10</v>
      </c>
      <c r="F117" s="12">
        <f t="shared" si="47"/>
        <v>0</v>
      </c>
      <c r="H117" s="1">
        <f t="shared" si="46"/>
        <v>68</v>
      </c>
    </row>
    <row r="118" spans="1:8" x14ac:dyDescent="0.25">
      <c r="A118" s="4">
        <f t="shared" si="34"/>
        <v>0.99945600000000001</v>
      </c>
      <c r="B118" s="1">
        <f t="shared" si="35"/>
        <v>3.8099999999999987</v>
      </c>
      <c r="C118" s="48">
        <f t="shared" si="35"/>
        <v>0</v>
      </c>
      <c r="D118" s="1">
        <v>10</v>
      </c>
      <c r="E118" s="1">
        <v>10</v>
      </c>
      <c r="F118" s="12">
        <f t="shared" si="47"/>
        <v>0</v>
      </c>
      <c r="H118" s="1">
        <f t="shared" si="46"/>
        <v>69</v>
      </c>
    </row>
    <row r="119" spans="1:8" x14ac:dyDescent="0.25">
      <c r="A119" s="4">
        <f t="shared" si="34"/>
        <v>1.0094559999999999</v>
      </c>
      <c r="B119" s="1">
        <f t="shared" si="35"/>
        <v>3.8099999999999987</v>
      </c>
      <c r="C119" s="48">
        <f t="shared" si="35"/>
        <v>0</v>
      </c>
      <c r="D119" s="1">
        <v>10</v>
      </c>
      <c r="E119" s="1">
        <v>10</v>
      </c>
      <c r="F119" s="12">
        <f t="shared" si="47"/>
        <v>0</v>
      </c>
      <c r="H119" s="1">
        <f t="shared" si="46"/>
        <v>70</v>
      </c>
    </row>
    <row r="120" spans="1:8" x14ac:dyDescent="0.25">
      <c r="A120" s="4">
        <f>A110</f>
        <v>0.9</v>
      </c>
      <c r="B120" s="1">
        <f>B110+0.01</f>
        <v>3.8199999999999985</v>
      </c>
      <c r="C120" s="48">
        <f t="shared" ref="C120:C183" si="48">C119</f>
        <v>0</v>
      </c>
      <c r="D120" s="1">
        <v>10</v>
      </c>
      <c r="E120" s="1">
        <v>10</v>
      </c>
      <c r="F120" s="12">
        <f t="shared" si="47"/>
        <v>0</v>
      </c>
      <c r="H120" s="1">
        <f t="shared" ref="H120:H139" si="49">H119+1</f>
        <v>71</v>
      </c>
    </row>
    <row r="121" spans="1:8" x14ac:dyDescent="0.25">
      <c r="A121" s="4">
        <f t="shared" si="34"/>
        <v>0.91243000000000007</v>
      </c>
      <c r="B121" s="1">
        <f t="shared" si="35"/>
        <v>3.8199999999999985</v>
      </c>
      <c r="C121" s="48">
        <f t="shared" si="48"/>
        <v>0</v>
      </c>
      <c r="D121" s="1">
        <v>10</v>
      </c>
      <c r="E121" s="1">
        <v>10</v>
      </c>
      <c r="F121" s="12">
        <f t="shared" si="47"/>
        <v>0</v>
      </c>
      <c r="H121" s="1">
        <f t="shared" si="49"/>
        <v>72</v>
      </c>
    </row>
    <row r="122" spans="1:8" x14ac:dyDescent="0.25">
      <c r="A122" s="4">
        <f t="shared" si="34"/>
        <v>0.92486000000000013</v>
      </c>
      <c r="B122" s="1">
        <f t="shared" si="35"/>
        <v>3.8199999999999985</v>
      </c>
      <c r="C122" s="48">
        <f t="shared" si="48"/>
        <v>0</v>
      </c>
      <c r="D122" s="1">
        <v>10</v>
      </c>
      <c r="E122" s="1">
        <v>10</v>
      </c>
      <c r="F122" s="12">
        <f t="shared" si="47"/>
        <v>0</v>
      </c>
      <c r="H122" s="1">
        <f t="shared" si="49"/>
        <v>73</v>
      </c>
    </row>
    <row r="123" spans="1:8" x14ac:dyDescent="0.25">
      <c r="A123" s="4">
        <f t="shared" si="34"/>
        <v>0</v>
      </c>
      <c r="B123" s="1">
        <f t="shared" si="35"/>
        <v>3.8199999999999985</v>
      </c>
      <c r="C123" s="48">
        <f t="shared" si="48"/>
        <v>0</v>
      </c>
      <c r="D123" s="1">
        <v>10</v>
      </c>
      <c r="E123" s="1">
        <v>10</v>
      </c>
      <c r="F123" s="12">
        <f t="shared" si="47"/>
        <v>0</v>
      </c>
      <c r="H123" s="1">
        <f t="shared" si="49"/>
        <v>74</v>
      </c>
    </row>
    <row r="124" spans="1:8" x14ac:dyDescent="0.25">
      <c r="A124" s="4">
        <f t="shared" si="34"/>
        <v>0.94972000000000012</v>
      </c>
      <c r="B124" s="1">
        <f t="shared" si="35"/>
        <v>3.8199999999999985</v>
      </c>
      <c r="C124" s="48">
        <f t="shared" si="48"/>
        <v>0</v>
      </c>
      <c r="D124" s="1">
        <v>10</v>
      </c>
      <c r="E124" s="1">
        <v>10</v>
      </c>
      <c r="F124" s="12">
        <f t="shared" si="47"/>
        <v>0</v>
      </c>
      <c r="H124" s="1">
        <f t="shared" si="49"/>
        <v>75</v>
      </c>
    </row>
    <row r="125" spans="1:8" x14ac:dyDescent="0.25">
      <c r="A125" s="4">
        <f t="shared" ref="A125:A149" si="50">A115</f>
        <v>0.96215000000000017</v>
      </c>
      <c r="B125" s="1">
        <f t="shared" ref="B125:B149" si="51">B124</f>
        <v>3.8199999999999985</v>
      </c>
      <c r="C125" s="48">
        <f t="shared" si="48"/>
        <v>0</v>
      </c>
      <c r="D125" s="1">
        <v>10</v>
      </c>
      <c r="E125" s="1">
        <v>10</v>
      </c>
      <c r="F125" s="12">
        <f t="shared" si="47"/>
        <v>0</v>
      </c>
      <c r="H125" s="1">
        <f t="shared" si="49"/>
        <v>76</v>
      </c>
    </row>
    <row r="126" spans="1:8" x14ac:dyDescent="0.25">
      <c r="A126" s="4">
        <f t="shared" si="50"/>
        <v>0.97458000000000022</v>
      </c>
      <c r="B126" s="1">
        <f t="shared" si="51"/>
        <v>3.8199999999999985</v>
      </c>
      <c r="C126" s="48">
        <f t="shared" si="48"/>
        <v>0</v>
      </c>
      <c r="D126" s="1">
        <v>10</v>
      </c>
      <c r="E126" s="1">
        <v>10</v>
      </c>
      <c r="F126" s="12">
        <f t="shared" si="47"/>
        <v>0</v>
      </c>
      <c r="H126" s="1">
        <f t="shared" si="49"/>
        <v>77</v>
      </c>
    </row>
    <row r="127" spans="1:8" x14ac:dyDescent="0.25">
      <c r="A127" s="4">
        <f t="shared" si="50"/>
        <v>0</v>
      </c>
      <c r="B127" s="1">
        <f t="shared" si="51"/>
        <v>3.8199999999999985</v>
      </c>
      <c r="C127" s="48">
        <f t="shared" si="48"/>
        <v>0</v>
      </c>
      <c r="D127" s="1">
        <v>10</v>
      </c>
      <c r="E127" s="1">
        <v>10</v>
      </c>
      <c r="F127" s="12">
        <f t="shared" si="47"/>
        <v>0</v>
      </c>
      <c r="H127" s="1">
        <f t="shared" si="49"/>
        <v>78</v>
      </c>
    </row>
    <row r="128" spans="1:8" x14ac:dyDescent="0.25">
      <c r="A128" s="4">
        <f t="shared" si="50"/>
        <v>0.99945600000000001</v>
      </c>
      <c r="B128" s="1">
        <f t="shared" si="51"/>
        <v>3.8199999999999985</v>
      </c>
      <c r="C128" s="48">
        <f t="shared" si="48"/>
        <v>0</v>
      </c>
      <c r="D128" s="1">
        <v>10</v>
      </c>
      <c r="E128" s="1">
        <v>10</v>
      </c>
      <c r="F128" s="12">
        <f t="shared" si="47"/>
        <v>0</v>
      </c>
      <c r="H128" s="1">
        <f t="shared" si="49"/>
        <v>79</v>
      </c>
    </row>
    <row r="129" spans="1:8" x14ac:dyDescent="0.25">
      <c r="A129" s="4">
        <f t="shared" si="50"/>
        <v>1.0094559999999999</v>
      </c>
      <c r="B129" s="1">
        <f t="shared" si="51"/>
        <v>3.8199999999999985</v>
      </c>
      <c r="C129" s="48">
        <f t="shared" si="48"/>
        <v>0</v>
      </c>
      <c r="D129" s="1">
        <v>10</v>
      </c>
      <c r="E129" s="1">
        <v>10</v>
      </c>
      <c r="F129" s="12">
        <f t="shared" si="47"/>
        <v>0</v>
      </c>
      <c r="H129" s="1">
        <f t="shared" si="49"/>
        <v>80</v>
      </c>
    </row>
    <row r="130" spans="1:8" x14ac:dyDescent="0.25">
      <c r="A130" s="4">
        <f>A120</f>
        <v>0.9</v>
      </c>
      <c r="B130" s="1">
        <f>B120+0.01</f>
        <v>3.8299999999999983</v>
      </c>
      <c r="C130" s="48">
        <f t="shared" si="48"/>
        <v>0</v>
      </c>
      <c r="D130" s="1">
        <v>10</v>
      </c>
      <c r="E130" s="1">
        <v>10</v>
      </c>
      <c r="F130" s="12">
        <f t="shared" si="47"/>
        <v>0</v>
      </c>
      <c r="H130" s="1">
        <f t="shared" si="49"/>
        <v>81</v>
      </c>
    </row>
    <row r="131" spans="1:8" x14ac:dyDescent="0.25">
      <c r="A131" s="4">
        <f t="shared" si="50"/>
        <v>0.91243000000000007</v>
      </c>
      <c r="B131" s="1">
        <f t="shared" si="51"/>
        <v>3.8299999999999983</v>
      </c>
      <c r="C131" s="48">
        <f t="shared" si="48"/>
        <v>0</v>
      </c>
      <c r="D131" s="1">
        <v>10</v>
      </c>
      <c r="E131" s="1">
        <v>10</v>
      </c>
      <c r="F131" s="12">
        <f t="shared" si="47"/>
        <v>0</v>
      </c>
      <c r="H131" s="1">
        <f t="shared" si="49"/>
        <v>82</v>
      </c>
    </row>
    <row r="132" spans="1:8" x14ac:dyDescent="0.25">
      <c r="A132" s="4">
        <f t="shared" si="50"/>
        <v>0.92486000000000013</v>
      </c>
      <c r="B132" s="1">
        <f t="shared" si="51"/>
        <v>3.8299999999999983</v>
      </c>
      <c r="C132" s="48">
        <f t="shared" si="48"/>
        <v>0</v>
      </c>
      <c r="D132" s="1">
        <v>10</v>
      </c>
      <c r="E132" s="1">
        <v>10</v>
      </c>
      <c r="F132" s="12">
        <f t="shared" si="47"/>
        <v>0</v>
      </c>
      <c r="H132" s="1">
        <f t="shared" si="49"/>
        <v>83</v>
      </c>
    </row>
    <row r="133" spans="1:8" x14ac:dyDescent="0.25">
      <c r="A133" s="4">
        <f t="shared" si="50"/>
        <v>0</v>
      </c>
      <c r="B133" s="1">
        <f t="shared" si="51"/>
        <v>3.8299999999999983</v>
      </c>
      <c r="C133" s="48">
        <f t="shared" si="48"/>
        <v>0</v>
      </c>
      <c r="D133" s="1">
        <v>10</v>
      </c>
      <c r="E133" s="1">
        <v>10</v>
      </c>
      <c r="F133" s="12">
        <f t="shared" si="47"/>
        <v>0</v>
      </c>
      <c r="H133" s="1">
        <f t="shared" si="49"/>
        <v>84</v>
      </c>
    </row>
    <row r="134" spans="1:8" x14ac:dyDescent="0.25">
      <c r="A134" s="4">
        <f t="shared" si="50"/>
        <v>0.94972000000000012</v>
      </c>
      <c r="B134" s="1">
        <f t="shared" si="51"/>
        <v>3.8299999999999983</v>
      </c>
      <c r="C134" s="48">
        <f t="shared" si="48"/>
        <v>0</v>
      </c>
      <c r="D134" s="1">
        <v>10</v>
      </c>
      <c r="E134" s="1">
        <v>10</v>
      </c>
      <c r="F134" s="12">
        <f t="shared" si="47"/>
        <v>0</v>
      </c>
      <c r="H134" s="1">
        <f t="shared" si="49"/>
        <v>85</v>
      </c>
    </row>
    <row r="135" spans="1:8" x14ac:dyDescent="0.25">
      <c r="A135" s="4">
        <f t="shared" si="50"/>
        <v>0.96215000000000017</v>
      </c>
      <c r="B135" s="1">
        <f t="shared" si="51"/>
        <v>3.8299999999999983</v>
      </c>
      <c r="C135" s="48">
        <f t="shared" si="48"/>
        <v>0</v>
      </c>
      <c r="D135" s="1">
        <v>10</v>
      </c>
      <c r="E135" s="1">
        <v>10</v>
      </c>
      <c r="F135" s="12">
        <f t="shared" si="47"/>
        <v>0</v>
      </c>
      <c r="H135" s="1">
        <f t="shared" si="49"/>
        <v>86</v>
      </c>
    </row>
    <row r="136" spans="1:8" x14ac:dyDescent="0.25">
      <c r="A136" s="4">
        <f t="shared" si="50"/>
        <v>0.97458000000000022</v>
      </c>
      <c r="B136" s="1">
        <f t="shared" si="51"/>
        <v>3.8299999999999983</v>
      </c>
      <c r="C136" s="48">
        <f t="shared" si="48"/>
        <v>0</v>
      </c>
      <c r="D136" s="1">
        <v>10</v>
      </c>
      <c r="E136" s="1">
        <v>10</v>
      </c>
      <c r="F136" s="12">
        <f t="shared" si="47"/>
        <v>0</v>
      </c>
      <c r="H136" s="1">
        <f t="shared" si="49"/>
        <v>87</v>
      </c>
    </row>
    <row r="137" spans="1:8" x14ac:dyDescent="0.25">
      <c r="A137" s="4">
        <f t="shared" si="50"/>
        <v>0</v>
      </c>
      <c r="B137" s="1">
        <f t="shared" si="51"/>
        <v>3.8299999999999983</v>
      </c>
      <c r="C137" s="48">
        <f t="shared" si="48"/>
        <v>0</v>
      </c>
      <c r="D137" s="1">
        <v>10</v>
      </c>
      <c r="E137" s="1">
        <v>10</v>
      </c>
      <c r="F137" s="12">
        <f t="shared" si="47"/>
        <v>0</v>
      </c>
      <c r="H137" s="1">
        <f t="shared" si="49"/>
        <v>88</v>
      </c>
    </row>
    <row r="138" spans="1:8" x14ac:dyDescent="0.25">
      <c r="A138" s="4">
        <f t="shared" si="50"/>
        <v>0.99945600000000001</v>
      </c>
      <c r="B138" s="1">
        <f t="shared" si="51"/>
        <v>3.8299999999999983</v>
      </c>
      <c r="C138" s="48">
        <f t="shared" si="48"/>
        <v>0</v>
      </c>
      <c r="D138" s="1">
        <v>10</v>
      </c>
      <c r="E138" s="1">
        <v>10</v>
      </c>
      <c r="F138" s="12">
        <f t="shared" si="47"/>
        <v>0</v>
      </c>
      <c r="H138" s="1">
        <f t="shared" si="49"/>
        <v>89</v>
      </c>
    </row>
    <row r="139" spans="1:8" x14ac:dyDescent="0.25">
      <c r="A139" s="4">
        <f t="shared" si="50"/>
        <v>1.0094559999999999</v>
      </c>
      <c r="B139" s="1">
        <f t="shared" si="51"/>
        <v>3.8299999999999983</v>
      </c>
      <c r="C139" s="48">
        <f t="shared" si="48"/>
        <v>0</v>
      </c>
      <c r="D139" s="1">
        <v>10</v>
      </c>
      <c r="E139" s="1">
        <v>10</v>
      </c>
      <c r="F139" s="12">
        <f t="shared" si="47"/>
        <v>0</v>
      </c>
      <c r="H139" s="1">
        <f t="shared" si="49"/>
        <v>90</v>
      </c>
    </row>
    <row r="140" spans="1:8" x14ac:dyDescent="0.25">
      <c r="A140" s="4">
        <f>A130</f>
        <v>0.9</v>
      </c>
      <c r="B140" s="1">
        <f>B130+0.01</f>
        <v>3.8399999999999981</v>
      </c>
      <c r="C140" s="48">
        <f t="shared" si="48"/>
        <v>0</v>
      </c>
      <c r="D140" s="1">
        <v>10</v>
      </c>
      <c r="E140" s="1">
        <v>10</v>
      </c>
      <c r="F140" s="12">
        <f t="shared" si="47"/>
        <v>0</v>
      </c>
      <c r="H140" s="1">
        <f t="shared" ref="H140:H189" si="52">H139+1</f>
        <v>91</v>
      </c>
    </row>
    <row r="141" spans="1:8" x14ac:dyDescent="0.25">
      <c r="A141" s="4">
        <f t="shared" si="50"/>
        <v>0.91243000000000007</v>
      </c>
      <c r="B141" s="1">
        <f t="shared" si="51"/>
        <v>3.8399999999999981</v>
      </c>
      <c r="C141" s="48">
        <f t="shared" si="48"/>
        <v>0</v>
      </c>
      <c r="D141" s="1">
        <v>10</v>
      </c>
      <c r="E141" s="1">
        <v>10</v>
      </c>
      <c r="F141" s="12">
        <f t="shared" si="47"/>
        <v>0</v>
      </c>
      <c r="H141" s="1">
        <f t="shared" si="52"/>
        <v>92</v>
      </c>
    </row>
    <row r="142" spans="1:8" x14ac:dyDescent="0.25">
      <c r="A142" s="4">
        <f t="shared" si="50"/>
        <v>0.92486000000000013</v>
      </c>
      <c r="B142" s="1">
        <f t="shared" si="51"/>
        <v>3.8399999999999981</v>
      </c>
      <c r="C142" s="48">
        <f t="shared" si="48"/>
        <v>0</v>
      </c>
      <c r="D142" s="1">
        <v>10</v>
      </c>
      <c r="E142" s="1">
        <v>10</v>
      </c>
      <c r="F142" s="12">
        <f t="shared" si="47"/>
        <v>0</v>
      </c>
      <c r="H142" s="1">
        <f t="shared" si="52"/>
        <v>93</v>
      </c>
    </row>
    <row r="143" spans="1:8" x14ac:dyDescent="0.25">
      <c r="A143" s="4">
        <f t="shared" si="50"/>
        <v>0</v>
      </c>
      <c r="B143" s="1">
        <f t="shared" si="51"/>
        <v>3.8399999999999981</v>
      </c>
      <c r="C143" s="48">
        <f t="shared" si="48"/>
        <v>0</v>
      </c>
      <c r="D143" s="1">
        <v>10</v>
      </c>
      <c r="E143" s="1">
        <v>10</v>
      </c>
      <c r="F143" s="12">
        <f t="shared" si="47"/>
        <v>0</v>
      </c>
      <c r="H143" s="1">
        <f t="shared" si="52"/>
        <v>94</v>
      </c>
    </row>
    <row r="144" spans="1:8" x14ac:dyDescent="0.25">
      <c r="A144" s="4">
        <f t="shared" si="50"/>
        <v>0.94972000000000012</v>
      </c>
      <c r="B144" s="1">
        <f t="shared" si="51"/>
        <v>3.8399999999999981</v>
      </c>
      <c r="C144" s="48">
        <f t="shared" si="48"/>
        <v>0</v>
      </c>
      <c r="D144" s="1">
        <v>10</v>
      </c>
      <c r="E144" s="1">
        <v>10</v>
      </c>
      <c r="F144" s="12">
        <f t="shared" si="47"/>
        <v>0</v>
      </c>
      <c r="H144" s="1">
        <f t="shared" si="52"/>
        <v>95</v>
      </c>
    </row>
    <row r="145" spans="1:8" x14ac:dyDescent="0.25">
      <c r="A145" s="4">
        <f t="shared" si="50"/>
        <v>0.96215000000000017</v>
      </c>
      <c r="B145" s="1">
        <f t="shared" si="51"/>
        <v>3.8399999999999981</v>
      </c>
      <c r="C145" s="48">
        <f t="shared" si="48"/>
        <v>0</v>
      </c>
      <c r="D145" s="1">
        <v>10</v>
      </c>
      <c r="E145" s="1">
        <v>10</v>
      </c>
      <c r="F145" s="12">
        <f t="shared" si="47"/>
        <v>0</v>
      </c>
      <c r="H145" s="1">
        <f t="shared" si="52"/>
        <v>96</v>
      </c>
    </row>
    <row r="146" spans="1:8" x14ac:dyDescent="0.25">
      <c r="A146" s="4">
        <f t="shared" si="50"/>
        <v>0.97458000000000022</v>
      </c>
      <c r="B146" s="1">
        <f t="shared" si="51"/>
        <v>3.8399999999999981</v>
      </c>
      <c r="C146" s="48">
        <f t="shared" si="48"/>
        <v>0</v>
      </c>
      <c r="D146" s="1">
        <v>10</v>
      </c>
      <c r="E146" s="1">
        <v>10</v>
      </c>
      <c r="F146" s="12">
        <f t="shared" si="47"/>
        <v>0</v>
      </c>
      <c r="H146" s="1">
        <f t="shared" si="52"/>
        <v>97</v>
      </c>
    </row>
    <row r="147" spans="1:8" x14ac:dyDescent="0.25">
      <c r="A147" s="4">
        <f t="shared" si="50"/>
        <v>0</v>
      </c>
      <c r="B147" s="1">
        <f t="shared" si="51"/>
        <v>3.8399999999999981</v>
      </c>
      <c r="C147" s="48">
        <f t="shared" si="48"/>
        <v>0</v>
      </c>
      <c r="D147" s="1">
        <v>10</v>
      </c>
      <c r="E147" s="1">
        <v>10</v>
      </c>
      <c r="F147" s="12">
        <f t="shared" si="47"/>
        <v>0</v>
      </c>
      <c r="H147" s="1">
        <f t="shared" si="52"/>
        <v>98</v>
      </c>
    </row>
    <row r="148" spans="1:8" x14ac:dyDescent="0.25">
      <c r="A148" s="4">
        <f t="shared" si="50"/>
        <v>0.99945600000000001</v>
      </c>
      <c r="B148" s="1">
        <f t="shared" si="51"/>
        <v>3.8399999999999981</v>
      </c>
      <c r="C148" s="48">
        <f t="shared" si="48"/>
        <v>0</v>
      </c>
      <c r="D148" s="1">
        <v>10</v>
      </c>
      <c r="E148" s="1">
        <v>10</v>
      </c>
      <c r="F148" s="12">
        <f t="shared" si="47"/>
        <v>0</v>
      </c>
      <c r="H148" s="1">
        <f t="shared" si="52"/>
        <v>99</v>
      </c>
    </row>
    <row r="149" spans="1:8" x14ac:dyDescent="0.25">
      <c r="A149" s="4">
        <f t="shared" si="50"/>
        <v>1.0094559999999999</v>
      </c>
      <c r="B149" s="1">
        <f t="shared" si="51"/>
        <v>3.8399999999999981</v>
      </c>
      <c r="C149" s="48">
        <f t="shared" si="48"/>
        <v>0</v>
      </c>
      <c r="D149" s="1">
        <v>10</v>
      </c>
      <c r="E149" s="1">
        <v>10</v>
      </c>
      <c r="F149" s="12">
        <f t="shared" si="47"/>
        <v>0</v>
      </c>
      <c r="H149" s="1">
        <f t="shared" si="52"/>
        <v>100</v>
      </c>
    </row>
    <row r="150" spans="1:8" x14ac:dyDescent="0.25">
      <c r="A150" s="4">
        <f>A140</f>
        <v>0.9</v>
      </c>
      <c r="B150" s="1">
        <f>B140+0.01</f>
        <v>3.8499999999999979</v>
      </c>
      <c r="C150" s="48">
        <f>$C$32</f>
        <v>95.978084342030954</v>
      </c>
      <c r="D150" s="1">
        <v>10</v>
      </c>
      <c r="E150" s="1">
        <v>10</v>
      </c>
      <c r="F150" s="12">
        <f t="shared" si="47"/>
        <v>0</v>
      </c>
      <c r="H150" s="1">
        <f t="shared" si="52"/>
        <v>101</v>
      </c>
    </row>
    <row r="151" spans="1:8" x14ac:dyDescent="0.25">
      <c r="A151" s="4">
        <f t="shared" ref="A151:A199" si="53">A141</f>
        <v>0.91243000000000007</v>
      </c>
      <c r="B151" s="1">
        <f t="shared" ref="B151:C199" si="54">B150</f>
        <v>3.8499999999999979</v>
      </c>
      <c r="C151" s="48">
        <f t="shared" si="48"/>
        <v>95.978084342030954</v>
      </c>
      <c r="D151" s="1">
        <v>10</v>
      </c>
      <c r="E151" s="1">
        <v>10</v>
      </c>
      <c r="F151" s="12">
        <f t="shared" si="47"/>
        <v>0</v>
      </c>
      <c r="H151" s="1">
        <f t="shared" si="52"/>
        <v>102</v>
      </c>
    </row>
    <row r="152" spans="1:8" x14ac:dyDescent="0.25">
      <c r="A152" s="4">
        <f t="shared" si="53"/>
        <v>0.92486000000000013</v>
      </c>
      <c r="B152" s="1">
        <f t="shared" si="54"/>
        <v>3.8499999999999979</v>
      </c>
      <c r="C152" s="48">
        <f t="shared" si="48"/>
        <v>95.978084342030954</v>
      </c>
      <c r="D152" s="1">
        <v>10</v>
      </c>
      <c r="E152" s="1">
        <v>10</v>
      </c>
      <c r="F152" s="12">
        <f t="shared" si="47"/>
        <v>0</v>
      </c>
      <c r="H152" s="1">
        <f t="shared" si="52"/>
        <v>103</v>
      </c>
    </row>
    <row r="153" spans="1:8" x14ac:dyDescent="0.25">
      <c r="A153" s="4">
        <f t="shared" si="53"/>
        <v>0</v>
      </c>
      <c r="B153" s="1">
        <f t="shared" si="54"/>
        <v>3.8499999999999979</v>
      </c>
      <c r="C153" s="48">
        <f t="shared" si="48"/>
        <v>95.978084342030954</v>
      </c>
      <c r="D153" s="1">
        <v>10</v>
      </c>
      <c r="E153" s="1">
        <v>10</v>
      </c>
      <c r="F153" s="12">
        <f t="shared" si="47"/>
        <v>0</v>
      </c>
      <c r="H153" s="1">
        <f t="shared" si="52"/>
        <v>104</v>
      </c>
    </row>
    <row r="154" spans="1:8" x14ac:dyDescent="0.25">
      <c r="A154" s="4">
        <f t="shared" si="53"/>
        <v>0.94972000000000012</v>
      </c>
      <c r="B154" s="1">
        <f t="shared" si="54"/>
        <v>3.8499999999999979</v>
      </c>
      <c r="C154" s="48">
        <f t="shared" si="48"/>
        <v>95.978084342030954</v>
      </c>
      <c r="D154" s="1">
        <v>10</v>
      </c>
      <c r="E154" s="1">
        <v>10</v>
      </c>
      <c r="F154" s="12">
        <f t="shared" si="47"/>
        <v>0</v>
      </c>
      <c r="H154" s="1">
        <f t="shared" si="52"/>
        <v>105</v>
      </c>
    </row>
    <row r="155" spans="1:8" x14ac:dyDescent="0.25">
      <c r="A155" s="4">
        <f t="shared" si="53"/>
        <v>0.96215000000000017</v>
      </c>
      <c r="B155" s="1">
        <f t="shared" si="54"/>
        <v>3.8499999999999979</v>
      </c>
      <c r="C155" s="48">
        <f t="shared" si="48"/>
        <v>95.978084342030954</v>
      </c>
      <c r="D155" s="1">
        <v>10</v>
      </c>
      <c r="E155" s="1">
        <v>10</v>
      </c>
      <c r="F155" s="12">
        <f t="shared" si="47"/>
        <v>0</v>
      </c>
      <c r="H155" s="1">
        <f t="shared" si="52"/>
        <v>106</v>
      </c>
    </row>
    <row r="156" spans="1:8" x14ac:dyDescent="0.25">
      <c r="A156" s="4">
        <f t="shared" si="53"/>
        <v>0.97458000000000022</v>
      </c>
      <c r="B156" s="1">
        <f t="shared" si="54"/>
        <v>3.8499999999999979</v>
      </c>
      <c r="C156" s="48">
        <f t="shared" si="48"/>
        <v>95.978084342030954</v>
      </c>
      <c r="D156" s="1">
        <v>10</v>
      </c>
      <c r="E156" s="1">
        <v>10</v>
      </c>
      <c r="F156" s="12">
        <f t="shared" si="47"/>
        <v>0</v>
      </c>
      <c r="H156" s="1">
        <f t="shared" si="52"/>
        <v>107</v>
      </c>
    </row>
    <row r="157" spans="1:8" x14ac:dyDescent="0.25">
      <c r="A157" s="4">
        <f t="shared" si="53"/>
        <v>0</v>
      </c>
      <c r="B157" s="1">
        <f t="shared" si="54"/>
        <v>3.8499999999999979</v>
      </c>
      <c r="C157" s="48">
        <f t="shared" si="48"/>
        <v>95.978084342030954</v>
      </c>
      <c r="D157" s="1">
        <v>10</v>
      </c>
      <c r="E157" s="1">
        <v>10</v>
      </c>
      <c r="F157" s="12">
        <f t="shared" si="47"/>
        <v>0</v>
      </c>
      <c r="H157" s="1">
        <f t="shared" si="52"/>
        <v>108</v>
      </c>
    </row>
    <row r="158" spans="1:8" x14ac:dyDescent="0.25">
      <c r="A158" s="4">
        <f t="shared" si="53"/>
        <v>0.99945600000000001</v>
      </c>
      <c r="B158" s="1">
        <f t="shared" si="54"/>
        <v>3.8499999999999979</v>
      </c>
      <c r="C158" s="48">
        <f t="shared" si="48"/>
        <v>95.978084342030954</v>
      </c>
      <c r="D158" s="1">
        <v>10</v>
      </c>
      <c r="E158" s="1">
        <v>10</v>
      </c>
      <c r="F158" s="12">
        <f t="shared" si="47"/>
        <v>0</v>
      </c>
      <c r="H158" s="1">
        <f t="shared" si="52"/>
        <v>109</v>
      </c>
    </row>
    <row r="159" spans="1:8" x14ac:dyDescent="0.25">
      <c r="A159" s="4">
        <f t="shared" si="53"/>
        <v>1.0094559999999999</v>
      </c>
      <c r="B159" s="1">
        <f t="shared" si="54"/>
        <v>3.8499999999999979</v>
      </c>
      <c r="C159" s="48">
        <f t="shared" si="48"/>
        <v>95.978084342030954</v>
      </c>
      <c r="D159" s="1">
        <v>10</v>
      </c>
      <c r="E159" s="1">
        <v>10</v>
      </c>
      <c r="F159" s="12">
        <f t="shared" si="47"/>
        <v>0</v>
      </c>
      <c r="H159" s="1">
        <f t="shared" si="52"/>
        <v>110</v>
      </c>
    </row>
    <row r="160" spans="1:8" x14ac:dyDescent="0.25">
      <c r="A160" s="4">
        <f>A150</f>
        <v>0.9</v>
      </c>
      <c r="B160" s="1">
        <f>B150+0.01</f>
        <v>3.8599999999999977</v>
      </c>
      <c r="C160" s="48">
        <f t="shared" si="48"/>
        <v>95.978084342030954</v>
      </c>
      <c r="D160" s="1">
        <v>10</v>
      </c>
      <c r="E160" s="1">
        <v>10</v>
      </c>
      <c r="F160" s="12">
        <f t="shared" si="47"/>
        <v>0</v>
      </c>
      <c r="H160" s="1">
        <f t="shared" si="52"/>
        <v>111</v>
      </c>
    </row>
    <row r="161" spans="1:8" x14ac:dyDescent="0.25">
      <c r="A161" s="4">
        <f t="shared" si="53"/>
        <v>0.91243000000000007</v>
      </c>
      <c r="B161" s="1">
        <f t="shared" si="54"/>
        <v>3.8599999999999977</v>
      </c>
      <c r="C161" s="48">
        <f t="shared" si="48"/>
        <v>95.978084342030954</v>
      </c>
      <c r="D161" s="1">
        <v>10</v>
      </c>
      <c r="E161" s="1">
        <v>10</v>
      </c>
      <c r="F161" s="12">
        <f t="shared" si="47"/>
        <v>0</v>
      </c>
      <c r="H161" s="1">
        <f t="shared" si="52"/>
        <v>112</v>
      </c>
    </row>
    <row r="162" spans="1:8" x14ac:dyDescent="0.25">
      <c r="A162" s="4">
        <f t="shared" si="53"/>
        <v>0.92486000000000013</v>
      </c>
      <c r="B162" s="1">
        <f t="shared" si="54"/>
        <v>3.8599999999999977</v>
      </c>
      <c r="C162" s="48">
        <f t="shared" si="48"/>
        <v>95.978084342030954</v>
      </c>
      <c r="D162" s="1">
        <v>10</v>
      </c>
      <c r="E162" s="1">
        <v>10</v>
      </c>
      <c r="F162" s="12">
        <f t="shared" si="47"/>
        <v>0</v>
      </c>
      <c r="H162" s="1">
        <f t="shared" si="52"/>
        <v>113</v>
      </c>
    </row>
    <row r="163" spans="1:8" x14ac:dyDescent="0.25">
      <c r="A163" s="4">
        <f t="shared" si="53"/>
        <v>0</v>
      </c>
      <c r="B163" s="1">
        <f t="shared" si="54"/>
        <v>3.8599999999999977</v>
      </c>
      <c r="C163" s="48">
        <f t="shared" si="48"/>
        <v>95.978084342030954</v>
      </c>
      <c r="D163" s="1">
        <v>10</v>
      </c>
      <c r="E163" s="1">
        <v>10</v>
      </c>
      <c r="F163" s="12">
        <f t="shared" si="47"/>
        <v>0</v>
      </c>
      <c r="H163" s="1">
        <f t="shared" si="52"/>
        <v>114</v>
      </c>
    </row>
    <row r="164" spans="1:8" x14ac:dyDescent="0.25">
      <c r="A164" s="4">
        <f t="shared" si="53"/>
        <v>0.94972000000000012</v>
      </c>
      <c r="B164" s="1">
        <f t="shared" si="54"/>
        <v>3.8599999999999977</v>
      </c>
      <c r="C164" s="48">
        <f t="shared" si="48"/>
        <v>95.978084342030954</v>
      </c>
      <c r="D164" s="1">
        <v>10</v>
      </c>
      <c r="E164" s="1">
        <v>10</v>
      </c>
      <c r="F164" s="12">
        <f t="shared" si="47"/>
        <v>0</v>
      </c>
      <c r="H164" s="1">
        <f t="shared" si="52"/>
        <v>115</v>
      </c>
    </row>
    <row r="165" spans="1:8" x14ac:dyDescent="0.25">
      <c r="A165" s="4">
        <f t="shared" si="53"/>
        <v>0.96215000000000017</v>
      </c>
      <c r="B165" s="1">
        <f t="shared" si="54"/>
        <v>3.8599999999999977</v>
      </c>
      <c r="C165" s="48">
        <f t="shared" si="48"/>
        <v>95.978084342030954</v>
      </c>
      <c r="D165" s="1">
        <v>10</v>
      </c>
      <c r="E165" s="1">
        <v>10</v>
      </c>
      <c r="F165" s="12">
        <f t="shared" si="47"/>
        <v>0</v>
      </c>
      <c r="H165" s="1">
        <f t="shared" si="52"/>
        <v>116</v>
      </c>
    </row>
    <row r="166" spans="1:8" x14ac:dyDescent="0.25">
      <c r="A166" s="4">
        <f t="shared" si="53"/>
        <v>0.97458000000000022</v>
      </c>
      <c r="B166" s="1">
        <f t="shared" si="54"/>
        <v>3.8599999999999977</v>
      </c>
      <c r="C166" s="48">
        <f t="shared" si="48"/>
        <v>95.978084342030954</v>
      </c>
      <c r="D166" s="1">
        <v>10</v>
      </c>
      <c r="E166" s="1">
        <v>10</v>
      </c>
      <c r="F166" s="12">
        <f t="shared" ref="F166:F199" si="55">F165</f>
        <v>0</v>
      </c>
      <c r="H166" s="1">
        <f t="shared" si="52"/>
        <v>117</v>
      </c>
    </row>
    <row r="167" spans="1:8" x14ac:dyDescent="0.25">
      <c r="A167" s="4">
        <f t="shared" si="53"/>
        <v>0</v>
      </c>
      <c r="B167" s="1">
        <f t="shared" si="54"/>
        <v>3.8599999999999977</v>
      </c>
      <c r="C167" s="48">
        <f t="shared" si="48"/>
        <v>95.978084342030954</v>
      </c>
      <c r="D167" s="1">
        <v>10</v>
      </c>
      <c r="E167" s="1">
        <v>10</v>
      </c>
      <c r="F167" s="12">
        <f t="shared" si="55"/>
        <v>0</v>
      </c>
      <c r="H167" s="1">
        <f t="shared" si="52"/>
        <v>118</v>
      </c>
    </row>
    <row r="168" spans="1:8" x14ac:dyDescent="0.25">
      <c r="A168" s="4">
        <f t="shared" si="53"/>
        <v>0.99945600000000001</v>
      </c>
      <c r="B168" s="1">
        <f t="shared" si="54"/>
        <v>3.8599999999999977</v>
      </c>
      <c r="C168" s="48">
        <f t="shared" si="48"/>
        <v>95.978084342030954</v>
      </c>
      <c r="D168" s="1">
        <v>10</v>
      </c>
      <c r="E168" s="1">
        <v>10</v>
      </c>
      <c r="F168" s="12">
        <f t="shared" si="55"/>
        <v>0</v>
      </c>
      <c r="H168" s="1">
        <f t="shared" si="52"/>
        <v>119</v>
      </c>
    </row>
    <row r="169" spans="1:8" x14ac:dyDescent="0.25">
      <c r="A169" s="4">
        <f t="shared" si="53"/>
        <v>1.0094559999999999</v>
      </c>
      <c r="B169" s="1">
        <f t="shared" si="54"/>
        <v>3.8599999999999977</v>
      </c>
      <c r="C169" s="48">
        <f t="shared" si="48"/>
        <v>95.978084342030954</v>
      </c>
      <c r="D169" s="1">
        <v>10</v>
      </c>
      <c r="E169" s="1">
        <v>10</v>
      </c>
      <c r="F169" s="12">
        <f t="shared" si="55"/>
        <v>0</v>
      </c>
      <c r="H169" s="1">
        <f t="shared" si="52"/>
        <v>120</v>
      </c>
    </row>
    <row r="170" spans="1:8" x14ac:dyDescent="0.25">
      <c r="A170" s="4">
        <f>A160</f>
        <v>0.9</v>
      </c>
      <c r="B170" s="1">
        <f>B160+0.01</f>
        <v>3.8699999999999974</v>
      </c>
      <c r="C170" s="48">
        <f t="shared" si="48"/>
        <v>95.978084342030954</v>
      </c>
      <c r="D170" s="1">
        <v>10</v>
      </c>
      <c r="E170" s="1">
        <v>10</v>
      </c>
      <c r="F170" s="12">
        <f t="shared" si="55"/>
        <v>0</v>
      </c>
      <c r="H170" s="1">
        <f t="shared" si="52"/>
        <v>121</v>
      </c>
    </row>
    <row r="171" spans="1:8" x14ac:dyDescent="0.25">
      <c r="A171" s="4">
        <f t="shared" si="53"/>
        <v>0.91243000000000007</v>
      </c>
      <c r="B171" s="1">
        <f t="shared" si="54"/>
        <v>3.8699999999999974</v>
      </c>
      <c r="C171" s="48">
        <f t="shared" si="48"/>
        <v>95.978084342030954</v>
      </c>
      <c r="D171" s="1">
        <v>10</v>
      </c>
      <c r="E171" s="1">
        <v>10</v>
      </c>
      <c r="F171" s="12">
        <f t="shared" si="55"/>
        <v>0</v>
      </c>
      <c r="H171" s="1">
        <f t="shared" si="52"/>
        <v>122</v>
      </c>
    </row>
    <row r="172" spans="1:8" x14ac:dyDescent="0.25">
      <c r="A172" s="4">
        <f t="shared" si="53"/>
        <v>0.92486000000000013</v>
      </c>
      <c r="B172" s="1">
        <f t="shared" si="54"/>
        <v>3.8699999999999974</v>
      </c>
      <c r="C172" s="48">
        <f t="shared" si="48"/>
        <v>95.978084342030954</v>
      </c>
      <c r="D172" s="1">
        <v>10</v>
      </c>
      <c r="E172" s="1">
        <v>10</v>
      </c>
      <c r="F172" s="12">
        <f t="shared" si="55"/>
        <v>0</v>
      </c>
      <c r="H172" s="1">
        <f t="shared" si="52"/>
        <v>123</v>
      </c>
    </row>
    <row r="173" spans="1:8" x14ac:dyDescent="0.25">
      <c r="A173" s="4">
        <f t="shared" si="53"/>
        <v>0</v>
      </c>
      <c r="B173" s="1">
        <f t="shared" si="54"/>
        <v>3.8699999999999974</v>
      </c>
      <c r="C173" s="48">
        <f t="shared" si="48"/>
        <v>95.978084342030954</v>
      </c>
      <c r="D173" s="1">
        <v>10</v>
      </c>
      <c r="E173" s="1">
        <v>10</v>
      </c>
      <c r="F173" s="12">
        <f t="shared" si="55"/>
        <v>0</v>
      </c>
      <c r="H173" s="1">
        <f t="shared" si="52"/>
        <v>124</v>
      </c>
    </row>
    <row r="174" spans="1:8" x14ac:dyDescent="0.25">
      <c r="A174" s="4">
        <f t="shared" si="53"/>
        <v>0.94972000000000012</v>
      </c>
      <c r="B174" s="1">
        <f t="shared" si="54"/>
        <v>3.8699999999999974</v>
      </c>
      <c r="C174" s="48">
        <f t="shared" si="48"/>
        <v>95.978084342030954</v>
      </c>
      <c r="D174" s="1">
        <v>10</v>
      </c>
      <c r="E174" s="1">
        <v>10</v>
      </c>
      <c r="F174" s="12">
        <f t="shared" si="55"/>
        <v>0</v>
      </c>
      <c r="H174" s="1">
        <f t="shared" si="52"/>
        <v>125</v>
      </c>
    </row>
    <row r="175" spans="1:8" x14ac:dyDescent="0.25">
      <c r="A175" s="4">
        <f t="shared" si="53"/>
        <v>0.96215000000000017</v>
      </c>
      <c r="B175" s="1">
        <f t="shared" si="54"/>
        <v>3.8699999999999974</v>
      </c>
      <c r="C175" s="48">
        <f t="shared" si="48"/>
        <v>95.978084342030954</v>
      </c>
      <c r="D175" s="1">
        <v>10</v>
      </c>
      <c r="E175" s="1">
        <v>10</v>
      </c>
      <c r="F175" s="12">
        <f t="shared" si="55"/>
        <v>0</v>
      </c>
      <c r="H175" s="1">
        <f t="shared" si="52"/>
        <v>126</v>
      </c>
    </row>
    <row r="176" spans="1:8" x14ac:dyDescent="0.25">
      <c r="A176" s="4">
        <f t="shared" si="53"/>
        <v>0.97458000000000022</v>
      </c>
      <c r="B176" s="1">
        <f t="shared" si="54"/>
        <v>3.8699999999999974</v>
      </c>
      <c r="C176" s="48">
        <f t="shared" si="48"/>
        <v>95.978084342030954</v>
      </c>
      <c r="D176" s="1">
        <v>10</v>
      </c>
      <c r="E176" s="1">
        <v>10</v>
      </c>
      <c r="F176" s="12">
        <f t="shared" si="55"/>
        <v>0</v>
      </c>
      <c r="H176" s="1">
        <f t="shared" si="52"/>
        <v>127</v>
      </c>
    </row>
    <row r="177" spans="1:16" x14ac:dyDescent="0.25">
      <c r="A177" s="4">
        <f t="shared" si="53"/>
        <v>0</v>
      </c>
      <c r="B177" s="1">
        <f t="shared" si="54"/>
        <v>3.8699999999999974</v>
      </c>
      <c r="C177" s="48">
        <f t="shared" si="48"/>
        <v>95.978084342030954</v>
      </c>
      <c r="D177" s="1">
        <v>10</v>
      </c>
      <c r="E177" s="1">
        <v>10</v>
      </c>
      <c r="F177" s="12">
        <f t="shared" si="55"/>
        <v>0</v>
      </c>
      <c r="H177" s="1">
        <f t="shared" si="52"/>
        <v>128</v>
      </c>
    </row>
    <row r="178" spans="1:16" x14ac:dyDescent="0.25">
      <c r="A178" s="4">
        <f t="shared" si="53"/>
        <v>0.99945600000000001</v>
      </c>
      <c r="B178" s="1">
        <f t="shared" si="54"/>
        <v>3.8699999999999974</v>
      </c>
      <c r="C178" s="48">
        <f t="shared" si="48"/>
        <v>95.978084342030954</v>
      </c>
      <c r="D178" s="1">
        <v>10</v>
      </c>
      <c r="E178" s="1">
        <v>10</v>
      </c>
      <c r="F178" s="12">
        <f t="shared" si="55"/>
        <v>0</v>
      </c>
      <c r="H178" s="1">
        <f t="shared" si="52"/>
        <v>129</v>
      </c>
    </row>
    <row r="179" spans="1:16" x14ac:dyDescent="0.25">
      <c r="A179" s="4">
        <f t="shared" si="53"/>
        <v>1.0094559999999999</v>
      </c>
      <c r="B179" s="1">
        <f t="shared" si="54"/>
        <v>3.8699999999999974</v>
      </c>
      <c r="C179" s="48">
        <f t="shared" si="48"/>
        <v>95.978084342030954</v>
      </c>
      <c r="D179" s="1">
        <v>10</v>
      </c>
      <c r="E179" s="1">
        <v>10</v>
      </c>
      <c r="F179" s="12">
        <f t="shared" si="55"/>
        <v>0</v>
      </c>
      <c r="H179" s="1">
        <f t="shared" si="52"/>
        <v>130</v>
      </c>
    </row>
    <row r="180" spans="1:16" x14ac:dyDescent="0.25">
      <c r="A180" s="4">
        <f>A170</f>
        <v>0.9</v>
      </c>
      <c r="B180" s="1">
        <f>B170+0.01</f>
        <v>3.8799999999999972</v>
      </c>
      <c r="C180" s="48">
        <f t="shared" si="48"/>
        <v>95.978084342030954</v>
      </c>
      <c r="D180" s="1">
        <v>10</v>
      </c>
      <c r="E180" s="1">
        <v>10</v>
      </c>
      <c r="F180" s="12">
        <f t="shared" si="55"/>
        <v>0</v>
      </c>
      <c r="H180" s="1">
        <f t="shared" si="52"/>
        <v>131</v>
      </c>
    </row>
    <row r="181" spans="1:16" x14ac:dyDescent="0.25">
      <c r="A181" s="4">
        <f t="shared" si="53"/>
        <v>0.91243000000000007</v>
      </c>
      <c r="B181" s="1">
        <f t="shared" si="54"/>
        <v>3.8799999999999972</v>
      </c>
      <c r="C181" s="48">
        <f t="shared" si="48"/>
        <v>95.978084342030954</v>
      </c>
      <c r="D181" s="1">
        <v>10</v>
      </c>
      <c r="E181" s="1">
        <v>10</v>
      </c>
      <c r="F181" s="12">
        <f t="shared" si="55"/>
        <v>0</v>
      </c>
      <c r="H181" s="1">
        <f t="shared" si="52"/>
        <v>132</v>
      </c>
    </row>
    <row r="182" spans="1:16" x14ac:dyDescent="0.25">
      <c r="A182" s="4">
        <f t="shared" si="53"/>
        <v>0.92486000000000013</v>
      </c>
      <c r="B182" s="1">
        <f t="shared" si="54"/>
        <v>3.8799999999999972</v>
      </c>
      <c r="C182" s="48">
        <f t="shared" si="48"/>
        <v>95.978084342030954</v>
      </c>
      <c r="D182" s="1">
        <v>10</v>
      </c>
      <c r="E182" s="1">
        <v>10</v>
      </c>
      <c r="F182" s="12">
        <f t="shared" si="55"/>
        <v>0</v>
      </c>
      <c r="H182" s="1">
        <f t="shared" si="52"/>
        <v>133</v>
      </c>
    </row>
    <row r="183" spans="1:16" x14ac:dyDescent="0.25">
      <c r="A183" s="4">
        <f t="shared" si="53"/>
        <v>0</v>
      </c>
      <c r="B183" s="1">
        <f t="shared" si="54"/>
        <v>3.8799999999999972</v>
      </c>
      <c r="C183" s="48">
        <f t="shared" si="48"/>
        <v>95.978084342030954</v>
      </c>
      <c r="D183" s="1">
        <v>10</v>
      </c>
      <c r="E183" s="1">
        <v>10</v>
      </c>
      <c r="F183" s="12">
        <f t="shared" si="55"/>
        <v>0</v>
      </c>
      <c r="H183" s="1">
        <f t="shared" si="52"/>
        <v>134</v>
      </c>
    </row>
    <row r="184" spans="1:16" x14ac:dyDescent="0.25">
      <c r="A184" s="4">
        <f t="shared" si="53"/>
        <v>0.94972000000000012</v>
      </c>
      <c r="B184" s="1">
        <f t="shared" si="54"/>
        <v>3.8799999999999972</v>
      </c>
      <c r="C184" s="48">
        <f t="shared" si="54"/>
        <v>95.978084342030954</v>
      </c>
      <c r="D184" s="1">
        <v>10</v>
      </c>
      <c r="E184" s="1">
        <v>10</v>
      </c>
      <c r="F184" s="12">
        <f t="shared" si="55"/>
        <v>0</v>
      </c>
      <c r="H184" s="1">
        <f t="shared" si="52"/>
        <v>135</v>
      </c>
    </row>
    <row r="185" spans="1:16" x14ac:dyDescent="0.25">
      <c r="A185" s="4">
        <f t="shared" si="53"/>
        <v>0.96215000000000017</v>
      </c>
      <c r="B185" s="1">
        <f t="shared" si="54"/>
        <v>3.8799999999999972</v>
      </c>
      <c r="C185" s="48">
        <f t="shared" si="54"/>
        <v>95.978084342030954</v>
      </c>
      <c r="D185" s="1">
        <v>10</v>
      </c>
      <c r="E185" s="1">
        <v>10</v>
      </c>
      <c r="F185" s="12">
        <f t="shared" si="55"/>
        <v>0</v>
      </c>
      <c r="H185" s="1">
        <f t="shared" si="52"/>
        <v>136</v>
      </c>
    </row>
    <row r="186" spans="1:16" x14ac:dyDescent="0.25">
      <c r="A186" s="4">
        <f t="shared" si="53"/>
        <v>0.97458000000000022</v>
      </c>
      <c r="B186" s="1">
        <f t="shared" si="54"/>
        <v>3.8799999999999972</v>
      </c>
      <c r="C186" s="48">
        <f t="shared" si="54"/>
        <v>95.978084342030954</v>
      </c>
      <c r="D186" s="1">
        <v>10</v>
      </c>
      <c r="E186" s="1">
        <v>10</v>
      </c>
      <c r="F186" s="12">
        <f t="shared" si="55"/>
        <v>0</v>
      </c>
      <c r="H186" s="1">
        <f t="shared" si="52"/>
        <v>137</v>
      </c>
    </row>
    <row r="187" spans="1:16" x14ac:dyDescent="0.25">
      <c r="A187" s="4">
        <f t="shared" si="53"/>
        <v>0</v>
      </c>
      <c r="B187" s="1">
        <f t="shared" si="54"/>
        <v>3.8799999999999972</v>
      </c>
      <c r="C187" s="48">
        <f t="shared" si="54"/>
        <v>95.978084342030954</v>
      </c>
      <c r="D187" s="1">
        <v>10</v>
      </c>
      <c r="E187" s="1">
        <v>10</v>
      </c>
      <c r="F187" s="12">
        <f t="shared" si="55"/>
        <v>0</v>
      </c>
      <c r="H187" s="1">
        <f t="shared" si="52"/>
        <v>138</v>
      </c>
    </row>
    <row r="188" spans="1:16" x14ac:dyDescent="0.25">
      <c r="A188" s="4">
        <f t="shared" si="53"/>
        <v>0.99945600000000001</v>
      </c>
      <c r="B188" s="1">
        <f t="shared" si="54"/>
        <v>3.8799999999999972</v>
      </c>
      <c r="C188" s="48">
        <f t="shared" si="54"/>
        <v>95.978084342030954</v>
      </c>
      <c r="D188" s="1">
        <v>10</v>
      </c>
      <c r="E188" s="1">
        <v>10</v>
      </c>
      <c r="F188" s="12">
        <f t="shared" si="55"/>
        <v>0</v>
      </c>
      <c r="H188" s="1">
        <f t="shared" si="52"/>
        <v>139</v>
      </c>
    </row>
    <row r="189" spans="1:16" x14ac:dyDescent="0.25">
      <c r="A189" s="4">
        <f t="shared" si="53"/>
        <v>1.0094559999999999</v>
      </c>
      <c r="B189" s="1">
        <f t="shared" si="54"/>
        <v>3.8799999999999972</v>
      </c>
      <c r="C189" s="48">
        <f t="shared" si="54"/>
        <v>95.978084342030954</v>
      </c>
      <c r="D189" s="1">
        <v>10</v>
      </c>
      <c r="E189" s="1">
        <v>10</v>
      </c>
      <c r="F189" s="12">
        <f t="shared" si="55"/>
        <v>0</v>
      </c>
      <c r="H189" s="1">
        <f t="shared" si="52"/>
        <v>140</v>
      </c>
    </row>
    <row r="190" spans="1:16" x14ac:dyDescent="0.25">
      <c r="A190" s="4">
        <f>A180</f>
        <v>0.9</v>
      </c>
      <c r="B190" s="1">
        <f>B180+0.01</f>
        <v>3.889999999999997</v>
      </c>
      <c r="C190" s="48">
        <f t="shared" ref="C190:C199" si="56">C189</f>
        <v>95.978084342030954</v>
      </c>
      <c r="D190" s="1">
        <v>10</v>
      </c>
      <c r="E190" s="1">
        <v>10</v>
      </c>
      <c r="F190" s="12">
        <f t="shared" si="55"/>
        <v>0</v>
      </c>
      <c r="H190" s="1">
        <f t="shared" ref="H190:H199" si="57">H189+1</f>
        <v>141</v>
      </c>
    </row>
    <row r="191" spans="1:16" x14ac:dyDescent="0.25">
      <c r="A191" s="4">
        <f t="shared" si="53"/>
        <v>0.91243000000000007</v>
      </c>
      <c r="B191" s="1">
        <f t="shared" si="54"/>
        <v>3.889999999999997</v>
      </c>
      <c r="C191" s="48">
        <f t="shared" si="56"/>
        <v>95.978084342030954</v>
      </c>
      <c r="D191" s="1">
        <v>10</v>
      </c>
      <c r="E191" s="1">
        <v>10</v>
      </c>
      <c r="F191" s="12">
        <f t="shared" si="55"/>
        <v>0</v>
      </c>
      <c r="H191" s="1">
        <f t="shared" si="57"/>
        <v>142</v>
      </c>
      <c r="I191"/>
      <c r="J191"/>
      <c r="K191"/>
      <c r="L191"/>
      <c r="M191"/>
      <c r="N191"/>
      <c r="O191"/>
      <c r="P191"/>
    </row>
    <row r="192" spans="1:16" ht="15.75" thickBot="1" x14ac:dyDescent="0.3">
      <c r="A192" s="4">
        <f t="shared" si="53"/>
        <v>0.92486000000000013</v>
      </c>
      <c r="B192" s="1">
        <f t="shared" si="54"/>
        <v>3.889999999999997</v>
      </c>
      <c r="C192" s="48">
        <f t="shared" si="56"/>
        <v>95.978084342030954</v>
      </c>
      <c r="D192" s="1">
        <v>10</v>
      </c>
      <c r="E192" s="1">
        <v>10</v>
      </c>
      <c r="F192" s="12">
        <f t="shared" si="55"/>
        <v>0</v>
      </c>
      <c r="H192" s="1">
        <f t="shared" si="57"/>
        <v>143</v>
      </c>
      <c r="I192" s="32" t="s">
        <v>53</v>
      </c>
      <c r="J192" s="33" t="s">
        <v>54</v>
      </c>
      <c r="K192" s="32" t="s">
        <v>55</v>
      </c>
      <c r="L192" s="32" t="s">
        <v>56</v>
      </c>
      <c r="M192" s="32" t="s">
        <v>57</v>
      </c>
      <c r="N192" s="32" t="s">
        <v>58</v>
      </c>
      <c r="O192" s="32" t="s">
        <v>59</v>
      </c>
      <c r="P192" s="34" t="s">
        <v>60</v>
      </c>
    </row>
    <row r="193" spans="1:16" ht="15.75" thickTop="1" x14ac:dyDescent="0.25">
      <c r="A193" s="4">
        <f t="shared" si="53"/>
        <v>0</v>
      </c>
      <c r="B193" s="1">
        <f t="shared" si="54"/>
        <v>3.889999999999997</v>
      </c>
      <c r="C193" s="48">
        <f t="shared" si="56"/>
        <v>95.978084342030954</v>
      </c>
      <c r="D193" s="1">
        <v>10</v>
      </c>
      <c r="E193" s="1">
        <v>10</v>
      </c>
      <c r="F193" s="12">
        <f t="shared" si="55"/>
        <v>0</v>
      </c>
      <c r="H193" s="1">
        <f t="shared" si="57"/>
        <v>144</v>
      </c>
      <c r="I193" s="39">
        <v>3</v>
      </c>
      <c r="J193">
        <v>200</v>
      </c>
      <c r="K193">
        <v>0.05</v>
      </c>
      <c r="L193">
        <f>I193*0.001*K193</f>
        <v>1.5000000000000001E-4</v>
      </c>
      <c r="M193">
        <f>L193*J193*(0.000000001)/(1.6E-19)</f>
        <v>187500000.00000006</v>
      </c>
      <c r="N193" s="27">
        <f>MAX($E$3:$E$15)*2</f>
        <v>801173.33333333326</v>
      </c>
      <c r="O193" s="40">
        <f>M193/N193</f>
        <v>234.03175342830525</v>
      </c>
      <c r="P193" s="37">
        <f>K193/O193</f>
        <v>2.1364622222222213E-4</v>
      </c>
    </row>
    <row r="194" spans="1:16" x14ac:dyDescent="0.25">
      <c r="A194" s="4">
        <f t="shared" si="53"/>
        <v>0.94972000000000012</v>
      </c>
      <c r="B194" s="1">
        <f t="shared" si="54"/>
        <v>3.889999999999997</v>
      </c>
      <c r="C194" s="48">
        <f t="shared" si="56"/>
        <v>95.978084342030954</v>
      </c>
      <c r="D194" s="1">
        <v>10</v>
      </c>
      <c r="E194" s="1">
        <v>10</v>
      </c>
      <c r="F194" s="12">
        <f t="shared" si="55"/>
        <v>0</v>
      </c>
      <c r="H194" s="1">
        <f t="shared" si="57"/>
        <v>145</v>
      </c>
      <c r="I194" s="39">
        <v>3</v>
      </c>
      <c r="J194">
        <v>200</v>
      </c>
      <c r="K194">
        <f>K193</f>
        <v>0.05</v>
      </c>
      <c r="L194">
        <f t="shared" ref="L194" si="58">I194*0.001*K194</f>
        <v>1.5000000000000001E-4</v>
      </c>
      <c r="M194">
        <f t="shared" ref="M194" si="59">L194*J194*(0.000000001)/(1.6E-19)</f>
        <v>187500000.00000006</v>
      </c>
      <c r="N194" s="27">
        <f t="shared" ref="N194:N196" si="60">MAX($E$3:$E$15)*2</f>
        <v>801173.33333333326</v>
      </c>
      <c r="O194" s="40">
        <f t="shared" ref="O194" si="61">M194/N194</f>
        <v>234.03175342830525</v>
      </c>
      <c r="P194" s="37">
        <f t="shared" ref="P194" si="62">K194/O194</f>
        <v>2.1364622222222213E-4</v>
      </c>
    </row>
    <row r="195" spans="1:16" x14ac:dyDescent="0.25">
      <c r="A195" s="4">
        <f t="shared" si="53"/>
        <v>0.96215000000000017</v>
      </c>
      <c r="B195" s="1">
        <f t="shared" si="54"/>
        <v>3.889999999999997</v>
      </c>
      <c r="C195" s="48">
        <f t="shared" si="56"/>
        <v>95.978084342030954</v>
      </c>
      <c r="D195" s="1">
        <v>10</v>
      </c>
      <c r="E195" s="1">
        <v>10</v>
      </c>
      <c r="F195" s="12">
        <f t="shared" si="55"/>
        <v>0</v>
      </c>
      <c r="H195" s="1">
        <f t="shared" si="57"/>
        <v>146</v>
      </c>
      <c r="I195" s="39">
        <v>3</v>
      </c>
      <c r="J195">
        <v>200</v>
      </c>
      <c r="K195">
        <v>0.05</v>
      </c>
      <c r="L195">
        <f>I195*0.001*K195</f>
        <v>1.5000000000000001E-4</v>
      </c>
      <c r="M195">
        <f>L195*J195*(0.000000001)/(1.6E-19)</f>
        <v>187500000.00000006</v>
      </c>
      <c r="N195" s="27">
        <f t="shared" si="60"/>
        <v>801173.33333333326</v>
      </c>
      <c r="O195" s="40">
        <f>M195/N195</f>
        <v>234.03175342830525</v>
      </c>
      <c r="P195" s="37">
        <f>K195/O195</f>
        <v>2.1364622222222213E-4</v>
      </c>
    </row>
    <row r="196" spans="1:16" x14ac:dyDescent="0.25">
      <c r="A196" s="4">
        <f t="shared" si="53"/>
        <v>0.97458000000000022</v>
      </c>
      <c r="B196" s="1">
        <f t="shared" si="54"/>
        <v>3.889999999999997</v>
      </c>
      <c r="C196" s="48">
        <f t="shared" si="56"/>
        <v>95.978084342030954</v>
      </c>
      <c r="D196" s="1">
        <v>10</v>
      </c>
      <c r="E196" s="1">
        <v>10</v>
      </c>
      <c r="F196" s="12">
        <f t="shared" si="55"/>
        <v>0</v>
      </c>
      <c r="H196" s="1">
        <f t="shared" si="57"/>
        <v>147</v>
      </c>
      <c r="I196" s="39">
        <v>3</v>
      </c>
      <c r="J196">
        <v>200</v>
      </c>
      <c r="K196">
        <f>K195</f>
        <v>0.05</v>
      </c>
      <c r="L196">
        <f t="shared" ref="L196" si="63">I196*0.001*K196</f>
        <v>1.5000000000000001E-4</v>
      </c>
      <c r="M196">
        <f t="shared" ref="M196" si="64">L196*J196*(0.000000001)/(1.6E-19)</f>
        <v>187500000.00000006</v>
      </c>
      <c r="N196" s="27">
        <f t="shared" si="60"/>
        <v>801173.33333333326</v>
      </c>
      <c r="O196" s="40">
        <f t="shared" ref="O196" si="65">M196/N196</f>
        <v>234.03175342830525</v>
      </c>
      <c r="P196" s="37">
        <f t="shared" ref="P196" si="66">K196/O196</f>
        <v>2.1364622222222213E-4</v>
      </c>
    </row>
    <row r="197" spans="1:16" x14ac:dyDescent="0.25">
      <c r="A197" s="4">
        <f t="shared" si="53"/>
        <v>0</v>
      </c>
      <c r="B197" s="1">
        <f t="shared" si="54"/>
        <v>3.889999999999997</v>
      </c>
      <c r="C197" s="48">
        <f t="shared" si="56"/>
        <v>95.978084342030954</v>
      </c>
      <c r="D197" s="1">
        <v>10</v>
      </c>
      <c r="E197" s="1">
        <v>10</v>
      </c>
      <c r="F197" s="12">
        <f t="shared" si="55"/>
        <v>0</v>
      </c>
      <c r="H197" s="1">
        <f t="shared" si="57"/>
        <v>148</v>
      </c>
    </row>
    <row r="198" spans="1:16" x14ac:dyDescent="0.25">
      <c r="A198" s="4">
        <f t="shared" si="53"/>
        <v>0.99945600000000001</v>
      </c>
      <c r="B198" s="1">
        <f t="shared" si="54"/>
        <v>3.889999999999997</v>
      </c>
      <c r="C198" s="48">
        <f t="shared" si="56"/>
        <v>95.978084342030954</v>
      </c>
      <c r="D198" s="1">
        <v>10</v>
      </c>
      <c r="E198" s="1">
        <v>10</v>
      </c>
      <c r="F198" s="12">
        <f t="shared" si="55"/>
        <v>0</v>
      </c>
      <c r="H198" s="1">
        <f t="shared" si="57"/>
        <v>149</v>
      </c>
    </row>
    <row r="199" spans="1:16" x14ac:dyDescent="0.25">
      <c r="A199" s="4">
        <f t="shared" si="53"/>
        <v>1.0094559999999999</v>
      </c>
      <c r="B199" s="1">
        <f t="shared" si="54"/>
        <v>3.889999999999997</v>
      </c>
      <c r="C199" s="48">
        <f t="shared" si="56"/>
        <v>95.978084342030954</v>
      </c>
      <c r="D199" s="1">
        <v>10</v>
      </c>
      <c r="E199" s="1">
        <v>10</v>
      </c>
      <c r="F199" s="12">
        <f t="shared" si="55"/>
        <v>0</v>
      </c>
      <c r="H199" s="1">
        <f t="shared" si="57"/>
        <v>150</v>
      </c>
    </row>
    <row r="201" spans="1:16" ht="15.75" thickBot="1" x14ac:dyDescent="0.3">
      <c r="A201" s="26" t="s">
        <v>46</v>
      </c>
      <c r="B201"/>
      <c r="C201"/>
      <c r="D201" s="27"/>
      <c r="E201"/>
      <c r="F201"/>
      <c r="G201"/>
      <c r="H201"/>
    </row>
    <row r="202" spans="1:16" ht="15.75" thickBot="1" x14ac:dyDescent="0.3">
      <c r="A202" s="28"/>
      <c r="B202" s="28" t="s">
        <v>47</v>
      </c>
      <c r="C202" s="29" t="s">
        <v>48</v>
      </c>
      <c r="D202" s="30" t="s">
        <v>49</v>
      </c>
      <c r="E202" s="30" t="s">
        <v>50</v>
      </c>
      <c r="F202" s="30" t="s">
        <v>51</v>
      </c>
      <c r="G202" s="30" t="s">
        <v>3</v>
      </c>
      <c r="H202" s="31" t="s">
        <v>52</v>
      </c>
    </row>
    <row r="203" spans="1:16" ht="15.75" thickTop="1" x14ac:dyDescent="0.25">
      <c r="A203" s="35">
        <v>1</v>
      </c>
      <c r="B203" s="35">
        <v>0</v>
      </c>
      <c r="C203" s="36">
        <f>$F$18-0.2</f>
        <v>0.7</v>
      </c>
      <c r="D203">
        <f>$F$19-(K193/2)+($P$23/2000)</f>
        <v>3.7250529999999999</v>
      </c>
      <c r="E203" s="37">
        <f>P193</f>
        <v>2.1364622222222213E-4</v>
      </c>
      <c r="F203">
        <f>IF($B203,$C203,$D203)+$K193-IF($B203,$O$23/1000,$P$23/1000)</f>
        <v>3.7749469999999996</v>
      </c>
      <c r="G203">
        <v>50000</v>
      </c>
      <c r="H203" s="38">
        <f>(I193-IF(B203,$P$23,$O$23))/(IF(B203,$P$22,$O$22)-IF(B203,$P$23,$O$23))*10</f>
        <v>2.3877946399741687</v>
      </c>
    </row>
    <row r="204" spans="1:16" x14ac:dyDescent="0.25">
      <c r="A204" s="35">
        <f>A203+1</f>
        <v>2</v>
      </c>
      <c r="B204" s="35">
        <v>1</v>
      </c>
      <c r="C204" s="36">
        <f>C203-(K194/2)+($O$23/2000)</f>
        <v>0.67502099999999998</v>
      </c>
      <c r="D204" s="37">
        <f>$F$19</f>
        <v>3.75</v>
      </c>
      <c r="E204" s="37">
        <f t="shared" ref="E204" si="67">P194</f>
        <v>2.1364622222222213E-4</v>
      </c>
      <c r="F204">
        <f>IF($B204,$C204,$D204)+$K194-IF($B204,$O$23/1000,$P$23/1000)</f>
        <v>0.72497900000000004</v>
      </c>
      <c r="G204">
        <v>50000</v>
      </c>
      <c r="H204" s="38">
        <f>(I194-IF(B204,$P$23,$O$23))/(IF(B204,$P$22,$O$22)-IF(B204,$P$23,$O$23))*10</f>
        <v>2.1071792631425659</v>
      </c>
    </row>
    <row r="205" spans="1:16" x14ac:dyDescent="0.25">
      <c r="A205" s="35">
        <f>A204+1</f>
        <v>3</v>
      </c>
      <c r="B205" s="35">
        <v>0</v>
      </c>
      <c r="C205" s="36">
        <f>A199+0.2</f>
        <v>1.2094559999999999</v>
      </c>
      <c r="D205">
        <f>B199-(K193/2)+($P$23/2000)</f>
        <v>3.865052999999997</v>
      </c>
      <c r="E205" s="37">
        <f>P195</f>
        <v>2.1364622222222213E-4</v>
      </c>
      <c r="F205">
        <f>IF($B205,$C205,$D205)+$K195-IF($B205,$O$23/1000,$P$23/1000)</f>
        <v>3.9149469999999966</v>
      </c>
      <c r="G205">
        <v>50000</v>
      </c>
      <c r="H205" s="38">
        <f>(I195-IF(B205,$P$23,$O$23))/(IF(B205,$P$22,$O$22)-IF(B205,$P$23,$O$23))*10</f>
        <v>2.3877946399741687</v>
      </c>
    </row>
    <row r="206" spans="1:16" x14ac:dyDescent="0.25">
      <c r="A206" s="35">
        <f>A205+1</f>
        <v>4</v>
      </c>
      <c r="B206" s="35">
        <v>1</v>
      </c>
      <c r="C206">
        <f>C205-(K196/2)+($O$23/2000)</f>
        <v>1.184477</v>
      </c>
      <c r="D206" s="37">
        <f>B79</f>
        <v>3.7699999999999996</v>
      </c>
      <c r="E206" s="37">
        <f t="shared" ref="E206" si="68">P196</f>
        <v>2.1364622222222213E-4</v>
      </c>
      <c r="F206">
        <f>IF($B206,$C206,$D206)+$K196-IF($B206,$O$23/1000,$P$23/1000)</f>
        <v>1.2344349999999999</v>
      </c>
      <c r="G206">
        <v>50000</v>
      </c>
      <c r="H206" s="38">
        <f>(I196-IF(B206,$P$23,$O$23))/(IF(B206,$P$22,$O$22)-IF(B206,$P$23,$O$23))*10</f>
        <v>2.1071792631425659</v>
      </c>
    </row>
  </sheetData>
  <mergeCells count="9">
    <mergeCell ref="M44:N44"/>
    <mergeCell ref="M59:N59"/>
    <mergeCell ref="M74:N74"/>
    <mergeCell ref="A1:L1"/>
    <mergeCell ref="A17:C17"/>
    <mergeCell ref="A22:F22"/>
    <mergeCell ref="A48:F48"/>
    <mergeCell ref="E17:F17"/>
    <mergeCell ref="H17:I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"/>
  <sheetViews>
    <sheetView zoomScale="70" zoomScaleNormal="70" workbookViewId="0">
      <selection activeCell="B63" sqref="B63"/>
    </sheetView>
  </sheetViews>
  <sheetFormatPr defaultRowHeight="15" x14ac:dyDescent="0.25"/>
  <cols>
    <col min="1" max="1" width="7.85546875" customWidth="1"/>
    <col min="2" max="2" width="6.28515625" customWidth="1"/>
    <col min="3" max="3" width="14.140625" customWidth="1"/>
    <col min="4" max="4" width="11.140625" style="27" customWidth="1"/>
    <col min="5" max="5" width="10.28515625" customWidth="1"/>
    <col min="6" max="6" width="7.42578125" customWidth="1"/>
    <col min="7" max="7" width="9.85546875" customWidth="1"/>
    <col min="8" max="8" width="11.28515625" customWidth="1"/>
    <col min="9" max="9" width="8.85546875" customWidth="1"/>
    <col min="10" max="10" width="18.7109375" customWidth="1"/>
    <col min="11" max="11" width="15" bestFit="1" customWidth="1"/>
    <col min="12" max="12" width="16.28515625" bestFit="1" customWidth="1"/>
    <col min="13" max="13" width="13.7109375" bestFit="1" customWidth="1"/>
    <col min="14" max="14" width="13.85546875" bestFit="1" customWidth="1"/>
    <col min="15" max="15" width="19.7109375" bestFit="1" customWidth="1"/>
    <col min="16" max="16" width="13.28515625" bestFit="1" customWidth="1"/>
    <col min="17" max="17" width="17.28515625" bestFit="1" customWidth="1"/>
    <col min="18" max="18" width="18" bestFit="1" customWidth="1"/>
    <col min="19" max="19" width="13.28515625" bestFit="1" customWidth="1"/>
    <col min="20" max="20" width="15.28515625" style="39" bestFit="1" customWidth="1"/>
    <col min="21" max="21" width="21.140625" customWidth="1"/>
    <col min="22" max="22" width="16.140625" bestFit="1" customWidth="1"/>
    <col min="23" max="23" width="15.140625" style="27" customWidth="1"/>
    <col min="24" max="24" width="6.7109375" style="148" bestFit="1" customWidth="1"/>
    <col min="25" max="25" width="6" style="148" bestFit="1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7" t="s">
        <v>94</v>
      </c>
      <c r="B1" s="58"/>
    </row>
    <row r="2" spans="1:30" ht="14.45" x14ac:dyDescent="0.3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60" t="s">
        <v>0</v>
      </c>
      <c r="L2" s="60" t="s">
        <v>1</v>
      </c>
      <c r="M2" s="62" t="s">
        <v>2</v>
      </c>
      <c r="N2" s="62" t="s">
        <v>105</v>
      </c>
    </row>
    <row r="3" spans="1:30" ht="14.45" x14ac:dyDescent="0.3">
      <c r="A3" s="35">
        <v>0</v>
      </c>
      <c r="B3" s="4">
        <v>17</v>
      </c>
      <c r="C3" s="1">
        <v>1725</v>
      </c>
      <c r="D3" s="9">
        <f>C3</f>
        <v>1725</v>
      </c>
      <c r="E3" s="1">
        <v>2</v>
      </c>
      <c r="F3" s="1">
        <v>4</v>
      </c>
      <c r="G3" s="1">
        <v>10</v>
      </c>
      <c r="H3" s="1">
        <v>10</v>
      </c>
      <c r="I3" s="63">
        <f>D3*0.16*6.38^2/(E3*F3*G3*H3*M3)</f>
        <v>9.362012</v>
      </c>
      <c r="K3" s="63">
        <f t="shared" ref="K3:K15" si="0">E3/857*1000</f>
        <v>2.3337222870478409</v>
      </c>
      <c r="L3" s="63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4">
        <v>17</v>
      </c>
      <c r="C4" s="1">
        <v>390</v>
      </c>
      <c r="D4" s="9">
        <f>D3</f>
        <v>1725</v>
      </c>
      <c r="E4" s="1">
        <f>E3</f>
        <v>2</v>
      </c>
      <c r="F4" s="1">
        <f t="shared" ref="F4:G4" si="2">F3</f>
        <v>4</v>
      </c>
      <c r="G4" s="1">
        <f t="shared" si="2"/>
        <v>10</v>
      </c>
      <c r="H4" s="1">
        <f>H3</f>
        <v>10</v>
      </c>
      <c r="I4" s="63">
        <f>D4*0.16*6.38^2/(E4*F4*G4*H4*M4)</f>
        <v>9.362012</v>
      </c>
      <c r="K4" s="63">
        <f t="shared" si="0"/>
        <v>2.3337222870478409</v>
      </c>
      <c r="L4" s="63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4">
        <f>B4</f>
        <v>17</v>
      </c>
      <c r="C5" s="1">
        <v>2075</v>
      </c>
      <c r="D5" s="9">
        <f>IFERROR(C5*D4/C4,0)</f>
        <v>9177.8846153846152</v>
      </c>
      <c r="E5" s="1">
        <v>2</v>
      </c>
      <c r="F5" s="1">
        <v>4</v>
      </c>
      <c r="G5" s="1">
        <v>20</v>
      </c>
      <c r="H5" s="1">
        <v>30</v>
      </c>
      <c r="I5" s="63">
        <f t="shared" ref="I5:I15" si="3">D5*0.16*6.38^2/(E5*F5*G5*H5*M5)</f>
        <v>8.3017841452991448</v>
      </c>
      <c r="K5" s="63">
        <f t="shared" si="0"/>
        <v>2.3337222870478409</v>
      </c>
      <c r="L5" s="63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9.5</v>
      </c>
      <c r="B6" s="4">
        <v>26.5</v>
      </c>
      <c r="C6" s="1">
        <v>298</v>
      </c>
      <c r="D6" s="9">
        <f>D5</f>
        <v>9177.8846153846152</v>
      </c>
      <c r="E6" s="1">
        <f>E5</f>
        <v>2</v>
      </c>
      <c r="F6" s="1">
        <f t="shared" ref="F6:H6" si="5">F5</f>
        <v>4</v>
      </c>
      <c r="G6" s="1">
        <f t="shared" si="5"/>
        <v>20</v>
      </c>
      <c r="H6" s="1">
        <f t="shared" si="5"/>
        <v>30</v>
      </c>
      <c r="I6" s="63">
        <f>D6*0.16*6.38^2/(E6*F6*G6*H6*M6)</f>
        <v>8.3017841452991448</v>
      </c>
      <c r="K6" s="63">
        <f>E6/857*1000</f>
        <v>2.3337222870478409</v>
      </c>
      <c r="L6" s="63">
        <f>F6/130*1000</f>
        <v>30.76923076923077</v>
      </c>
      <c r="M6" s="38">
        <v>1.5</v>
      </c>
      <c r="N6" s="38"/>
      <c r="O6" s="60" t="s">
        <v>107</v>
      </c>
      <c r="P6" s="62">
        <v>5.2999999999999999E-2</v>
      </c>
      <c r="Q6" s="62">
        <v>0.05</v>
      </c>
      <c r="R6" s="62">
        <v>0.05</v>
      </c>
    </row>
    <row r="7" spans="1:30" ht="14.45" x14ac:dyDescent="0.3">
      <c r="A7" s="35">
        <f t="shared" si="4"/>
        <v>9.5</v>
      </c>
      <c r="B7" s="4">
        <v>26.5</v>
      </c>
      <c r="C7" s="1">
        <v>1840</v>
      </c>
      <c r="D7" s="9">
        <f>IFERROR(C7*D6/C6,0)</f>
        <v>56668.817759421785</v>
      </c>
      <c r="E7" s="1">
        <v>2</v>
      </c>
      <c r="F7" s="1">
        <v>4</v>
      </c>
      <c r="G7" s="1">
        <v>60</v>
      </c>
      <c r="H7" s="1">
        <v>60</v>
      </c>
      <c r="I7" s="63">
        <f t="shared" si="3"/>
        <v>8.543223057802253</v>
      </c>
      <c r="K7" s="63">
        <f>E7/857*1000</f>
        <v>2.3337222870478409</v>
      </c>
      <c r="L7" s="63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14</v>
      </c>
      <c r="B8" s="4">
        <v>31</v>
      </c>
      <c r="C8" s="1">
        <v>340</v>
      </c>
      <c r="D8" s="9">
        <f>D7</f>
        <v>56668.817759421785</v>
      </c>
      <c r="E8" s="1">
        <f>E7</f>
        <v>2</v>
      </c>
      <c r="F8" s="1">
        <f t="shared" ref="F8:H14" si="6">F7</f>
        <v>4</v>
      </c>
      <c r="G8" s="1">
        <f t="shared" si="6"/>
        <v>60</v>
      </c>
      <c r="H8" s="1">
        <f t="shared" si="6"/>
        <v>60</v>
      </c>
      <c r="I8" s="63">
        <f t="shared" si="3"/>
        <v>8.543223057802253</v>
      </c>
      <c r="K8" s="63">
        <f t="shared" si="0"/>
        <v>2.3337222870478409</v>
      </c>
      <c r="L8" s="63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14</v>
      </c>
      <c r="B9" s="4">
        <v>31</v>
      </c>
      <c r="C9" s="1">
        <v>1975</v>
      </c>
      <c r="D9" s="9">
        <f>IFERROR(C9*D8/C8,0)</f>
        <v>329179.16198487655</v>
      </c>
      <c r="E9" s="1">
        <v>2</v>
      </c>
      <c r="F9" s="1">
        <v>16</v>
      </c>
      <c r="G9" s="1">
        <v>60</v>
      </c>
      <c r="H9" s="1">
        <v>60</v>
      </c>
      <c r="I9" s="63">
        <f t="shared" si="3"/>
        <v>12.406518778793712</v>
      </c>
      <c r="K9" s="63">
        <f t="shared" si="0"/>
        <v>2.3337222870478409</v>
      </c>
      <c r="L9" s="63">
        <f t="shared" si="1"/>
        <v>123.07692307692308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19</v>
      </c>
      <c r="B10" s="4">
        <v>36</v>
      </c>
      <c r="C10" s="1">
        <v>385</v>
      </c>
      <c r="D10" s="9">
        <f>D9</f>
        <v>329179.16198487655</v>
      </c>
      <c r="E10" s="1">
        <f>E9</f>
        <v>2</v>
      </c>
      <c r="F10" s="1">
        <f t="shared" si="6"/>
        <v>16</v>
      </c>
      <c r="G10" s="1">
        <f t="shared" si="6"/>
        <v>60</v>
      </c>
      <c r="H10" s="1">
        <f t="shared" si="6"/>
        <v>60</v>
      </c>
      <c r="I10" s="63">
        <f t="shared" si="3"/>
        <v>12.406518778793712</v>
      </c>
      <c r="K10" s="63">
        <f t="shared" si="0"/>
        <v>2.3337222870478409</v>
      </c>
      <c r="L10" s="63">
        <f t="shared" si="1"/>
        <v>123.07692307692308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19</v>
      </c>
      <c r="B11" s="4">
        <v>36</v>
      </c>
      <c r="C11" s="1">
        <v>1700</v>
      </c>
      <c r="D11" s="9">
        <f>IFERROR(C11*D10/C10,0)</f>
        <v>1453518.3775955588</v>
      </c>
      <c r="E11" s="1">
        <v>4</v>
      </c>
      <c r="F11" s="1">
        <v>24</v>
      </c>
      <c r="G11" s="1">
        <v>60</v>
      </c>
      <c r="H11" s="1">
        <v>120</v>
      </c>
      <c r="I11" s="63">
        <f t="shared" si="3"/>
        <v>9.1303384952161526</v>
      </c>
      <c r="K11" s="63">
        <f t="shared" si="0"/>
        <v>4.6674445740956818</v>
      </c>
      <c r="L11" s="63">
        <f t="shared" si="1"/>
        <v>184.61538461538461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17</v>
      </c>
      <c r="B12" s="4">
        <v>34</v>
      </c>
      <c r="C12" s="1"/>
      <c r="D12" s="9">
        <f>D11</f>
        <v>1453518.3775955588</v>
      </c>
      <c r="E12" s="1">
        <f>E11</f>
        <v>4</v>
      </c>
      <c r="F12" s="1">
        <f t="shared" si="6"/>
        <v>24</v>
      </c>
      <c r="G12" s="1">
        <f t="shared" si="6"/>
        <v>60</v>
      </c>
      <c r="H12" s="1">
        <f t="shared" si="6"/>
        <v>120</v>
      </c>
      <c r="I12" s="63">
        <f t="shared" si="3"/>
        <v>9.1303384952161526</v>
      </c>
      <c r="K12" s="63">
        <f t="shared" si="0"/>
        <v>4.6674445740956818</v>
      </c>
      <c r="L12" s="63">
        <f t="shared" si="1"/>
        <v>184.61538461538461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17</v>
      </c>
      <c r="B13" s="4">
        <v>34</v>
      </c>
      <c r="C13" s="1"/>
      <c r="D13" s="9">
        <f>IFERROR(C13*D12/C12,0)</f>
        <v>0</v>
      </c>
      <c r="E13" s="1">
        <v>1</v>
      </c>
      <c r="F13" s="1">
        <v>10</v>
      </c>
      <c r="G13" s="1">
        <v>100</v>
      </c>
      <c r="H13" s="1">
        <v>100</v>
      </c>
      <c r="I13" s="63">
        <f t="shared" si="3"/>
        <v>0</v>
      </c>
      <c r="K13" s="63">
        <f t="shared" si="0"/>
        <v>1.1668611435239205</v>
      </c>
      <c r="L13" s="63">
        <f t="shared" si="1"/>
        <v>76.923076923076934</v>
      </c>
      <c r="M13" s="38">
        <v>1.5</v>
      </c>
      <c r="N13" s="38" t="s">
        <v>114</v>
      </c>
    </row>
    <row r="14" spans="1:30" thickBot="1" x14ac:dyDescent="0.35">
      <c r="A14" s="35">
        <f t="shared" si="4"/>
        <v>17.5</v>
      </c>
      <c r="B14" s="4">
        <v>34.5</v>
      </c>
      <c r="C14" s="1"/>
      <c r="D14" s="9">
        <f>D13</f>
        <v>0</v>
      </c>
      <c r="E14" s="1">
        <f>E13</f>
        <v>1</v>
      </c>
      <c r="F14" s="1">
        <f t="shared" si="6"/>
        <v>10</v>
      </c>
      <c r="G14" s="1">
        <f t="shared" si="6"/>
        <v>100</v>
      </c>
      <c r="H14" s="1">
        <f t="shared" si="6"/>
        <v>100</v>
      </c>
      <c r="I14" s="63">
        <f t="shared" si="3"/>
        <v>0</v>
      </c>
      <c r="K14" s="63">
        <f t="shared" si="0"/>
        <v>1.1668611435239205</v>
      </c>
      <c r="L14" s="63">
        <f t="shared" si="1"/>
        <v>76.923076923076934</v>
      </c>
      <c r="M14" s="38">
        <v>1.5</v>
      </c>
      <c r="N14" s="38"/>
      <c r="O14" s="64" t="s">
        <v>115</v>
      </c>
    </row>
    <row r="15" spans="1:30" thickBot="1" x14ac:dyDescent="0.35">
      <c r="A15" s="35">
        <f t="shared" si="4"/>
        <v>17.5</v>
      </c>
      <c r="B15" s="5">
        <v>34.5</v>
      </c>
      <c r="C15" s="6"/>
      <c r="D15" s="11">
        <f>IFERROR(C15*D14/C14,0)</f>
        <v>0</v>
      </c>
      <c r="E15" s="6">
        <v>4</v>
      </c>
      <c r="F15" s="6">
        <v>30</v>
      </c>
      <c r="G15" s="6">
        <v>100</v>
      </c>
      <c r="H15" s="6">
        <v>120</v>
      </c>
      <c r="I15" s="65">
        <f t="shared" si="3"/>
        <v>0</v>
      </c>
      <c r="J15" s="46"/>
      <c r="K15" s="65">
        <f t="shared" si="0"/>
        <v>4.6674445740956818</v>
      </c>
      <c r="L15" s="65">
        <f t="shared" si="1"/>
        <v>230.76923076923077</v>
      </c>
      <c r="M15" s="47">
        <v>1.5</v>
      </c>
      <c r="N15" s="47" t="s">
        <v>116</v>
      </c>
      <c r="O15" s="59"/>
      <c r="P15" s="66" t="s">
        <v>117</v>
      </c>
      <c r="Q15" s="67" t="s">
        <v>118</v>
      </c>
      <c r="R15" s="68" t="s">
        <v>119</v>
      </c>
      <c r="S15" s="68" t="s">
        <v>120</v>
      </c>
      <c r="T15" s="141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70"/>
      <c r="R16" s="70"/>
      <c r="S16" s="70"/>
      <c r="T16" s="142">
        <f>4.95+0.5</f>
        <v>5.45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70"/>
      <c r="R17" s="70"/>
      <c r="S17" s="70"/>
      <c r="T17" s="142">
        <f>2.85+0.5</f>
        <v>3.35</v>
      </c>
      <c r="AA17" s="40"/>
      <c r="AB17" s="39"/>
      <c r="AD17"/>
    </row>
    <row r="18" spans="1:31" thickBot="1" x14ac:dyDescent="0.35">
      <c r="A18" s="59" t="s">
        <v>124</v>
      </c>
      <c r="B18" s="60" t="s">
        <v>125</v>
      </c>
      <c r="C18" s="60" t="s">
        <v>126</v>
      </c>
      <c r="D18" s="61" t="s">
        <v>127</v>
      </c>
      <c r="E18" s="60" t="s">
        <v>128</v>
      </c>
      <c r="F18" s="60" t="s">
        <v>129</v>
      </c>
      <c r="G18" s="60" t="s">
        <v>130</v>
      </c>
      <c r="H18" s="60" t="s">
        <v>3</v>
      </c>
      <c r="I18" s="61" t="s">
        <v>4</v>
      </c>
      <c r="J18" s="60" t="s">
        <v>5</v>
      </c>
      <c r="K18" s="60" t="s">
        <v>131</v>
      </c>
      <c r="L18" s="61" t="s">
        <v>132</v>
      </c>
      <c r="O18" s="45" t="s">
        <v>133</v>
      </c>
      <c r="P18" s="46">
        <f>-7.5</f>
        <v>-7.5</v>
      </c>
      <c r="Q18" s="72"/>
      <c r="R18" s="72"/>
      <c r="S18" s="72"/>
      <c r="T18" s="143">
        <f>P18+0.537</f>
        <v>-6.9630000000000001</v>
      </c>
      <c r="AA18" s="40"/>
      <c r="AB18" s="39"/>
      <c r="AD18"/>
    </row>
    <row r="19" spans="1:31" thickBot="1" x14ac:dyDescent="0.35">
      <c r="A19" s="70">
        <f t="shared" ref="A19" si="7">B19*C19</f>
        <v>9.7656249999999996E-10</v>
      </c>
      <c r="B19" s="70">
        <f>0.016/512</f>
        <v>3.1250000000000001E-5</v>
      </c>
      <c r="C19" s="70">
        <f>0.016/512</f>
        <v>3.1250000000000001E-5</v>
      </c>
      <c r="D19" s="70">
        <v>300</v>
      </c>
      <c r="E19" s="74">
        <f>D11</f>
        <v>1453518.3775955588</v>
      </c>
      <c r="F19" s="75">
        <f t="shared" ref="F19" si="8">E19*0.00000000016</f>
        <v>2.3256294041528938E-4</v>
      </c>
      <c r="G19" s="75">
        <f t="shared" ref="G19" si="9">D19*A19/F19</f>
        <v>1.2597396192052072E-3</v>
      </c>
      <c r="H19" s="76">
        <f t="shared" ref="H19" si="10">1/G19</f>
        <v>793.81483661752122</v>
      </c>
      <c r="I19" s="70">
        <v>262144</v>
      </c>
      <c r="J19" s="70">
        <v>511</v>
      </c>
      <c r="K19" s="70">
        <f>J19+I19</f>
        <v>262655</v>
      </c>
      <c r="L19" s="76">
        <f t="shared" ref="L19" si="11">K19*G19</f>
        <v>330.87690968234369</v>
      </c>
      <c r="M19" s="3" t="s">
        <v>134</v>
      </c>
    </row>
    <row r="20" spans="1:31" thickBot="1" x14ac:dyDescent="0.35">
      <c r="A20" s="70"/>
      <c r="B20" s="70"/>
      <c r="C20" s="70"/>
      <c r="D20" s="70"/>
      <c r="E20" s="74"/>
      <c r="F20" s="70"/>
      <c r="G20" s="70"/>
      <c r="H20" s="76"/>
      <c r="I20" s="70"/>
      <c r="J20" s="70"/>
      <c r="K20" s="70"/>
      <c r="L20" s="76"/>
      <c r="N20" s="41" t="s">
        <v>61</v>
      </c>
      <c r="O20" s="42"/>
      <c r="P20" s="43"/>
      <c r="AB20"/>
      <c r="AC20"/>
      <c r="AD20"/>
    </row>
    <row r="21" spans="1:31" thickTop="1" x14ac:dyDescent="0.3">
      <c r="A21" s="70"/>
      <c r="B21" s="70"/>
      <c r="C21" s="70"/>
      <c r="D21" s="70"/>
      <c r="E21" s="74"/>
      <c r="F21" s="70"/>
      <c r="G21" s="70"/>
      <c r="H21" s="76"/>
      <c r="I21" s="70"/>
      <c r="J21" s="70"/>
      <c r="K21" s="70"/>
      <c r="L21" s="76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70"/>
      <c r="B22" s="70"/>
      <c r="C22" s="70"/>
      <c r="D22" s="70"/>
      <c r="E22" s="74"/>
      <c r="F22" s="70"/>
      <c r="G22" s="70"/>
      <c r="H22" s="76"/>
      <c r="I22" s="70"/>
      <c r="J22" s="70"/>
      <c r="K22" s="70"/>
      <c r="L22" s="76"/>
      <c r="N22" s="35" t="s">
        <v>64</v>
      </c>
      <c r="O22">
        <v>14.9</v>
      </c>
      <c r="P22" s="38">
        <v>15.85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thickBot="1" x14ac:dyDescent="0.35">
      <c r="D23"/>
      <c r="L23" s="40"/>
      <c r="N23" s="45" t="s">
        <v>65</v>
      </c>
      <c r="O23" s="46">
        <v>0.04</v>
      </c>
      <c r="P23" s="47">
        <v>0.2</v>
      </c>
      <c r="AB23"/>
      <c r="AC23"/>
      <c r="AD23"/>
    </row>
    <row r="24" spans="1:31" ht="14.45" x14ac:dyDescent="0.3">
      <c r="H24" t="s">
        <v>135</v>
      </c>
      <c r="I24" t="s">
        <v>69</v>
      </c>
      <c r="L24" s="40"/>
    </row>
    <row r="25" spans="1:31" ht="14.45" x14ac:dyDescent="0.3">
      <c r="A25" s="26" t="s">
        <v>136</v>
      </c>
      <c r="C25" t="s">
        <v>137</v>
      </c>
      <c r="D25" s="27" t="s">
        <v>138</v>
      </c>
      <c r="H25" s="27">
        <f>MAX(D3:D15)*1.6E-19</f>
        <v>2.3256294041528937E-13</v>
      </c>
      <c r="I25" s="77">
        <f>H25*1000000000</f>
        <v>2.3256294041528938E-4</v>
      </c>
      <c r="J25" s="27">
        <f>I25*2</f>
        <v>4.6512588083057877E-4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AB26"/>
      <c r="AC26"/>
      <c r="AD26"/>
    </row>
    <row r="27" spans="1:31" thickBot="1" x14ac:dyDescent="0.35">
      <c r="A27" s="26" t="s">
        <v>139</v>
      </c>
      <c r="D27" s="27" t="s">
        <v>140</v>
      </c>
      <c r="AB27"/>
      <c r="AC27"/>
      <c r="AD27"/>
    </row>
    <row r="28" spans="1:31" thickBot="1" x14ac:dyDescent="0.35">
      <c r="A28" s="28"/>
      <c r="B28" s="28" t="s">
        <v>47</v>
      </c>
      <c r="C28" s="29" t="s">
        <v>48</v>
      </c>
      <c r="D28" s="30" t="s">
        <v>49</v>
      </c>
      <c r="E28" s="30" t="s">
        <v>50</v>
      </c>
      <c r="F28" s="30" t="s">
        <v>51</v>
      </c>
      <c r="G28" s="30" t="s">
        <v>3</v>
      </c>
      <c r="H28" s="31" t="s">
        <v>52</v>
      </c>
      <c r="I28" s="32" t="s">
        <v>53</v>
      </c>
      <c r="J28" s="33" t="s">
        <v>54</v>
      </c>
      <c r="K28" s="32" t="s">
        <v>55</v>
      </c>
      <c r="L28" s="32" t="s">
        <v>56</v>
      </c>
      <c r="M28" s="32" t="s">
        <v>57</v>
      </c>
      <c r="N28" s="140" t="s">
        <v>163</v>
      </c>
      <c r="O28" s="32" t="s">
        <v>160</v>
      </c>
      <c r="P28" s="139" t="s">
        <v>161</v>
      </c>
      <c r="Q28" s="27" t="s">
        <v>141</v>
      </c>
      <c r="R28" s="27" t="s">
        <v>142</v>
      </c>
      <c r="S28" s="27" t="s">
        <v>143</v>
      </c>
      <c r="T28" s="39" t="s">
        <v>162</v>
      </c>
      <c r="U28" s="1" t="s">
        <v>156</v>
      </c>
      <c r="V28" t="s">
        <v>162</v>
      </c>
      <c r="W28" s="27" t="s">
        <v>156</v>
      </c>
      <c r="AB28"/>
      <c r="AC28"/>
      <c r="AD28"/>
    </row>
    <row r="29" spans="1:31" thickTop="1" x14ac:dyDescent="0.3">
      <c r="A29" s="35">
        <v>1</v>
      </c>
      <c r="B29" s="35">
        <v>0</v>
      </c>
      <c r="C29" s="36">
        <f>$T$16</f>
        <v>5.45</v>
      </c>
      <c r="D29" s="36">
        <f>$T$17</f>
        <v>3.35</v>
      </c>
      <c r="E29" s="37">
        <f>P29</f>
        <v>7.7520980138429785E-2</v>
      </c>
      <c r="F29">
        <f t="shared" ref="F29:F88" si="12">IF($B29,$C29,$D29)+$K29-IF($B29,$O$23/1000,$P$23/1000)</f>
        <v>3.3698000000000001</v>
      </c>
      <c r="G29">
        <v>50000</v>
      </c>
      <c r="H29" s="38">
        <f>(I29-IF(B29,$P$23,$O$23))/(IF(B29,$P$22,$O$22)-IF(B29,$P$23,$O$23))*10</f>
        <v>0.10767160161507403</v>
      </c>
      <c r="I29" s="39">
        <v>0.2</v>
      </c>
      <c r="J29" s="79">
        <v>30</v>
      </c>
      <c r="K29">
        <v>0.02</v>
      </c>
      <c r="L29">
        <f>I29*0.001*K29</f>
        <v>4.0000000000000007E-6</v>
      </c>
      <c r="M29">
        <f>L29*J29*(0.000000001)/(1.6E-19)</f>
        <v>750000.00000000012</v>
      </c>
      <c r="N29" s="27">
        <f>MAX($D$3:$D$15)*2</f>
        <v>2907036.7551911175</v>
      </c>
      <c r="O29" s="40">
        <f>M29/N29</f>
        <v>0.25799467401322651</v>
      </c>
      <c r="P29" s="37">
        <f>K29/O29</f>
        <v>7.7520980138429785E-2</v>
      </c>
      <c r="Q29">
        <v>150</v>
      </c>
      <c r="R29" s="40">
        <f>SUM(O29:O188)</f>
        <v>994.48347009631755</v>
      </c>
      <c r="S29">
        <f>R29/60</f>
        <v>16.574724501605292</v>
      </c>
      <c r="T29" s="39">
        <f>P29*1000</f>
        <v>77.520980138429792</v>
      </c>
      <c r="U29" s="144">
        <f>N29/T29</f>
        <v>37500.000000000007</v>
      </c>
      <c r="V29" s="39">
        <v>77.520980138429792</v>
      </c>
      <c r="W29" s="149">
        <v>37500.000000000007</v>
      </c>
      <c r="X29" s="148">
        <f>T29-V29</f>
        <v>0</v>
      </c>
      <c r="Y29" s="148">
        <f>U29-W29</f>
        <v>0</v>
      </c>
      <c r="AB29"/>
      <c r="AC29"/>
      <c r="AD29"/>
    </row>
    <row r="30" spans="1:31" ht="14.45" x14ac:dyDescent="0.3">
      <c r="A30" s="35">
        <f t="shared" ref="A30:A31" si="13">A29+1</f>
        <v>2</v>
      </c>
      <c r="B30" s="35">
        <v>0</v>
      </c>
      <c r="C30" s="36">
        <f>C29+0.001</f>
        <v>5.4510000000000005</v>
      </c>
      <c r="D30" s="36">
        <f>D29</f>
        <v>3.35</v>
      </c>
      <c r="E30" s="37">
        <f t="shared" ref="E30" si="14">P30</f>
        <v>3.8760490069214892E-2</v>
      </c>
      <c r="F30">
        <f t="shared" si="12"/>
        <v>3.3698000000000001</v>
      </c>
      <c r="G30">
        <v>50000</v>
      </c>
      <c r="H30" s="38">
        <f t="shared" ref="H30:H58" si="15">(I30-IF(B30,$P$23,$O$23))/(IF(B30,$P$22,$O$22)-IF(B30,$P$23,$O$23))*10</f>
        <v>0.10767160161507403</v>
      </c>
      <c r="I30" s="39">
        <v>0.2</v>
      </c>
      <c r="J30" s="79">
        <f>300/5</f>
        <v>60</v>
      </c>
      <c r="K30">
        <v>0.02</v>
      </c>
      <c r="L30">
        <f t="shared" ref="L30" si="16">I30*0.001*K30</f>
        <v>4.0000000000000007E-6</v>
      </c>
      <c r="M30">
        <f t="shared" ref="M30" si="17">L30*J30*(0.000000001)/(1.6E-19)</f>
        <v>1500000.0000000002</v>
      </c>
      <c r="N30" s="27">
        <f>N29</f>
        <v>2907036.7551911175</v>
      </c>
      <c r="O30" s="40">
        <f t="shared" ref="O30" si="18">M30/N30</f>
        <v>0.51598934802645302</v>
      </c>
      <c r="P30" s="37">
        <f t="shared" ref="P30" si="19">K30/O30</f>
        <v>3.8760490069214892E-2</v>
      </c>
      <c r="Q30">
        <v>300</v>
      </c>
      <c r="T30" s="39">
        <f t="shared" ref="T30:T93" si="20">P30*1000</f>
        <v>38.760490069214896</v>
      </c>
      <c r="U30" s="144">
        <f t="shared" ref="U30:U93" si="21">N30/T30</f>
        <v>75000.000000000015</v>
      </c>
      <c r="V30" s="39">
        <v>38.760490069214896</v>
      </c>
      <c r="W30" s="149">
        <v>75000.000000000015</v>
      </c>
      <c r="X30" s="148">
        <f t="shared" ref="X30:X93" si="22">T30-V30</f>
        <v>0</v>
      </c>
      <c r="Y30" s="148">
        <f t="shared" ref="Y30:Y93" si="23">U30-W30</f>
        <v>0</v>
      </c>
      <c r="AB30"/>
      <c r="AC30"/>
      <c r="AD30"/>
    </row>
    <row r="31" spans="1:31" ht="14.45" x14ac:dyDescent="0.3">
      <c r="A31" s="35">
        <f t="shared" si="13"/>
        <v>3</v>
      </c>
      <c r="B31" s="35">
        <v>0</v>
      </c>
      <c r="C31" s="36">
        <f t="shared" ref="C31:C88" si="24">C30+0.001</f>
        <v>5.4520000000000008</v>
      </c>
      <c r="D31" s="36">
        <f t="shared" ref="D31:D88" si="25">D30</f>
        <v>3.35</v>
      </c>
      <c r="E31" s="37">
        <f>P31</f>
        <v>2.5840326712809929E-2</v>
      </c>
      <c r="F31">
        <f t="shared" si="12"/>
        <v>3.3698000000000001</v>
      </c>
      <c r="G31">
        <v>50000</v>
      </c>
      <c r="H31" s="38">
        <f t="shared" si="15"/>
        <v>0.10767160161507403</v>
      </c>
      <c r="I31" s="39">
        <v>0.2</v>
      </c>
      <c r="J31" s="79">
        <v>90</v>
      </c>
      <c r="K31">
        <v>0.02</v>
      </c>
      <c r="L31">
        <f>I31*0.001*K31</f>
        <v>4.0000000000000007E-6</v>
      </c>
      <c r="M31">
        <f>L31*J31*(0.000000001)/(1.6E-19)</f>
        <v>2250000.0000000005</v>
      </c>
      <c r="N31" s="27">
        <f>N30</f>
        <v>2907036.7551911175</v>
      </c>
      <c r="O31" s="40">
        <f>M31/N31</f>
        <v>0.77398402203967953</v>
      </c>
      <c r="P31" s="37">
        <f>K31/O31</f>
        <v>2.5840326712809929E-2</v>
      </c>
      <c r="Q31">
        <v>450</v>
      </c>
      <c r="R31" s="40"/>
      <c r="T31" s="39">
        <f t="shared" si="20"/>
        <v>25.840326712809929</v>
      </c>
      <c r="U31" s="144">
        <f t="shared" si="21"/>
        <v>112500.00000000001</v>
      </c>
      <c r="V31" s="39">
        <v>25.840326712809929</v>
      </c>
      <c r="W31" s="149">
        <v>112500.00000000001</v>
      </c>
      <c r="X31" s="148">
        <f t="shared" si="22"/>
        <v>0</v>
      </c>
      <c r="Y31" s="148">
        <f t="shared" si="23"/>
        <v>0</v>
      </c>
      <c r="AB31"/>
      <c r="AC31"/>
      <c r="AD31"/>
    </row>
    <row r="32" spans="1:31" ht="14.45" x14ac:dyDescent="0.3">
      <c r="A32" s="35">
        <f>A31+1</f>
        <v>4</v>
      </c>
      <c r="B32" s="35">
        <v>0</v>
      </c>
      <c r="C32" s="36">
        <f t="shared" si="24"/>
        <v>5.4530000000000012</v>
      </c>
      <c r="D32" s="36">
        <f t="shared" si="25"/>
        <v>3.35</v>
      </c>
      <c r="E32" s="37">
        <f t="shared" ref="E32:E33" si="26">P32</f>
        <v>1.9380245034607446E-2</v>
      </c>
      <c r="F32">
        <f t="shared" si="12"/>
        <v>3.3698000000000001</v>
      </c>
      <c r="G32">
        <v>50000</v>
      </c>
      <c r="H32" s="38">
        <f t="shared" si="15"/>
        <v>0.10767160161507403</v>
      </c>
      <c r="I32" s="39">
        <v>0.2</v>
      </c>
      <c r="J32" s="80">
        <v>120</v>
      </c>
      <c r="K32">
        <v>0.02</v>
      </c>
      <c r="L32">
        <f t="shared" ref="L32:L33" si="27">I32*0.001*K32</f>
        <v>4.0000000000000007E-6</v>
      </c>
      <c r="M32">
        <f t="shared" ref="M32:M33" si="28">L32*J32*(0.000000001)/(1.6E-19)</f>
        <v>3000000.0000000005</v>
      </c>
      <c r="N32" s="27">
        <f>N31</f>
        <v>2907036.7551911175</v>
      </c>
      <c r="O32" s="40">
        <f t="shared" ref="O32:O33" si="29">M32/N32</f>
        <v>1.031978696052906</v>
      </c>
      <c r="P32" s="37">
        <f t="shared" ref="P32:P33" si="30">K32/O32</f>
        <v>1.9380245034607446E-2</v>
      </c>
      <c r="Q32">
        <v>600</v>
      </c>
      <c r="T32" s="39">
        <f t="shared" si="20"/>
        <v>19.380245034607448</v>
      </c>
      <c r="U32" s="145">
        <f t="shared" si="21"/>
        <v>150000.00000000003</v>
      </c>
      <c r="V32" s="39">
        <v>19.380245034607448</v>
      </c>
      <c r="W32" s="149">
        <v>150000.00000000003</v>
      </c>
      <c r="X32" s="148">
        <f t="shared" si="22"/>
        <v>0</v>
      </c>
      <c r="Y32" s="148">
        <f t="shared" si="23"/>
        <v>0</v>
      </c>
      <c r="AB32"/>
      <c r="AC32"/>
      <c r="AD32"/>
    </row>
    <row r="33" spans="1:30" ht="14.45" x14ac:dyDescent="0.3">
      <c r="A33" s="35">
        <f t="shared" ref="A33:A36" si="31">A32+1</f>
        <v>5</v>
      </c>
      <c r="B33" s="35">
        <v>0</v>
      </c>
      <c r="C33" s="36">
        <f t="shared" si="24"/>
        <v>5.4540000000000015</v>
      </c>
      <c r="D33" s="36">
        <f t="shared" si="25"/>
        <v>3.35</v>
      </c>
      <c r="E33" s="37">
        <f t="shared" si="26"/>
        <v>1.5504196027685959E-2</v>
      </c>
      <c r="F33">
        <f t="shared" si="12"/>
        <v>3.3698000000000001</v>
      </c>
      <c r="G33">
        <v>50000</v>
      </c>
      <c r="H33" s="38">
        <f t="shared" si="15"/>
        <v>0.10767160161507403</v>
      </c>
      <c r="I33" s="39">
        <v>0.2</v>
      </c>
      <c r="J33" s="80">
        <v>150</v>
      </c>
      <c r="K33">
        <v>0.02</v>
      </c>
      <c r="L33">
        <f t="shared" si="27"/>
        <v>4.0000000000000007E-6</v>
      </c>
      <c r="M33">
        <f t="shared" si="28"/>
        <v>3750000.0000000005</v>
      </c>
      <c r="N33" s="27">
        <f t="shared" ref="N33:N34" si="32">N32</f>
        <v>2907036.7551911175</v>
      </c>
      <c r="O33" s="40">
        <f t="shared" si="29"/>
        <v>1.2899733700661324</v>
      </c>
      <c r="P33" s="37">
        <f t="shared" si="30"/>
        <v>1.5504196027685959E-2</v>
      </c>
      <c r="Q33">
        <v>750</v>
      </c>
      <c r="R33" s="40"/>
      <c r="T33" s="39">
        <f t="shared" si="20"/>
        <v>15.504196027685959</v>
      </c>
      <c r="U33" s="145">
        <f t="shared" si="21"/>
        <v>187500.00000000003</v>
      </c>
      <c r="V33" s="39">
        <v>15.504196027685959</v>
      </c>
      <c r="W33" s="149">
        <v>187500.00000000003</v>
      </c>
      <c r="X33" s="148">
        <f t="shared" si="22"/>
        <v>0</v>
      </c>
      <c r="Y33" s="148">
        <f t="shared" si="23"/>
        <v>0</v>
      </c>
      <c r="AB33"/>
      <c r="AC33"/>
      <c r="AD33"/>
    </row>
    <row r="34" spans="1:30" ht="14.45" x14ac:dyDescent="0.3">
      <c r="A34" s="35">
        <f t="shared" si="31"/>
        <v>6</v>
      </c>
      <c r="B34" s="35">
        <v>0</v>
      </c>
      <c r="C34" s="36">
        <f t="shared" si="24"/>
        <v>5.4550000000000018</v>
      </c>
      <c r="D34" s="36">
        <f t="shared" si="25"/>
        <v>3.35</v>
      </c>
      <c r="E34" s="37">
        <f>P34</f>
        <v>1.2920163356404965E-2</v>
      </c>
      <c r="F34">
        <f t="shared" si="12"/>
        <v>3.3698000000000001</v>
      </c>
      <c r="G34">
        <v>50000</v>
      </c>
      <c r="H34" s="38">
        <f t="shared" si="15"/>
        <v>0.10767160161507403</v>
      </c>
      <c r="I34" s="39">
        <v>0.2</v>
      </c>
      <c r="J34" s="80">
        <v>180</v>
      </c>
      <c r="K34">
        <v>0.02</v>
      </c>
      <c r="L34">
        <f>I34*0.001*K34</f>
        <v>4.0000000000000007E-6</v>
      </c>
      <c r="M34">
        <f>L34*J34*(0.000000001)/(1.6E-19)</f>
        <v>4500000.0000000009</v>
      </c>
      <c r="N34" s="27">
        <f t="shared" si="32"/>
        <v>2907036.7551911175</v>
      </c>
      <c r="O34" s="40">
        <f>M34/N34</f>
        <v>1.5479680440793591</v>
      </c>
      <c r="P34" s="37">
        <f>K34/O34</f>
        <v>1.2920163356404965E-2</v>
      </c>
      <c r="Q34">
        <v>900</v>
      </c>
      <c r="R34" s="40"/>
      <c r="T34" s="39">
        <f t="shared" si="20"/>
        <v>12.920163356404965</v>
      </c>
      <c r="U34" s="145">
        <f t="shared" si="21"/>
        <v>225000.00000000003</v>
      </c>
      <c r="V34" s="39">
        <v>12.920163356404965</v>
      </c>
      <c r="W34" s="149">
        <v>225000.00000000003</v>
      </c>
      <c r="X34" s="148">
        <f t="shared" si="22"/>
        <v>0</v>
      </c>
      <c r="Y34" s="148">
        <f t="shared" si="23"/>
        <v>0</v>
      </c>
      <c r="AB34"/>
      <c r="AC34"/>
      <c r="AD34"/>
    </row>
    <row r="35" spans="1:30" ht="14.45" x14ac:dyDescent="0.3">
      <c r="A35" s="35">
        <f t="shared" si="31"/>
        <v>7</v>
      </c>
      <c r="B35" s="35">
        <v>0</v>
      </c>
      <c r="C35" s="36">
        <f t="shared" si="24"/>
        <v>5.4560000000000022</v>
      </c>
      <c r="D35" s="36">
        <f t="shared" si="25"/>
        <v>3.35</v>
      </c>
      <c r="E35" s="37">
        <f t="shared" ref="E35" si="33">P35</f>
        <v>1.1074425734061397E-2</v>
      </c>
      <c r="F35">
        <f t="shared" si="12"/>
        <v>3.3698000000000001</v>
      </c>
      <c r="G35">
        <v>50000</v>
      </c>
      <c r="H35" s="38">
        <f t="shared" si="15"/>
        <v>0.10767160161507403</v>
      </c>
      <c r="I35" s="39">
        <v>0.2</v>
      </c>
      <c r="J35" s="80">
        <v>210</v>
      </c>
      <c r="K35">
        <v>0.02</v>
      </c>
      <c r="L35">
        <f t="shared" ref="L35" si="34">I35*0.001*K35</f>
        <v>4.0000000000000007E-6</v>
      </c>
      <c r="M35">
        <f t="shared" ref="M35" si="35">L35*J35*(0.000000001)/(1.6E-19)</f>
        <v>5250000.0000000009</v>
      </c>
      <c r="N35" s="27">
        <f>N34</f>
        <v>2907036.7551911175</v>
      </c>
      <c r="O35" s="40">
        <f t="shared" ref="O35" si="36">M35/N35</f>
        <v>1.8059627180925857</v>
      </c>
      <c r="P35" s="37">
        <f t="shared" ref="P35" si="37">K35/O35</f>
        <v>1.1074425734061397E-2</v>
      </c>
      <c r="Q35">
        <v>1050</v>
      </c>
      <c r="T35" s="39">
        <f t="shared" si="20"/>
        <v>11.074425734061398</v>
      </c>
      <c r="U35" s="145">
        <f t="shared" si="21"/>
        <v>262500.00000000006</v>
      </c>
      <c r="V35" s="39">
        <v>11.074425734061398</v>
      </c>
      <c r="W35" s="149">
        <v>262500.00000000006</v>
      </c>
      <c r="X35" s="148">
        <f t="shared" si="22"/>
        <v>0</v>
      </c>
      <c r="Y35" s="148">
        <f t="shared" si="23"/>
        <v>0</v>
      </c>
      <c r="AB35"/>
      <c r="AC35"/>
      <c r="AD35"/>
    </row>
    <row r="36" spans="1:30" ht="14.45" x14ac:dyDescent="0.3">
      <c r="A36" s="35">
        <f t="shared" si="31"/>
        <v>8</v>
      </c>
      <c r="B36" s="35">
        <v>0</v>
      </c>
      <c r="C36" s="36">
        <f t="shared" si="24"/>
        <v>5.4570000000000025</v>
      </c>
      <c r="D36" s="36">
        <f t="shared" si="25"/>
        <v>3.35</v>
      </c>
      <c r="E36" s="37">
        <f>P36</f>
        <v>9.6901225173037231E-3</v>
      </c>
      <c r="F36">
        <f t="shared" si="12"/>
        <v>3.3698000000000001</v>
      </c>
      <c r="G36">
        <v>50000</v>
      </c>
      <c r="H36" s="38">
        <f t="shared" si="15"/>
        <v>0.10767160161507403</v>
      </c>
      <c r="I36" s="39">
        <v>0.2</v>
      </c>
      <c r="J36" s="81">
        <v>240</v>
      </c>
      <c r="K36">
        <v>0.02</v>
      </c>
      <c r="L36">
        <f>I36*0.001*K36</f>
        <v>4.0000000000000007E-6</v>
      </c>
      <c r="M36">
        <f>L36*J36*(0.000000001)/(1.6E-19)</f>
        <v>6000000.0000000009</v>
      </c>
      <c r="N36" s="27">
        <f>N35</f>
        <v>2907036.7551911175</v>
      </c>
      <c r="O36" s="40">
        <f>M36/N36</f>
        <v>2.0639573921058121</v>
      </c>
      <c r="P36" s="37">
        <f>K36/O36</f>
        <v>9.6901225173037231E-3</v>
      </c>
      <c r="Q36">
        <v>1200</v>
      </c>
      <c r="R36" s="40"/>
      <c r="T36" s="39">
        <f t="shared" si="20"/>
        <v>9.690122517303724</v>
      </c>
      <c r="U36" s="146">
        <f t="shared" si="21"/>
        <v>300000.00000000006</v>
      </c>
      <c r="V36" s="39">
        <v>9.690122517303724</v>
      </c>
      <c r="W36" s="149">
        <v>300000.00000000006</v>
      </c>
      <c r="X36" s="148">
        <f t="shared" si="22"/>
        <v>0</v>
      </c>
      <c r="Y36" s="148">
        <f t="shared" si="23"/>
        <v>0</v>
      </c>
      <c r="AB36"/>
      <c r="AC36"/>
      <c r="AD36"/>
    </row>
    <row r="37" spans="1:30" ht="14.45" x14ac:dyDescent="0.3">
      <c r="A37" s="35">
        <f>A36+1</f>
        <v>9</v>
      </c>
      <c r="B37" s="35">
        <v>0</v>
      </c>
      <c r="C37" s="36">
        <f t="shared" si="24"/>
        <v>5.4580000000000028</v>
      </c>
      <c r="D37" s="36">
        <f t="shared" si="25"/>
        <v>3.35</v>
      </c>
      <c r="E37" s="37">
        <f t="shared" ref="E37:E38" si="38">P37</f>
        <v>8.6134422376033092E-3</v>
      </c>
      <c r="F37">
        <f t="shared" si="12"/>
        <v>3.3698000000000001</v>
      </c>
      <c r="G37">
        <v>50000</v>
      </c>
      <c r="H37" s="38">
        <f t="shared" si="15"/>
        <v>0.10767160161507403</v>
      </c>
      <c r="I37" s="39">
        <v>0.2</v>
      </c>
      <c r="J37" s="81">
        <v>270</v>
      </c>
      <c r="K37">
        <v>0.02</v>
      </c>
      <c r="L37">
        <f t="shared" ref="L37:L38" si="39">I37*0.001*K37</f>
        <v>4.0000000000000007E-6</v>
      </c>
      <c r="M37">
        <f t="shared" ref="M37:M38" si="40">L37*J37*(0.000000001)/(1.6E-19)</f>
        <v>6750000.0000000019</v>
      </c>
      <c r="N37" s="27">
        <f>N36</f>
        <v>2907036.7551911175</v>
      </c>
      <c r="O37" s="40">
        <f t="shared" ref="O37:O38" si="41">M37/N37</f>
        <v>2.3219520661190387</v>
      </c>
      <c r="P37" s="37">
        <f t="shared" ref="P37:P38" si="42">K37/O37</f>
        <v>8.6134422376033092E-3</v>
      </c>
      <c r="Q37">
        <v>1350</v>
      </c>
      <c r="T37" s="39">
        <f t="shared" si="20"/>
        <v>8.6134422376033086</v>
      </c>
      <c r="U37" s="146">
        <f t="shared" si="21"/>
        <v>337500.00000000012</v>
      </c>
      <c r="V37" s="39">
        <v>8.6134422376033086</v>
      </c>
      <c r="W37" s="149">
        <v>337500.00000000012</v>
      </c>
      <c r="X37" s="148">
        <f t="shared" si="22"/>
        <v>0</v>
      </c>
      <c r="Y37" s="148">
        <f t="shared" si="23"/>
        <v>0</v>
      </c>
      <c r="AB37"/>
      <c r="AC37"/>
      <c r="AD37"/>
    </row>
    <row r="38" spans="1:30" ht="14.45" x14ac:dyDescent="0.3">
      <c r="A38" s="35">
        <f t="shared" ref="A38:A61" si="43">A37+1</f>
        <v>10</v>
      </c>
      <c r="B38" s="35">
        <v>0</v>
      </c>
      <c r="C38" s="36">
        <f t="shared" si="24"/>
        <v>5.4590000000000032</v>
      </c>
      <c r="D38" s="36">
        <f t="shared" si="25"/>
        <v>3.35</v>
      </c>
      <c r="E38" s="37">
        <f t="shared" si="38"/>
        <v>7.7520980138429795E-3</v>
      </c>
      <c r="F38">
        <f t="shared" si="12"/>
        <v>3.3698000000000001</v>
      </c>
      <c r="G38">
        <v>50000</v>
      </c>
      <c r="H38" s="38">
        <f t="shared" si="15"/>
        <v>0.10767160161507403</v>
      </c>
      <c r="I38" s="39">
        <v>0.2</v>
      </c>
      <c r="J38" s="81">
        <v>300</v>
      </c>
      <c r="K38">
        <v>0.02</v>
      </c>
      <c r="L38">
        <f t="shared" si="39"/>
        <v>4.0000000000000007E-6</v>
      </c>
      <c r="M38">
        <f t="shared" si="40"/>
        <v>7500000.0000000009</v>
      </c>
      <c r="N38" s="27">
        <f t="shared" ref="N38:N39" si="44">N37</f>
        <v>2907036.7551911175</v>
      </c>
      <c r="O38" s="40">
        <f t="shared" si="41"/>
        <v>2.5799467401322649</v>
      </c>
      <c r="P38" s="37">
        <f t="shared" si="42"/>
        <v>7.7520980138429795E-3</v>
      </c>
      <c r="Q38">
        <v>1500</v>
      </c>
      <c r="R38" s="40"/>
      <c r="T38" s="39">
        <f t="shared" si="20"/>
        <v>7.7520980138429794</v>
      </c>
      <c r="U38" s="146">
        <f t="shared" si="21"/>
        <v>375000.00000000006</v>
      </c>
      <c r="V38" s="39">
        <v>7.7520980138429794</v>
      </c>
      <c r="W38" s="149">
        <v>375000.00000000006</v>
      </c>
      <c r="X38" s="148">
        <f t="shared" si="22"/>
        <v>0</v>
      </c>
      <c r="Y38" s="148">
        <f t="shared" si="23"/>
        <v>0</v>
      </c>
      <c r="AB38"/>
      <c r="AC38"/>
      <c r="AD38"/>
    </row>
    <row r="39" spans="1:30" ht="14.45" x14ac:dyDescent="0.3">
      <c r="A39" s="35">
        <f t="shared" si="43"/>
        <v>11</v>
      </c>
      <c r="B39" s="35">
        <v>0</v>
      </c>
      <c r="C39" s="36">
        <f t="shared" si="24"/>
        <v>5.4600000000000035</v>
      </c>
      <c r="D39" s="36">
        <f t="shared" si="25"/>
        <v>3.35</v>
      </c>
      <c r="E39" s="37">
        <f>P39</f>
        <v>7.047361830766344E-3</v>
      </c>
      <c r="F39">
        <f t="shared" si="12"/>
        <v>3.3698000000000001</v>
      </c>
      <c r="G39">
        <v>50000</v>
      </c>
      <c r="H39" s="38">
        <f t="shared" si="15"/>
        <v>0.10767160161507403</v>
      </c>
      <c r="I39" s="39">
        <v>0.2</v>
      </c>
      <c r="J39" s="81">
        <v>330</v>
      </c>
      <c r="K39">
        <v>0.02</v>
      </c>
      <c r="L39">
        <f>I39*0.001*K39</f>
        <v>4.0000000000000007E-6</v>
      </c>
      <c r="M39">
        <f>L39*J39*(0.000000001)/(1.6E-19)</f>
        <v>8250000.0000000019</v>
      </c>
      <c r="N39" s="27">
        <f t="shared" si="44"/>
        <v>2907036.7551911175</v>
      </c>
      <c r="O39" s="40">
        <f>M39/N39</f>
        <v>2.8379414141454919</v>
      </c>
      <c r="P39" s="37">
        <f>K39/O39</f>
        <v>7.047361830766344E-3</v>
      </c>
      <c r="Q39">
        <v>1650</v>
      </c>
      <c r="R39" s="40"/>
      <c r="T39" s="39">
        <f t="shared" si="20"/>
        <v>7.0473618307663441</v>
      </c>
      <c r="U39" s="146">
        <f t="shared" si="21"/>
        <v>412500.00000000006</v>
      </c>
      <c r="V39" s="39">
        <v>7.0473618307663441</v>
      </c>
      <c r="W39" s="149">
        <v>412500.00000000006</v>
      </c>
      <c r="X39" s="148">
        <f t="shared" si="22"/>
        <v>0</v>
      </c>
      <c r="Y39" s="148">
        <f t="shared" si="23"/>
        <v>0</v>
      </c>
      <c r="AB39"/>
      <c r="AC39"/>
      <c r="AD39"/>
    </row>
    <row r="40" spans="1:30" ht="14.45" x14ac:dyDescent="0.3">
      <c r="A40" s="35">
        <f t="shared" si="43"/>
        <v>12</v>
      </c>
      <c r="B40" s="35">
        <v>0</v>
      </c>
      <c r="C40" s="36">
        <f t="shared" si="24"/>
        <v>5.4610000000000039</v>
      </c>
      <c r="D40" s="36">
        <f t="shared" si="25"/>
        <v>3.35</v>
      </c>
      <c r="E40" s="37">
        <f t="shared" ref="E40" si="45">P40</f>
        <v>6.4600816782024824E-3</v>
      </c>
      <c r="F40">
        <f t="shared" si="12"/>
        <v>3.3698000000000001</v>
      </c>
      <c r="G40">
        <v>50000</v>
      </c>
      <c r="H40" s="38">
        <f t="shared" si="15"/>
        <v>0.10767160161507403</v>
      </c>
      <c r="I40" s="39">
        <v>0.2</v>
      </c>
      <c r="J40" s="81">
        <v>360</v>
      </c>
      <c r="K40">
        <v>0.02</v>
      </c>
      <c r="L40">
        <f t="shared" ref="L40" si="46">I40*0.001*K40</f>
        <v>4.0000000000000007E-6</v>
      </c>
      <c r="M40">
        <f t="shared" ref="M40" si="47">L40*J40*(0.000000001)/(1.6E-19)</f>
        <v>9000000.0000000019</v>
      </c>
      <c r="N40" s="27">
        <f>N39</f>
        <v>2907036.7551911175</v>
      </c>
      <c r="O40" s="40">
        <f t="shared" ref="O40" si="48">M40/N40</f>
        <v>3.0959360881587181</v>
      </c>
      <c r="P40" s="37">
        <f t="shared" ref="P40" si="49">K40/O40</f>
        <v>6.4600816782024824E-3</v>
      </c>
      <c r="Q40">
        <v>1800</v>
      </c>
      <c r="T40" s="39">
        <f t="shared" si="20"/>
        <v>6.4600816782024824</v>
      </c>
      <c r="U40" s="146">
        <f t="shared" si="21"/>
        <v>450000.00000000006</v>
      </c>
      <c r="V40" s="39">
        <v>6.4600816782024824</v>
      </c>
      <c r="W40" s="149">
        <v>450000.00000000006</v>
      </c>
      <c r="X40" s="148">
        <f t="shared" si="22"/>
        <v>0</v>
      </c>
      <c r="Y40" s="148">
        <f t="shared" si="23"/>
        <v>0</v>
      </c>
      <c r="AB40"/>
      <c r="AC40"/>
      <c r="AD40"/>
    </row>
    <row r="41" spans="1:30" ht="14.45" x14ac:dyDescent="0.3">
      <c r="A41" s="35">
        <f t="shared" si="43"/>
        <v>13</v>
      </c>
      <c r="B41" s="35">
        <v>0</v>
      </c>
      <c r="C41" s="36">
        <f t="shared" si="24"/>
        <v>5.4620000000000042</v>
      </c>
      <c r="D41" s="36">
        <f t="shared" si="25"/>
        <v>3.35</v>
      </c>
      <c r="E41" s="37">
        <f>P41</f>
        <v>0</v>
      </c>
      <c r="F41">
        <f t="shared" si="12"/>
        <v>3.3698000000000001</v>
      </c>
      <c r="G41">
        <v>50000</v>
      </c>
      <c r="H41" s="38">
        <f t="shared" si="15"/>
        <v>0</v>
      </c>
      <c r="I41" s="39">
        <f t="shared" ref="I41:I58" si="50">$O$23</f>
        <v>0.04</v>
      </c>
      <c r="K41">
        <v>0.02</v>
      </c>
      <c r="L41">
        <f>I41*0.001*K41</f>
        <v>8.0000000000000007E-7</v>
      </c>
      <c r="M41">
        <f>L41*J41*(0.000000001)/(1.6E-19)</f>
        <v>0</v>
      </c>
      <c r="N41" s="27">
        <f>N40</f>
        <v>2907036.7551911175</v>
      </c>
      <c r="O41" s="40">
        <f>M41/N41</f>
        <v>0</v>
      </c>
      <c r="P41" s="37"/>
      <c r="Q41">
        <v>1950</v>
      </c>
      <c r="R41" s="40"/>
      <c r="U41" s="27"/>
      <c r="V41" s="39">
        <v>5.963152318340752</v>
      </c>
      <c r="W41" s="149">
        <v>487500.00000000017</v>
      </c>
      <c r="AB41"/>
      <c r="AC41"/>
      <c r="AD41"/>
    </row>
    <row r="42" spans="1:30" ht="14.45" x14ac:dyDescent="0.3">
      <c r="A42" s="35">
        <f>A41+1</f>
        <v>14</v>
      </c>
      <c r="B42" s="35">
        <v>0</v>
      </c>
      <c r="C42" s="36">
        <f t="shared" si="24"/>
        <v>5.4630000000000045</v>
      </c>
      <c r="D42" s="36">
        <f t="shared" si="25"/>
        <v>3.35</v>
      </c>
      <c r="E42" s="37">
        <f t="shared" ref="E42:E43" si="51">P42</f>
        <v>0</v>
      </c>
      <c r="F42">
        <f t="shared" si="12"/>
        <v>3.3698000000000001</v>
      </c>
      <c r="G42">
        <v>50000</v>
      </c>
      <c r="H42" s="38">
        <f t="shared" si="15"/>
        <v>0</v>
      </c>
      <c r="I42" s="39">
        <f t="shared" si="50"/>
        <v>0.04</v>
      </c>
      <c r="K42">
        <v>0.02</v>
      </c>
      <c r="L42">
        <f t="shared" ref="L42:L43" si="52">I42*0.001*K42</f>
        <v>8.0000000000000007E-7</v>
      </c>
      <c r="M42">
        <f t="shared" ref="M42:M43" si="53">L42*J42*(0.000000001)/(1.6E-19)</f>
        <v>0</v>
      </c>
      <c r="N42" s="27">
        <f>N41</f>
        <v>2907036.7551911175</v>
      </c>
      <c r="O42" s="40">
        <f t="shared" ref="O42:O43" si="54">M42/N42</f>
        <v>0</v>
      </c>
      <c r="P42" s="37"/>
      <c r="Q42">
        <v>2100</v>
      </c>
      <c r="U42" s="27"/>
      <c r="V42" s="39">
        <v>5.537212867030699</v>
      </c>
      <c r="W42" s="149">
        <v>525000.00000000012</v>
      </c>
      <c r="AB42"/>
      <c r="AC42"/>
      <c r="AD42"/>
    </row>
    <row r="43" spans="1:30" ht="14.45" x14ac:dyDescent="0.3">
      <c r="A43" s="35">
        <f t="shared" si="43"/>
        <v>15</v>
      </c>
      <c r="B43" s="35">
        <v>0</v>
      </c>
      <c r="C43" s="36">
        <f t="shared" si="24"/>
        <v>5.4640000000000049</v>
      </c>
      <c r="D43" s="36">
        <f t="shared" si="25"/>
        <v>3.35</v>
      </c>
      <c r="E43" s="37">
        <f t="shared" si="51"/>
        <v>0</v>
      </c>
      <c r="F43">
        <f t="shared" si="12"/>
        <v>3.3698000000000001</v>
      </c>
      <c r="G43">
        <v>50000</v>
      </c>
      <c r="H43" s="38">
        <f t="shared" si="15"/>
        <v>0</v>
      </c>
      <c r="I43" s="39">
        <f t="shared" si="50"/>
        <v>0.04</v>
      </c>
      <c r="K43">
        <v>0.02</v>
      </c>
      <c r="L43">
        <f t="shared" si="52"/>
        <v>8.0000000000000007E-7</v>
      </c>
      <c r="M43">
        <f t="shared" si="53"/>
        <v>0</v>
      </c>
      <c r="N43" s="27">
        <f t="shared" ref="N43:N44" si="55">N42</f>
        <v>2907036.7551911175</v>
      </c>
      <c r="O43" s="40">
        <f t="shared" si="54"/>
        <v>0</v>
      </c>
      <c r="P43" s="37"/>
      <c r="Q43">
        <v>2250</v>
      </c>
      <c r="R43" s="40"/>
      <c r="U43" s="27"/>
      <c r="V43" s="39">
        <v>5.1680653425619862</v>
      </c>
      <c r="W43" s="149">
        <v>562500</v>
      </c>
      <c r="AB43"/>
      <c r="AC43"/>
      <c r="AD43"/>
    </row>
    <row r="44" spans="1:30" ht="14.45" x14ac:dyDescent="0.3">
      <c r="A44" s="35">
        <f t="shared" si="43"/>
        <v>16</v>
      </c>
      <c r="B44" s="35">
        <v>0</v>
      </c>
      <c r="C44" s="36">
        <f t="shared" si="24"/>
        <v>5.4650000000000052</v>
      </c>
      <c r="D44" s="36">
        <f t="shared" si="25"/>
        <v>3.35</v>
      </c>
      <c r="E44" s="37">
        <f>P44</f>
        <v>0</v>
      </c>
      <c r="F44">
        <f t="shared" si="12"/>
        <v>3.3698000000000001</v>
      </c>
      <c r="G44">
        <v>50000</v>
      </c>
      <c r="H44" s="38">
        <f t="shared" si="15"/>
        <v>0</v>
      </c>
      <c r="I44" s="39">
        <f t="shared" si="50"/>
        <v>0.04</v>
      </c>
      <c r="K44">
        <v>0.02</v>
      </c>
      <c r="L44">
        <f>I44*0.001*K44</f>
        <v>8.0000000000000007E-7</v>
      </c>
      <c r="M44">
        <f>L44*J44*(0.000000001)/(1.6E-19)</f>
        <v>0</v>
      </c>
      <c r="N44" s="27">
        <f t="shared" si="55"/>
        <v>2907036.7551911175</v>
      </c>
      <c r="O44" s="40">
        <f>M44/N44</f>
        <v>0</v>
      </c>
      <c r="P44" s="37"/>
      <c r="Q44">
        <v>2400</v>
      </c>
      <c r="R44" s="40"/>
      <c r="U44" s="27"/>
      <c r="V44" s="39">
        <v>4.845061258651862</v>
      </c>
      <c r="W44" s="149">
        <v>600000.00000000012</v>
      </c>
      <c r="AB44"/>
      <c r="AC44"/>
      <c r="AD44"/>
    </row>
    <row r="45" spans="1:30" ht="14.45" x14ac:dyDescent="0.3">
      <c r="A45" s="35">
        <f t="shared" si="43"/>
        <v>17</v>
      </c>
      <c r="B45" s="35">
        <v>0</v>
      </c>
      <c r="C45" s="36">
        <f t="shared" si="24"/>
        <v>5.4660000000000055</v>
      </c>
      <c r="D45" s="36">
        <f t="shared" si="25"/>
        <v>3.35</v>
      </c>
      <c r="E45" s="37">
        <f t="shared" ref="E45" si="56">P45</f>
        <v>0</v>
      </c>
      <c r="F45">
        <f t="shared" si="12"/>
        <v>3.3698000000000001</v>
      </c>
      <c r="G45">
        <v>50000</v>
      </c>
      <c r="H45" s="38">
        <f t="shared" si="15"/>
        <v>0</v>
      </c>
      <c r="I45" s="39">
        <f t="shared" si="50"/>
        <v>0.04</v>
      </c>
      <c r="K45">
        <v>0.02</v>
      </c>
      <c r="L45">
        <f t="shared" ref="L45" si="57">I45*0.001*K45</f>
        <v>8.0000000000000007E-7</v>
      </c>
      <c r="M45">
        <f t="shared" ref="M45" si="58">L45*J45*(0.000000001)/(1.6E-19)</f>
        <v>0</v>
      </c>
      <c r="N45" s="27">
        <f>N44</f>
        <v>2907036.7551911175</v>
      </c>
      <c r="O45" s="40">
        <f t="shared" ref="O45" si="59">M45/N45</f>
        <v>0</v>
      </c>
      <c r="P45" s="37"/>
      <c r="Q45">
        <v>2550</v>
      </c>
      <c r="U45" s="27"/>
      <c r="V45" s="39">
        <v>4.560057655201752</v>
      </c>
      <c r="W45" s="149">
        <v>637500.00000000012</v>
      </c>
      <c r="AB45"/>
      <c r="AC45"/>
      <c r="AD45"/>
    </row>
    <row r="46" spans="1:30" ht="14.45" x14ac:dyDescent="0.3">
      <c r="A46" s="35">
        <f t="shared" si="43"/>
        <v>18</v>
      </c>
      <c r="B46" s="35">
        <v>0</v>
      </c>
      <c r="C46" s="36">
        <f t="shared" si="24"/>
        <v>5.4670000000000059</v>
      </c>
      <c r="D46" s="36">
        <f t="shared" si="25"/>
        <v>3.35</v>
      </c>
      <c r="E46" s="37">
        <f>P46</f>
        <v>0</v>
      </c>
      <c r="F46">
        <f t="shared" si="12"/>
        <v>3.3698000000000001</v>
      </c>
      <c r="G46">
        <v>50000</v>
      </c>
      <c r="H46" s="38">
        <f t="shared" si="15"/>
        <v>0</v>
      </c>
      <c r="I46" s="39">
        <f t="shared" si="50"/>
        <v>0.04</v>
      </c>
      <c r="K46">
        <v>0.02</v>
      </c>
      <c r="L46">
        <f>I46*0.001*K46</f>
        <v>8.0000000000000007E-7</v>
      </c>
      <c r="M46">
        <f>L46*J46*(0.000000001)/(1.6E-19)</f>
        <v>0</v>
      </c>
      <c r="N46" s="27">
        <f>N45</f>
        <v>2907036.7551911175</v>
      </c>
      <c r="O46" s="40">
        <f>M46/N46</f>
        <v>0</v>
      </c>
      <c r="P46" s="37"/>
      <c r="Q46">
        <v>2700</v>
      </c>
      <c r="R46" s="40"/>
      <c r="U46" s="27"/>
      <c r="V46" s="39">
        <v>4.3067211188016543</v>
      </c>
      <c r="W46" s="149">
        <v>675000.00000000023</v>
      </c>
      <c r="AB46"/>
      <c r="AC46"/>
      <c r="AD46"/>
    </row>
    <row r="47" spans="1:30" ht="14.45" x14ac:dyDescent="0.3">
      <c r="A47" s="35">
        <f>A46+1</f>
        <v>19</v>
      </c>
      <c r="B47" s="35">
        <v>0</v>
      </c>
      <c r="C47" s="36">
        <f t="shared" si="24"/>
        <v>5.4680000000000062</v>
      </c>
      <c r="D47" s="36">
        <f t="shared" si="25"/>
        <v>3.35</v>
      </c>
      <c r="E47" s="37">
        <f t="shared" ref="E47:E48" si="60">P47</f>
        <v>0</v>
      </c>
      <c r="F47">
        <f t="shared" si="12"/>
        <v>3.3698000000000001</v>
      </c>
      <c r="G47">
        <v>50000</v>
      </c>
      <c r="H47" s="38">
        <f t="shared" si="15"/>
        <v>0</v>
      </c>
      <c r="I47" s="39">
        <f t="shared" si="50"/>
        <v>0.04</v>
      </c>
      <c r="K47">
        <v>0.02</v>
      </c>
      <c r="L47">
        <f t="shared" ref="L47:L48" si="61">I47*0.001*K47</f>
        <v>8.0000000000000007E-7</v>
      </c>
      <c r="M47">
        <f t="shared" ref="M47:M48" si="62">L47*J47*(0.000000001)/(1.6E-19)</f>
        <v>0</v>
      </c>
      <c r="N47" s="27">
        <f>N46</f>
        <v>2907036.7551911175</v>
      </c>
      <c r="O47" s="40">
        <f t="shared" ref="O47:O48" si="63">M47/N47</f>
        <v>0</v>
      </c>
      <c r="P47" s="37"/>
      <c r="Q47">
        <v>2850</v>
      </c>
      <c r="U47" s="27"/>
      <c r="V47" s="39">
        <v>4.0800515862331466</v>
      </c>
      <c r="W47" s="149">
        <v>712500.00000000012</v>
      </c>
      <c r="AB47"/>
      <c r="AC47"/>
      <c r="AD47"/>
    </row>
    <row r="48" spans="1:30" ht="14.45" x14ac:dyDescent="0.3">
      <c r="A48" s="35">
        <f t="shared" si="43"/>
        <v>20</v>
      </c>
      <c r="B48" s="35">
        <v>0</v>
      </c>
      <c r="C48" s="36">
        <f t="shared" si="24"/>
        <v>5.4690000000000065</v>
      </c>
      <c r="D48" s="36">
        <f t="shared" si="25"/>
        <v>3.35</v>
      </c>
      <c r="E48" s="37">
        <f t="shared" si="60"/>
        <v>0</v>
      </c>
      <c r="F48">
        <f t="shared" si="12"/>
        <v>3.3698000000000001</v>
      </c>
      <c r="G48">
        <v>50000</v>
      </c>
      <c r="H48" s="38">
        <f t="shared" si="15"/>
        <v>0</v>
      </c>
      <c r="I48" s="39">
        <f t="shared" si="50"/>
        <v>0.04</v>
      </c>
      <c r="K48">
        <v>0.02</v>
      </c>
      <c r="L48">
        <f t="shared" si="61"/>
        <v>8.0000000000000007E-7</v>
      </c>
      <c r="M48">
        <f t="shared" si="62"/>
        <v>0</v>
      </c>
      <c r="N48" s="27">
        <f t="shared" ref="N48:N49" si="64">N47</f>
        <v>2907036.7551911175</v>
      </c>
      <c r="O48" s="40">
        <f t="shared" si="63"/>
        <v>0</v>
      </c>
      <c r="P48" s="37"/>
      <c r="Q48">
        <v>3000</v>
      </c>
      <c r="R48" s="40"/>
      <c r="U48" s="27"/>
      <c r="V48" s="39">
        <v>3.8760490069214897</v>
      </c>
      <c r="W48" s="149">
        <v>750000.00000000012</v>
      </c>
      <c r="AB48"/>
      <c r="AC48"/>
      <c r="AD48"/>
    </row>
    <row r="49" spans="1:30" ht="14.45" x14ac:dyDescent="0.3">
      <c r="A49" s="35">
        <f t="shared" si="43"/>
        <v>21</v>
      </c>
      <c r="B49" s="35">
        <v>0</v>
      </c>
      <c r="C49" s="36">
        <f t="shared" si="24"/>
        <v>5.4700000000000069</v>
      </c>
      <c r="D49" s="36">
        <f t="shared" si="25"/>
        <v>3.35</v>
      </c>
      <c r="E49" s="37">
        <f>P49</f>
        <v>0</v>
      </c>
      <c r="F49">
        <f t="shared" si="12"/>
        <v>3.3698000000000001</v>
      </c>
      <c r="G49">
        <v>50000</v>
      </c>
      <c r="H49" s="38">
        <f t="shared" si="15"/>
        <v>0</v>
      </c>
      <c r="I49" s="39">
        <f t="shared" si="50"/>
        <v>0.04</v>
      </c>
      <c r="K49">
        <v>0.02</v>
      </c>
      <c r="L49">
        <f>I49*0.001*K49</f>
        <v>8.0000000000000007E-7</v>
      </c>
      <c r="M49">
        <f>L49*J49*(0.000000001)/(1.6E-19)</f>
        <v>0</v>
      </c>
      <c r="N49" s="27">
        <f t="shared" si="64"/>
        <v>2907036.7551911175</v>
      </c>
      <c r="O49" s="40">
        <f>M49/N49</f>
        <v>0</v>
      </c>
      <c r="P49" s="37"/>
      <c r="Q49">
        <v>3150</v>
      </c>
      <c r="R49" s="40"/>
      <c r="U49" s="27"/>
      <c r="V49" s="39">
        <v>3.6914752446871328</v>
      </c>
      <c r="W49" s="149">
        <v>787500.00000000012</v>
      </c>
      <c r="AB49"/>
      <c r="AC49"/>
      <c r="AD49"/>
    </row>
    <row r="50" spans="1:30" ht="14.45" x14ac:dyDescent="0.3">
      <c r="A50" s="35">
        <f t="shared" si="43"/>
        <v>22</v>
      </c>
      <c r="B50" s="35">
        <v>0</v>
      </c>
      <c r="C50" s="36">
        <f t="shared" si="24"/>
        <v>5.4710000000000072</v>
      </c>
      <c r="D50" s="36">
        <f t="shared" si="25"/>
        <v>3.35</v>
      </c>
      <c r="E50" s="37">
        <f t="shared" ref="E50" si="65">P50</f>
        <v>0</v>
      </c>
      <c r="F50">
        <f t="shared" si="12"/>
        <v>3.3698000000000001</v>
      </c>
      <c r="G50">
        <v>50000</v>
      </c>
      <c r="H50" s="38">
        <f t="shared" si="15"/>
        <v>0</v>
      </c>
      <c r="I50" s="39">
        <f t="shared" si="50"/>
        <v>0.04</v>
      </c>
      <c r="K50">
        <v>0.02</v>
      </c>
      <c r="L50">
        <f t="shared" ref="L50" si="66">I50*0.001*K50</f>
        <v>8.0000000000000007E-7</v>
      </c>
      <c r="M50">
        <f t="shared" ref="M50" si="67">L50*J50*(0.000000001)/(1.6E-19)</f>
        <v>0</v>
      </c>
      <c r="N50" s="27">
        <f>N49</f>
        <v>2907036.7551911175</v>
      </c>
      <c r="O50" s="40">
        <f t="shared" ref="O50" si="68">M50/N50</f>
        <v>0</v>
      </c>
      <c r="P50" s="37"/>
      <c r="Q50">
        <v>3300</v>
      </c>
      <c r="U50" s="27"/>
      <c r="V50" s="39">
        <v>3.5236809153831721</v>
      </c>
      <c r="W50" s="149">
        <v>825000.00000000012</v>
      </c>
      <c r="AB50"/>
      <c r="AC50"/>
      <c r="AD50"/>
    </row>
    <row r="51" spans="1:30" ht="14.45" x14ac:dyDescent="0.3">
      <c r="A51" s="35">
        <f t="shared" si="43"/>
        <v>23</v>
      </c>
      <c r="B51" s="35">
        <v>0</v>
      </c>
      <c r="C51" s="36">
        <f t="shared" si="24"/>
        <v>5.4720000000000075</v>
      </c>
      <c r="D51" s="36">
        <f t="shared" si="25"/>
        <v>3.35</v>
      </c>
      <c r="E51" s="37">
        <f>P51</f>
        <v>0</v>
      </c>
      <c r="F51">
        <f t="shared" si="12"/>
        <v>3.3698000000000001</v>
      </c>
      <c r="G51">
        <v>50000</v>
      </c>
      <c r="H51" s="38">
        <f t="shared" si="15"/>
        <v>0</v>
      </c>
      <c r="I51" s="39">
        <f t="shared" si="50"/>
        <v>0.04</v>
      </c>
      <c r="K51">
        <v>0.02</v>
      </c>
      <c r="L51">
        <f>I51*0.001*K51</f>
        <v>8.0000000000000007E-7</v>
      </c>
      <c r="M51">
        <f>L51*J51*(0.000000001)/(1.6E-19)</f>
        <v>0</v>
      </c>
      <c r="N51" s="27">
        <f>N50</f>
        <v>2907036.7551911175</v>
      </c>
      <c r="O51" s="40">
        <f>M51/N51</f>
        <v>0</v>
      </c>
      <c r="P51" s="37"/>
      <c r="Q51">
        <v>3450</v>
      </c>
      <c r="R51" s="40"/>
      <c r="U51" s="27"/>
      <c r="V51" s="39">
        <v>3.3704773973230346</v>
      </c>
      <c r="W51" s="149">
        <v>862500</v>
      </c>
      <c r="AB51"/>
      <c r="AC51"/>
      <c r="AD51"/>
    </row>
    <row r="52" spans="1:30" ht="14.45" x14ac:dyDescent="0.3">
      <c r="A52" s="35">
        <f>A51+1</f>
        <v>24</v>
      </c>
      <c r="B52" s="35">
        <v>0</v>
      </c>
      <c r="C52" s="36">
        <f t="shared" si="24"/>
        <v>5.4730000000000079</v>
      </c>
      <c r="D52" s="36">
        <f t="shared" si="25"/>
        <v>3.35</v>
      </c>
      <c r="E52" s="37">
        <f t="shared" ref="E52:E53" si="69">P52</f>
        <v>0</v>
      </c>
      <c r="F52">
        <f t="shared" si="12"/>
        <v>3.3698000000000001</v>
      </c>
      <c r="G52">
        <v>50000</v>
      </c>
      <c r="H52" s="38">
        <f t="shared" si="15"/>
        <v>0</v>
      </c>
      <c r="I52" s="39">
        <f t="shared" si="50"/>
        <v>0.04</v>
      </c>
      <c r="K52">
        <v>0.02</v>
      </c>
      <c r="L52">
        <f t="shared" ref="L52:L53" si="70">I52*0.001*K52</f>
        <v>8.0000000000000007E-7</v>
      </c>
      <c r="M52">
        <f t="shared" ref="M52:M53" si="71">L52*J52*(0.000000001)/(1.6E-19)</f>
        <v>0</v>
      </c>
      <c r="N52" s="27">
        <f>N51</f>
        <v>2907036.7551911175</v>
      </c>
      <c r="O52" s="40">
        <f t="shared" ref="O52:O53" si="72">M52/N52</f>
        <v>0</v>
      </c>
      <c r="P52" s="37"/>
      <c r="Q52">
        <v>3600</v>
      </c>
      <c r="U52" s="27"/>
      <c r="V52" s="39">
        <v>3.2300408391012412</v>
      </c>
      <c r="W52" s="149">
        <v>900000.00000000012</v>
      </c>
      <c r="AB52"/>
      <c r="AC52"/>
      <c r="AD52"/>
    </row>
    <row r="53" spans="1:30" ht="14.45" x14ac:dyDescent="0.3">
      <c r="A53" s="35">
        <f t="shared" si="43"/>
        <v>25</v>
      </c>
      <c r="B53" s="35">
        <v>0</v>
      </c>
      <c r="C53" s="36">
        <f t="shared" si="24"/>
        <v>5.4740000000000082</v>
      </c>
      <c r="D53" s="36">
        <f t="shared" si="25"/>
        <v>3.35</v>
      </c>
      <c r="E53" s="37">
        <f t="shared" si="69"/>
        <v>0</v>
      </c>
      <c r="F53">
        <f t="shared" si="12"/>
        <v>3.3698000000000001</v>
      </c>
      <c r="G53">
        <v>50000</v>
      </c>
      <c r="H53" s="38">
        <f t="shared" si="15"/>
        <v>0</v>
      </c>
      <c r="I53" s="39">
        <f t="shared" si="50"/>
        <v>0.04</v>
      </c>
      <c r="K53">
        <v>0.02</v>
      </c>
      <c r="L53">
        <f t="shared" si="70"/>
        <v>8.0000000000000007E-7</v>
      </c>
      <c r="M53">
        <f t="shared" si="71"/>
        <v>0</v>
      </c>
      <c r="N53" s="27">
        <f t="shared" ref="N53:N54" si="73">N52</f>
        <v>2907036.7551911175</v>
      </c>
      <c r="O53" s="40">
        <f t="shared" si="72"/>
        <v>0</v>
      </c>
      <c r="P53" s="37"/>
      <c r="Q53">
        <v>3750</v>
      </c>
      <c r="R53" s="40"/>
      <c r="U53" s="27"/>
      <c r="V53" s="39">
        <v>3.1008392055371918</v>
      </c>
      <c r="W53" s="149">
        <v>937500.00000000012</v>
      </c>
      <c r="AB53"/>
      <c r="AC53"/>
      <c r="AD53"/>
    </row>
    <row r="54" spans="1:30" ht="14.45" x14ac:dyDescent="0.3">
      <c r="A54" s="35">
        <f t="shared" si="43"/>
        <v>26</v>
      </c>
      <c r="B54" s="35">
        <v>0</v>
      </c>
      <c r="C54" s="36">
        <f t="shared" si="24"/>
        <v>5.4750000000000085</v>
      </c>
      <c r="D54" s="36">
        <f t="shared" si="25"/>
        <v>3.35</v>
      </c>
      <c r="E54" s="37">
        <f>P54</f>
        <v>0</v>
      </c>
      <c r="F54">
        <f t="shared" si="12"/>
        <v>3.3698000000000001</v>
      </c>
      <c r="G54">
        <v>50000</v>
      </c>
      <c r="H54" s="38">
        <f t="shared" si="15"/>
        <v>0</v>
      </c>
      <c r="I54" s="39">
        <f t="shared" si="50"/>
        <v>0.04</v>
      </c>
      <c r="K54">
        <v>0.02</v>
      </c>
      <c r="L54">
        <f>I54*0.001*K54</f>
        <v>8.0000000000000007E-7</v>
      </c>
      <c r="M54">
        <f>L54*J54*(0.000000001)/(1.6E-19)</f>
        <v>0</v>
      </c>
      <c r="N54" s="27">
        <f t="shared" si="73"/>
        <v>2907036.7551911175</v>
      </c>
      <c r="O54" s="40">
        <f>M54/N54</f>
        <v>0</v>
      </c>
      <c r="P54" s="37"/>
      <c r="Q54">
        <v>3900</v>
      </c>
      <c r="R54" s="40"/>
      <c r="U54" s="27"/>
      <c r="V54" s="39">
        <v>2.981576159170376</v>
      </c>
      <c r="W54" s="149">
        <v>975000.00000000035</v>
      </c>
      <c r="AB54"/>
      <c r="AC54"/>
      <c r="AD54"/>
    </row>
    <row r="55" spans="1:30" ht="14.45" x14ac:dyDescent="0.3">
      <c r="A55" s="35">
        <f t="shared" si="43"/>
        <v>27</v>
      </c>
      <c r="B55" s="35">
        <v>0</v>
      </c>
      <c r="C55" s="36">
        <f t="shared" si="24"/>
        <v>5.4760000000000089</v>
      </c>
      <c r="D55" s="36">
        <f t="shared" si="25"/>
        <v>3.35</v>
      </c>
      <c r="E55" s="37">
        <f t="shared" ref="E55" si="74">P55</f>
        <v>0</v>
      </c>
      <c r="F55">
        <f t="shared" si="12"/>
        <v>3.3698000000000001</v>
      </c>
      <c r="G55">
        <v>50000</v>
      </c>
      <c r="H55" s="38">
        <f t="shared" si="15"/>
        <v>0</v>
      </c>
      <c r="I55" s="39">
        <f t="shared" si="50"/>
        <v>0.04</v>
      </c>
      <c r="K55">
        <v>0.02</v>
      </c>
      <c r="L55">
        <f t="shared" ref="L55" si="75">I55*0.001*K55</f>
        <v>8.0000000000000007E-7</v>
      </c>
      <c r="M55">
        <f t="shared" ref="M55" si="76">L55*J55*(0.000000001)/(1.6E-19)</f>
        <v>0</v>
      </c>
      <c r="N55" s="27">
        <f>N54</f>
        <v>2907036.7551911175</v>
      </c>
      <c r="O55" s="40">
        <f t="shared" ref="O55" si="77">M55/N55</f>
        <v>0</v>
      </c>
      <c r="P55" s="37"/>
      <c r="Q55">
        <v>4050</v>
      </c>
      <c r="U55" s="27"/>
      <c r="V55" s="39">
        <v>2.8711474125344365</v>
      </c>
      <c r="W55" s="149">
        <v>1012500.0000000002</v>
      </c>
      <c r="AB55"/>
      <c r="AC55"/>
      <c r="AD55"/>
    </row>
    <row r="56" spans="1:30" ht="14.45" x14ac:dyDescent="0.3">
      <c r="A56" s="35">
        <f t="shared" si="43"/>
        <v>28</v>
      </c>
      <c r="B56" s="35">
        <v>0</v>
      </c>
      <c r="C56" s="36">
        <f t="shared" si="24"/>
        <v>5.4770000000000092</v>
      </c>
      <c r="D56" s="36">
        <f t="shared" si="25"/>
        <v>3.35</v>
      </c>
      <c r="E56" s="37">
        <f>P56</f>
        <v>0</v>
      </c>
      <c r="F56">
        <f t="shared" si="12"/>
        <v>3.3698000000000001</v>
      </c>
      <c r="G56">
        <v>50000</v>
      </c>
      <c r="H56" s="38">
        <f t="shared" si="15"/>
        <v>0</v>
      </c>
      <c r="I56" s="39">
        <f t="shared" si="50"/>
        <v>0.04</v>
      </c>
      <c r="K56">
        <v>0.02</v>
      </c>
      <c r="L56">
        <f>I56*0.001*K56</f>
        <v>8.0000000000000007E-7</v>
      </c>
      <c r="M56">
        <f>L56*J56*(0.000000001)/(1.6E-19)</f>
        <v>0</v>
      </c>
      <c r="N56" s="27">
        <f>N55</f>
        <v>2907036.7551911175</v>
      </c>
      <c r="O56" s="40">
        <f>M56/N56</f>
        <v>0</v>
      </c>
      <c r="P56" s="37"/>
      <c r="Q56">
        <v>4200</v>
      </c>
      <c r="R56" s="40"/>
      <c r="U56" s="27"/>
      <c r="V56" s="39">
        <v>2.7686064335153495</v>
      </c>
      <c r="W56" s="149">
        <v>1050000.0000000002</v>
      </c>
      <c r="AB56"/>
      <c r="AC56"/>
      <c r="AD56"/>
    </row>
    <row r="57" spans="1:30" ht="14.45" x14ac:dyDescent="0.3">
      <c r="A57" s="35">
        <f>A56+1</f>
        <v>29</v>
      </c>
      <c r="B57" s="35">
        <v>0</v>
      </c>
      <c r="C57" s="36">
        <f t="shared" si="24"/>
        <v>5.4780000000000095</v>
      </c>
      <c r="D57" s="36">
        <f t="shared" si="25"/>
        <v>3.35</v>
      </c>
      <c r="E57" s="37">
        <f t="shared" ref="E57:E58" si="78">P57</f>
        <v>0</v>
      </c>
      <c r="F57">
        <f t="shared" si="12"/>
        <v>3.3698000000000001</v>
      </c>
      <c r="G57">
        <v>50000</v>
      </c>
      <c r="H57" s="38">
        <f t="shared" si="15"/>
        <v>0</v>
      </c>
      <c r="I57" s="39">
        <f t="shared" si="50"/>
        <v>0.04</v>
      </c>
      <c r="K57">
        <v>0.02</v>
      </c>
      <c r="L57">
        <f t="shared" ref="L57:L58" si="79">I57*0.001*K57</f>
        <v>8.0000000000000007E-7</v>
      </c>
      <c r="M57">
        <f t="shared" ref="M57:M58" si="80">L57*J57*(0.000000001)/(1.6E-19)</f>
        <v>0</v>
      </c>
      <c r="N57" s="27">
        <f>N56</f>
        <v>2907036.7551911175</v>
      </c>
      <c r="O57" s="40">
        <f t="shared" ref="O57:O58" si="81">M57/N57</f>
        <v>0</v>
      </c>
      <c r="P57" s="37"/>
      <c r="Q57">
        <v>4350</v>
      </c>
      <c r="U57" s="27"/>
      <c r="V57" s="39">
        <v>2.6731372461527512</v>
      </c>
      <c r="W57" s="149">
        <v>1087500.0000000002</v>
      </c>
      <c r="AB57"/>
      <c r="AC57"/>
      <c r="AD57"/>
    </row>
    <row r="58" spans="1:30" x14ac:dyDescent="0.25">
      <c r="A58" s="35">
        <f t="shared" si="43"/>
        <v>30</v>
      </c>
      <c r="B58" s="35">
        <v>0</v>
      </c>
      <c r="C58" s="36">
        <f t="shared" si="24"/>
        <v>5.4790000000000099</v>
      </c>
      <c r="D58" s="36">
        <f t="shared" si="25"/>
        <v>3.35</v>
      </c>
      <c r="E58" s="37">
        <f t="shared" si="78"/>
        <v>0</v>
      </c>
      <c r="F58">
        <f t="shared" si="12"/>
        <v>3.3698000000000001</v>
      </c>
      <c r="G58">
        <v>50000</v>
      </c>
      <c r="H58" s="38">
        <f t="shared" si="15"/>
        <v>0</v>
      </c>
      <c r="I58" s="39">
        <f t="shared" si="50"/>
        <v>0.04</v>
      </c>
      <c r="K58">
        <v>0.02</v>
      </c>
      <c r="L58">
        <f t="shared" si="79"/>
        <v>8.0000000000000007E-7</v>
      </c>
      <c r="M58">
        <f t="shared" si="80"/>
        <v>0</v>
      </c>
      <c r="N58" s="27">
        <f t="shared" ref="N58" si="82">N57</f>
        <v>2907036.7551911175</v>
      </c>
      <c r="O58" s="40">
        <f t="shared" si="81"/>
        <v>0</v>
      </c>
      <c r="P58" s="37"/>
      <c r="Q58">
        <v>4500</v>
      </c>
      <c r="R58" s="40"/>
      <c r="U58" s="27"/>
      <c r="V58" s="39">
        <v>2.5840326712809931</v>
      </c>
      <c r="W58" s="149">
        <v>1125000</v>
      </c>
      <c r="AB58"/>
      <c r="AC58"/>
      <c r="AD58"/>
    </row>
    <row r="59" spans="1:30" x14ac:dyDescent="0.25">
      <c r="A59" s="82">
        <f t="shared" si="43"/>
        <v>31</v>
      </c>
      <c r="B59" s="35">
        <v>0</v>
      </c>
      <c r="C59" s="36">
        <f t="shared" si="24"/>
        <v>5.4800000000000102</v>
      </c>
      <c r="D59" s="36">
        <f t="shared" si="25"/>
        <v>3.35</v>
      </c>
      <c r="E59" s="37">
        <f>P59</f>
        <v>7.7520980138429785E-2</v>
      </c>
      <c r="F59">
        <f t="shared" si="12"/>
        <v>3.3698000000000001</v>
      </c>
      <c r="G59">
        <v>50000</v>
      </c>
      <c r="H59" s="38">
        <f>(I59-IF(B59,$P$23,$O$23))/(IF(B59,$P$22,$O$22)-IF(B59,$P$23,$O$23))*10</f>
        <v>0.10767160161507403</v>
      </c>
      <c r="I59" s="39">
        <v>0.2</v>
      </c>
      <c r="J59" s="79">
        <v>30</v>
      </c>
      <c r="K59">
        <v>0.02</v>
      </c>
      <c r="L59">
        <f>I59*0.001*K59</f>
        <v>4.0000000000000007E-6</v>
      </c>
      <c r="M59">
        <f>L59*J59*(0.000000001)/(1.6E-19)</f>
        <v>750000.00000000012</v>
      </c>
      <c r="N59" s="27">
        <f>MAX($D$3:$D$15)*2</f>
        <v>2907036.7551911175</v>
      </c>
      <c r="O59" s="40">
        <f>M59/N59</f>
        <v>0.25799467401322651</v>
      </c>
      <c r="P59" s="37">
        <f>K59/O59</f>
        <v>7.7520980138429785E-2</v>
      </c>
      <c r="Q59">
        <v>150</v>
      </c>
      <c r="R59" s="40">
        <f>SUM(O59:O218)</f>
        <v>974.35988552328581</v>
      </c>
      <c r="S59">
        <f>R59/60</f>
        <v>16.239331425388098</v>
      </c>
      <c r="T59" s="39">
        <f t="shared" si="20"/>
        <v>77.520980138429792</v>
      </c>
      <c r="U59" s="144">
        <f t="shared" si="21"/>
        <v>37500.000000000007</v>
      </c>
      <c r="V59" s="39">
        <v>77.520980138429792</v>
      </c>
      <c r="W59" s="149">
        <v>37500.000000000007</v>
      </c>
      <c r="X59" s="148">
        <f t="shared" si="22"/>
        <v>0</v>
      </c>
      <c r="Y59" s="148">
        <f t="shared" si="23"/>
        <v>0</v>
      </c>
      <c r="AB59"/>
      <c r="AC59"/>
      <c r="AD59"/>
    </row>
    <row r="60" spans="1:30" x14ac:dyDescent="0.25">
      <c r="A60" s="35">
        <f t="shared" si="43"/>
        <v>32</v>
      </c>
      <c r="B60" s="35">
        <v>0</v>
      </c>
      <c r="C60" s="36">
        <f t="shared" si="24"/>
        <v>5.4810000000000105</v>
      </c>
      <c r="D60" s="36">
        <f>D59</f>
        <v>3.35</v>
      </c>
      <c r="E60" s="37">
        <f t="shared" ref="E60" si="83">P60</f>
        <v>3.8760490069214892E-2</v>
      </c>
      <c r="F60">
        <f t="shared" si="12"/>
        <v>3.3698000000000001</v>
      </c>
      <c r="G60">
        <v>50000</v>
      </c>
      <c r="H60" s="38">
        <f t="shared" ref="H60:H88" si="84">(I60-IF(B60,$P$23,$O$23))/(IF(B60,$P$22,$O$22)-IF(B60,$P$23,$O$23))*10</f>
        <v>0.10767160161507403</v>
      </c>
      <c r="I60" s="39">
        <v>0.2</v>
      </c>
      <c r="J60" s="79">
        <f>300/5</f>
        <v>60</v>
      </c>
      <c r="K60">
        <v>0.02</v>
      </c>
      <c r="L60">
        <f t="shared" ref="L60" si="85">I60*0.001*K60</f>
        <v>4.0000000000000007E-6</v>
      </c>
      <c r="M60">
        <f t="shared" ref="M60" si="86">L60*J60*(0.000000001)/(1.6E-19)</f>
        <v>1500000.0000000002</v>
      </c>
      <c r="N60" s="27">
        <f>N59</f>
        <v>2907036.7551911175</v>
      </c>
      <c r="O60" s="40">
        <f t="shared" ref="O60" si="87">M60/N60</f>
        <v>0.51598934802645302</v>
      </c>
      <c r="P60" s="37">
        <f t="shared" ref="P60" si="88">K60/O60</f>
        <v>3.8760490069214892E-2</v>
      </c>
      <c r="Q60">
        <v>300</v>
      </c>
      <c r="T60" s="39">
        <f t="shared" si="20"/>
        <v>38.760490069214896</v>
      </c>
      <c r="U60" s="144">
        <f t="shared" si="21"/>
        <v>75000.000000000015</v>
      </c>
      <c r="V60" s="39">
        <v>38.760490069214896</v>
      </c>
      <c r="W60" s="149">
        <v>75000.000000000015</v>
      </c>
      <c r="X60" s="148">
        <f t="shared" si="22"/>
        <v>0</v>
      </c>
      <c r="Y60" s="148">
        <f t="shared" si="23"/>
        <v>0</v>
      </c>
      <c r="AB60"/>
      <c r="AC60"/>
      <c r="AD60"/>
    </row>
    <row r="61" spans="1:30" x14ac:dyDescent="0.25">
      <c r="A61" s="35">
        <f t="shared" si="43"/>
        <v>33</v>
      </c>
      <c r="B61" s="35">
        <v>0</v>
      </c>
      <c r="C61" s="36">
        <f t="shared" si="24"/>
        <v>5.4820000000000109</v>
      </c>
      <c r="D61" s="36">
        <f t="shared" si="25"/>
        <v>3.35</v>
      </c>
      <c r="E61" s="37">
        <f>P61</f>
        <v>2.5840326712809929E-2</v>
      </c>
      <c r="F61">
        <f t="shared" si="12"/>
        <v>3.3698000000000001</v>
      </c>
      <c r="G61">
        <v>50000</v>
      </c>
      <c r="H61" s="38">
        <f t="shared" si="84"/>
        <v>0.10767160161507403</v>
      </c>
      <c r="I61" s="39">
        <v>0.2</v>
      </c>
      <c r="J61" s="79">
        <v>90</v>
      </c>
      <c r="K61">
        <v>0.02</v>
      </c>
      <c r="L61">
        <f>I61*0.001*K61</f>
        <v>4.0000000000000007E-6</v>
      </c>
      <c r="M61">
        <f>L61*J61*(0.000000001)/(1.6E-19)</f>
        <v>2250000.0000000005</v>
      </c>
      <c r="N61" s="27">
        <f>N60</f>
        <v>2907036.7551911175</v>
      </c>
      <c r="O61" s="40">
        <f>M61/N61</f>
        <v>0.77398402203967953</v>
      </c>
      <c r="P61" s="37">
        <f>K61/O61</f>
        <v>2.5840326712809929E-2</v>
      </c>
      <c r="Q61">
        <v>450</v>
      </c>
      <c r="R61" s="40"/>
      <c r="T61" s="39">
        <f t="shared" si="20"/>
        <v>25.840326712809929</v>
      </c>
      <c r="U61" s="144">
        <f t="shared" si="21"/>
        <v>112500.00000000001</v>
      </c>
      <c r="V61" s="39">
        <v>25.840326712809929</v>
      </c>
      <c r="W61" s="149">
        <v>112500.00000000001</v>
      </c>
      <c r="X61" s="148">
        <f t="shared" si="22"/>
        <v>0</v>
      </c>
      <c r="Y61" s="148">
        <f t="shared" si="23"/>
        <v>0</v>
      </c>
      <c r="AB61"/>
      <c r="AC61"/>
      <c r="AD61"/>
    </row>
    <row r="62" spans="1:30" x14ac:dyDescent="0.25">
      <c r="A62" s="35">
        <f>A61+1</f>
        <v>34</v>
      </c>
      <c r="B62" s="35">
        <v>0</v>
      </c>
      <c r="C62" s="36">
        <f t="shared" si="24"/>
        <v>5.4830000000000112</v>
      </c>
      <c r="D62" s="36">
        <f t="shared" si="25"/>
        <v>3.35</v>
      </c>
      <c r="E62" s="37">
        <f t="shared" ref="E62:E63" si="89">P62</f>
        <v>1.9380245034607446E-2</v>
      </c>
      <c r="F62">
        <f t="shared" si="12"/>
        <v>3.3698000000000001</v>
      </c>
      <c r="G62">
        <v>50000</v>
      </c>
      <c r="H62" s="38">
        <f t="shared" si="84"/>
        <v>0.10767160161507403</v>
      </c>
      <c r="I62" s="39">
        <v>0.2</v>
      </c>
      <c r="J62" s="80">
        <v>120</v>
      </c>
      <c r="K62">
        <v>0.02</v>
      </c>
      <c r="L62">
        <f t="shared" ref="L62:L63" si="90">I62*0.001*K62</f>
        <v>4.0000000000000007E-6</v>
      </c>
      <c r="M62">
        <f t="shared" ref="M62:M63" si="91">L62*J62*(0.000000001)/(1.6E-19)</f>
        <v>3000000.0000000005</v>
      </c>
      <c r="N62" s="27">
        <f>N61</f>
        <v>2907036.7551911175</v>
      </c>
      <c r="O62" s="40">
        <f t="shared" ref="O62:O63" si="92">M62/N62</f>
        <v>1.031978696052906</v>
      </c>
      <c r="P62" s="37">
        <f t="shared" ref="P62:P63" si="93">K62/O62</f>
        <v>1.9380245034607446E-2</v>
      </c>
      <c r="Q62">
        <v>600</v>
      </c>
      <c r="T62" s="39">
        <f t="shared" si="20"/>
        <v>19.380245034607448</v>
      </c>
      <c r="U62" s="145">
        <f t="shared" si="21"/>
        <v>150000.00000000003</v>
      </c>
      <c r="V62" s="39">
        <v>19.380245034607448</v>
      </c>
      <c r="W62" s="149">
        <v>150000.00000000003</v>
      </c>
      <c r="X62" s="148">
        <f t="shared" si="22"/>
        <v>0</v>
      </c>
      <c r="Y62" s="148">
        <f t="shared" si="23"/>
        <v>0</v>
      </c>
      <c r="AB62"/>
      <c r="AC62"/>
      <c r="AD62"/>
    </row>
    <row r="63" spans="1:30" x14ac:dyDescent="0.25">
      <c r="A63" s="35">
        <f t="shared" ref="A63:A66" si="94">A62+1</f>
        <v>35</v>
      </c>
      <c r="B63" s="35">
        <v>0</v>
      </c>
      <c r="C63" s="36">
        <f t="shared" si="24"/>
        <v>5.4840000000000115</v>
      </c>
      <c r="D63" s="36">
        <f t="shared" si="25"/>
        <v>3.35</v>
      </c>
      <c r="E63" s="37">
        <f t="shared" si="89"/>
        <v>1.5504196027685959E-2</v>
      </c>
      <c r="F63">
        <f t="shared" si="12"/>
        <v>3.3698000000000001</v>
      </c>
      <c r="G63">
        <v>50000</v>
      </c>
      <c r="H63" s="38">
        <f t="shared" si="84"/>
        <v>0.10767160161507403</v>
      </c>
      <c r="I63" s="39">
        <v>0.2</v>
      </c>
      <c r="J63" s="80">
        <v>150</v>
      </c>
      <c r="K63">
        <v>0.02</v>
      </c>
      <c r="L63">
        <f t="shared" si="90"/>
        <v>4.0000000000000007E-6</v>
      </c>
      <c r="M63">
        <f t="shared" si="91"/>
        <v>3750000.0000000005</v>
      </c>
      <c r="N63" s="27">
        <f t="shared" ref="N63:N64" si="95">N62</f>
        <v>2907036.7551911175</v>
      </c>
      <c r="O63" s="40">
        <f t="shared" si="92"/>
        <v>1.2899733700661324</v>
      </c>
      <c r="P63" s="37">
        <f t="shared" si="93"/>
        <v>1.5504196027685959E-2</v>
      </c>
      <c r="Q63">
        <v>750</v>
      </c>
      <c r="R63" s="40"/>
      <c r="T63" s="39">
        <f t="shared" si="20"/>
        <v>15.504196027685959</v>
      </c>
      <c r="U63" s="145">
        <f t="shared" si="21"/>
        <v>187500.00000000003</v>
      </c>
      <c r="V63" s="39">
        <v>15.504196027685959</v>
      </c>
      <c r="W63" s="149">
        <v>187500.00000000003</v>
      </c>
      <c r="X63" s="148">
        <f t="shared" si="22"/>
        <v>0</v>
      </c>
      <c r="Y63" s="148">
        <f t="shared" si="23"/>
        <v>0</v>
      </c>
      <c r="AB63"/>
      <c r="AC63"/>
      <c r="AD63"/>
    </row>
    <row r="64" spans="1:30" x14ac:dyDescent="0.25">
      <c r="A64" s="35">
        <f t="shared" si="94"/>
        <v>36</v>
      </c>
      <c r="B64" s="35">
        <v>0</v>
      </c>
      <c r="C64" s="36">
        <f t="shared" si="24"/>
        <v>5.4850000000000119</v>
      </c>
      <c r="D64" s="36">
        <f t="shared" si="25"/>
        <v>3.35</v>
      </c>
      <c r="E64" s="37">
        <f>P64</f>
        <v>1.2920163356404965E-2</v>
      </c>
      <c r="F64">
        <f t="shared" si="12"/>
        <v>3.3698000000000001</v>
      </c>
      <c r="G64">
        <v>50000</v>
      </c>
      <c r="H64" s="38">
        <f t="shared" si="84"/>
        <v>0.10767160161507403</v>
      </c>
      <c r="I64" s="39">
        <v>0.2</v>
      </c>
      <c r="J64" s="80">
        <v>180</v>
      </c>
      <c r="K64">
        <v>0.02</v>
      </c>
      <c r="L64">
        <f>I64*0.001*K64</f>
        <v>4.0000000000000007E-6</v>
      </c>
      <c r="M64">
        <f>L64*J64*(0.000000001)/(1.6E-19)</f>
        <v>4500000.0000000009</v>
      </c>
      <c r="N64" s="27">
        <f t="shared" si="95"/>
        <v>2907036.7551911175</v>
      </c>
      <c r="O64" s="40">
        <f>M64/N64</f>
        <v>1.5479680440793591</v>
      </c>
      <c r="P64" s="37">
        <f>K64/O64</f>
        <v>1.2920163356404965E-2</v>
      </c>
      <c r="Q64">
        <v>900</v>
      </c>
      <c r="R64" s="40"/>
      <c r="T64" s="39">
        <f t="shared" si="20"/>
        <v>12.920163356404965</v>
      </c>
      <c r="U64" s="145">
        <f t="shared" si="21"/>
        <v>225000.00000000003</v>
      </c>
      <c r="V64" s="39">
        <v>12.920163356404965</v>
      </c>
      <c r="W64" s="149">
        <v>225000.00000000003</v>
      </c>
      <c r="X64" s="148">
        <f t="shared" si="22"/>
        <v>0</v>
      </c>
      <c r="Y64" s="148">
        <f t="shared" si="23"/>
        <v>0</v>
      </c>
      <c r="AB64"/>
      <c r="AC64"/>
      <c r="AD64"/>
    </row>
    <row r="65" spans="1:30" x14ac:dyDescent="0.25">
      <c r="A65" s="35">
        <f t="shared" si="94"/>
        <v>37</v>
      </c>
      <c r="B65" s="35">
        <v>0</v>
      </c>
      <c r="C65" s="36">
        <f t="shared" si="24"/>
        <v>5.4860000000000122</v>
      </c>
      <c r="D65" s="36">
        <f t="shared" si="25"/>
        <v>3.35</v>
      </c>
      <c r="E65" s="37">
        <f t="shared" ref="E65" si="96">P65</f>
        <v>1.1074425734061397E-2</v>
      </c>
      <c r="F65">
        <f t="shared" si="12"/>
        <v>3.3698000000000001</v>
      </c>
      <c r="G65">
        <v>50000</v>
      </c>
      <c r="H65" s="38">
        <f t="shared" si="84"/>
        <v>0.10767160161507403</v>
      </c>
      <c r="I65" s="39">
        <v>0.2</v>
      </c>
      <c r="J65" s="81">
        <v>210</v>
      </c>
      <c r="K65">
        <v>0.02</v>
      </c>
      <c r="L65">
        <f t="shared" ref="L65" si="97">I65*0.001*K65</f>
        <v>4.0000000000000007E-6</v>
      </c>
      <c r="M65">
        <f t="shared" ref="M65" si="98">L65*J65*(0.000000001)/(1.6E-19)</f>
        <v>5250000.0000000009</v>
      </c>
      <c r="N65" s="27">
        <f>N64</f>
        <v>2907036.7551911175</v>
      </c>
      <c r="O65" s="40">
        <f t="shared" ref="O65" si="99">M65/N65</f>
        <v>1.8059627180925857</v>
      </c>
      <c r="P65" s="37">
        <f t="shared" ref="P65" si="100">K65/O65</f>
        <v>1.1074425734061397E-2</v>
      </c>
      <c r="Q65">
        <v>1050</v>
      </c>
      <c r="T65" s="39">
        <f t="shared" si="20"/>
        <v>11.074425734061398</v>
      </c>
      <c r="U65" s="146">
        <f t="shared" si="21"/>
        <v>262500.00000000006</v>
      </c>
      <c r="V65" s="39">
        <v>11.074425734061398</v>
      </c>
      <c r="W65" s="149">
        <v>262500.00000000006</v>
      </c>
      <c r="X65" s="148">
        <f t="shared" si="22"/>
        <v>0</v>
      </c>
      <c r="Y65" s="148">
        <f t="shared" si="23"/>
        <v>0</v>
      </c>
      <c r="AB65"/>
      <c r="AC65"/>
      <c r="AD65"/>
    </row>
    <row r="66" spans="1:30" x14ac:dyDescent="0.25">
      <c r="A66" s="35">
        <f t="shared" si="94"/>
        <v>38</v>
      </c>
      <c r="B66" s="35">
        <v>0</v>
      </c>
      <c r="C66" s="36">
        <f t="shared" si="24"/>
        <v>5.4870000000000125</v>
      </c>
      <c r="D66" s="36">
        <f t="shared" si="25"/>
        <v>3.35</v>
      </c>
      <c r="E66" s="37">
        <f>P66</f>
        <v>9.6901225173037231E-3</v>
      </c>
      <c r="F66">
        <f t="shared" si="12"/>
        <v>3.3698000000000001</v>
      </c>
      <c r="G66">
        <v>50000</v>
      </c>
      <c r="H66" s="38">
        <f t="shared" si="84"/>
        <v>0.10767160161507403</v>
      </c>
      <c r="I66" s="39">
        <v>0.2</v>
      </c>
      <c r="J66" s="81">
        <v>240</v>
      </c>
      <c r="K66">
        <v>0.02</v>
      </c>
      <c r="L66">
        <f>I66*0.001*K66</f>
        <v>4.0000000000000007E-6</v>
      </c>
      <c r="M66">
        <f>L66*J66*(0.000000001)/(1.6E-19)</f>
        <v>6000000.0000000009</v>
      </c>
      <c r="N66" s="27">
        <f>N65</f>
        <v>2907036.7551911175</v>
      </c>
      <c r="O66" s="40">
        <f>M66/N66</f>
        <v>2.0639573921058121</v>
      </c>
      <c r="P66" s="37">
        <f>K66/O66</f>
        <v>9.6901225173037231E-3</v>
      </c>
      <c r="Q66">
        <v>1200</v>
      </c>
      <c r="R66" s="40"/>
      <c r="T66" s="39">
        <f t="shared" si="20"/>
        <v>9.690122517303724</v>
      </c>
      <c r="U66" s="146">
        <f t="shared" si="21"/>
        <v>300000.00000000006</v>
      </c>
      <c r="V66" s="39">
        <v>9.690122517303724</v>
      </c>
      <c r="W66" s="149">
        <v>300000.00000000006</v>
      </c>
      <c r="X66" s="148">
        <f t="shared" si="22"/>
        <v>0</v>
      </c>
      <c r="Y66" s="148">
        <f t="shared" si="23"/>
        <v>0</v>
      </c>
      <c r="AB66"/>
      <c r="AC66"/>
      <c r="AD66"/>
    </row>
    <row r="67" spans="1:30" x14ac:dyDescent="0.25">
      <c r="A67" s="35">
        <f>A66+1</f>
        <v>39</v>
      </c>
      <c r="B67" s="35">
        <v>0</v>
      </c>
      <c r="C67" s="36">
        <f t="shared" si="24"/>
        <v>5.4880000000000129</v>
      </c>
      <c r="D67" s="36">
        <f t="shared" si="25"/>
        <v>3.35</v>
      </c>
      <c r="E67" s="37">
        <f t="shared" ref="E67:E68" si="101">P67</f>
        <v>8.6134422376033092E-3</v>
      </c>
      <c r="F67">
        <f t="shared" si="12"/>
        <v>3.3698000000000001</v>
      </c>
      <c r="G67">
        <v>50000</v>
      </c>
      <c r="H67" s="38">
        <f t="shared" si="84"/>
        <v>0.10767160161507403</v>
      </c>
      <c r="I67" s="39">
        <v>0.2</v>
      </c>
      <c r="J67" s="81">
        <v>270</v>
      </c>
      <c r="K67">
        <v>0.02</v>
      </c>
      <c r="L67">
        <f t="shared" ref="L67:L68" si="102">I67*0.001*K67</f>
        <v>4.0000000000000007E-6</v>
      </c>
      <c r="M67">
        <f t="shared" ref="M67:M68" si="103">L67*J67*(0.000000001)/(1.6E-19)</f>
        <v>6750000.0000000019</v>
      </c>
      <c r="N67" s="27">
        <f>N66</f>
        <v>2907036.7551911175</v>
      </c>
      <c r="O67" s="40">
        <f t="shared" ref="O67:O68" si="104">M67/N67</f>
        <v>2.3219520661190387</v>
      </c>
      <c r="P67" s="37">
        <f t="shared" ref="P67:P68" si="105">K67/O67</f>
        <v>8.6134422376033092E-3</v>
      </c>
      <c r="Q67">
        <v>1350</v>
      </c>
      <c r="T67" s="39">
        <f t="shared" si="20"/>
        <v>8.6134422376033086</v>
      </c>
      <c r="U67" s="146">
        <f t="shared" si="21"/>
        <v>337500.00000000012</v>
      </c>
      <c r="V67" s="39">
        <v>8.6134422376033086</v>
      </c>
      <c r="W67" s="149">
        <v>337500.00000000012</v>
      </c>
      <c r="X67" s="148">
        <f t="shared" si="22"/>
        <v>0</v>
      </c>
      <c r="Y67" s="148">
        <f t="shared" si="23"/>
        <v>0</v>
      </c>
      <c r="AB67"/>
      <c r="AC67"/>
      <c r="AD67"/>
    </row>
    <row r="68" spans="1:30" x14ac:dyDescent="0.25">
      <c r="A68" s="35">
        <f t="shared" ref="A68:A88" si="106">A67+1</f>
        <v>40</v>
      </c>
      <c r="B68" s="35">
        <v>0</v>
      </c>
      <c r="C68" s="36">
        <f t="shared" si="24"/>
        <v>5.4890000000000132</v>
      </c>
      <c r="D68" s="36">
        <f t="shared" si="25"/>
        <v>3.35</v>
      </c>
      <c r="E68" s="37">
        <f t="shared" si="101"/>
        <v>7.7520980138429795E-3</v>
      </c>
      <c r="F68">
        <f t="shared" si="12"/>
        <v>3.3698000000000001</v>
      </c>
      <c r="G68">
        <v>50000</v>
      </c>
      <c r="H68" s="38">
        <f t="shared" si="84"/>
        <v>0.10767160161507403</v>
      </c>
      <c r="I68" s="39">
        <v>0.2</v>
      </c>
      <c r="J68" s="81">
        <v>300</v>
      </c>
      <c r="K68">
        <v>0.02</v>
      </c>
      <c r="L68">
        <f t="shared" si="102"/>
        <v>4.0000000000000007E-6</v>
      </c>
      <c r="M68">
        <f t="shared" si="103"/>
        <v>7500000.0000000009</v>
      </c>
      <c r="N68" s="27">
        <f t="shared" ref="N68:N69" si="107">N67</f>
        <v>2907036.7551911175</v>
      </c>
      <c r="O68" s="40">
        <f t="shared" si="104"/>
        <v>2.5799467401322649</v>
      </c>
      <c r="P68" s="37">
        <f t="shared" si="105"/>
        <v>7.7520980138429795E-3</v>
      </c>
      <c r="Q68">
        <v>1500</v>
      </c>
      <c r="R68" s="40"/>
      <c r="T68" s="39">
        <f t="shared" si="20"/>
        <v>7.7520980138429794</v>
      </c>
      <c r="U68" s="146">
        <f t="shared" si="21"/>
        <v>375000.00000000006</v>
      </c>
      <c r="V68" s="39">
        <v>7.7520980138429794</v>
      </c>
      <c r="W68" s="149">
        <v>375000.00000000006</v>
      </c>
      <c r="X68" s="148">
        <f t="shared" si="22"/>
        <v>0</v>
      </c>
      <c r="Y68" s="148">
        <f t="shared" si="23"/>
        <v>0</v>
      </c>
      <c r="AB68"/>
      <c r="AC68"/>
      <c r="AD68"/>
    </row>
    <row r="69" spans="1:30" x14ac:dyDescent="0.25">
      <c r="A69" s="35">
        <f t="shared" si="106"/>
        <v>41</v>
      </c>
      <c r="B69" s="35">
        <v>0</v>
      </c>
      <c r="C69" s="36">
        <f t="shared" si="24"/>
        <v>5.4900000000000135</v>
      </c>
      <c r="D69" s="36">
        <f t="shared" si="25"/>
        <v>3.35</v>
      </c>
      <c r="E69" s="37">
        <f>P69</f>
        <v>7.047361830766344E-3</v>
      </c>
      <c r="F69">
        <f t="shared" si="12"/>
        <v>3.3698000000000001</v>
      </c>
      <c r="G69">
        <v>50000</v>
      </c>
      <c r="H69" s="38">
        <f t="shared" si="84"/>
        <v>0.10767160161507403</v>
      </c>
      <c r="I69" s="39">
        <v>0.2</v>
      </c>
      <c r="J69" s="81">
        <v>330</v>
      </c>
      <c r="K69">
        <v>0.02</v>
      </c>
      <c r="L69">
        <f>I69*0.001*K69</f>
        <v>4.0000000000000007E-6</v>
      </c>
      <c r="M69">
        <f>L69*J69*(0.000000001)/(1.6E-19)</f>
        <v>8250000.0000000019</v>
      </c>
      <c r="N69" s="27">
        <f t="shared" si="107"/>
        <v>2907036.7551911175</v>
      </c>
      <c r="O69" s="40">
        <f>M69/N69</f>
        <v>2.8379414141454919</v>
      </c>
      <c r="P69" s="37">
        <f>K69/O69</f>
        <v>7.047361830766344E-3</v>
      </c>
      <c r="Q69">
        <v>1650</v>
      </c>
      <c r="R69" s="40"/>
      <c r="T69" s="39">
        <f t="shared" si="20"/>
        <v>7.0473618307663441</v>
      </c>
      <c r="U69" s="146">
        <f t="shared" si="21"/>
        <v>412500.00000000006</v>
      </c>
      <c r="V69" s="39">
        <v>7.0473618307663441</v>
      </c>
      <c r="W69" s="149">
        <v>412500.00000000006</v>
      </c>
      <c r="X69" s="148">
        <f t="shared" si="22"/>
        <v>0</v>
      </c>
      <c r="Y69" s="148">
        <f t="shared" si="23"/>
        <v>0</v>
      </c>
      <c r="AB69"/>
      <c r="AC69"/>
      <c r="AD69"/>
    </row>
    <row r="70" spans="1:30" x14ac:dyDescent="0.25">
      <c r="A70" s="35">
        <f t="shared" si="106"/>
        <v>42</v>
      </c>
      <c r="B70" s="35">
        <v>0</v>
      </c>
      <c r="C70" s="36">
        <f t="shared" si="24"/>
        <v>5.4910000000000139</v>
      </c>
      <c r="D70" s="36">
        <f t="shared" si="25"/>
        <v>3.35</v>
      </c>
      <c r="E70" s="37">
        <f t="shared" ref="E70" si="108">P70</f>
        <v>6.4600816782024824E-3</v>
      </c>
      <c r="F70">
        <f t="shared" si="12"/>
        <v>3.3698000000000001</v>
      </c>
      <c r="G70">
        <v>50000</v>
      </c>
      <c r="H70" s="38">
        <f t="shared" si="84"/>
        <v>0.10767160161507403</v>
      </c>
      <c r="I70" s="39">
        <v>0.2</v>
      </c>
      <c r="J70" s="81">
        <v>360</v>
      </c>
      <c r="K70">
        <v>0.02</v>
      </c>
      <c r="L70">
        <f t="shared" ref="L70" si="109">I70*0.001*K70</f>
        <v>4.0000000000000007E-6</v>
      </c>
      <c r="M70">
        <f t="shared" ref="M70" si="110">L70*J70*(0.000000001)/(1.6E-19)</f>
        <v>9000000.0000000019</v>
      </c>
      <c r="N70" s="27">
        <f>N69</f>
        <v>2907036.7551911175</v>
      </c>
      <c r="O70" s="40">
        <f t="shared" ref="O70" si="111">M70/N70</f>
        <v>3.0959360881587181</v>
      </c>
      <c r="P70" s="37">
        <f t="shared" ref="P70" si="112">K70/O70</f>
        <v>6.4600816782024824E-3</v>
      </c>
      <c r="Q70">
        <v>1800</v>
      </c>
      <c r="T70" s="39">
        <f t="shared" si="20"/>
        <v>6.4600816782024824</v>
      </c>
      <c r="U70" s="146">
        <f t="shared" si="21"/>
        <v>450000.00000000006</v>
      </c>
      <c r="V70" s="39">
        <v>6.4600816782024824</v>
      </c>
      <c r="W70" s="149">
        <v>450000.00000000006</v>
      </c>
      <c r="X70" s="148">
        <f t="shared" si="22"/>
        <v>0</v>
      </c>
      <c r="Y70" s="148">
        <f t="shared" si="23"/>
        <v>0</v>
      </c>
      <c r="AB70"/>
      <c r="AC70"/>
      <c r="AD70"/>
    </row>
    <row r="71" spans="1:30" x14ac:dyDescent="0.25">
      <c r="A71" s="35">
        <f t="shared" si="106"/>
        <v>43</v>
      </c>
      <c r="B71" s="35">
        <v>0</v>
      </c>
      <c r="C71" s="36">
        <f t="shared" si="24"/>
        <v>5.4920000000000142</v>
      </c>
      <c r="D71" s="36">
        <f t="shared" si="25"/>
        <v>3.35</v>
      </c>
      <c r="E71" s="37">
        <f>P71</f>
        <v>5.9631523183407524E-3</v>
      </c>
      <c r="F71">
        <f t="shared" si="12"/>
        <v>3.3698000000000001</v>
      </c>
      <c r="G71">
        <v>50000</v>
      </c>
      <c r="H71" s="38">
        <f t="shared" si="84"/>
        <v>0.10767160161507403</v>
      </c>
      <c r="I71" s="39">
        <v>0.2</v>
      </c>
      <c r="J71" s="81">
        <f>J70+30</f>
        <v>390</v>
      </c>
      <c r="K71">
        <v>0.02</v>
      </c>
      <c r="L71">
        <f>I71*0.001*K71</f>
        <v>4.0000000000000007E-6</v>
      </c>
      <c r="M71">
        <f>L71*J71*(0.000000001)/(1.6E-19)</f>
        <v>9750000.0000000019</v>
      </c>
      <c r="N71" s="27">
        <f>N70</f>
        <v>2907036.7551911175</v>
      </c>
      <c r="O71" s="40">
        <f>M71/N71</f>
        <v>3.3539307621719447</v>
      </c>
      <c r="P71" s="37">
        <f>K71/O71</f>
        <v>5.9631523183407524E-3</v>
      </c>
      <c r="Q71">
        <v>1950</v>
      </c>
      <c r="R71" s="40"/>
      <c r="T71" s="39">
        <f t="shared" si="20"/>
        <v>5.963152318340752</v>
      </c>
      <c r="U71" s="146">
        <f t="shared" si="21"/>
        <v>487500.00000000017</v>
      </c>
      <c r="V71" s="39">
        <v>5.963152318340752</v>
      </c>
      <c r="W71" s="149">
        <v>487500.00000000017</v>
      </c>
      <c r="X71" s="148">
        <f t="shared" si="22"/>
        <v>0</v>
      </c>
      <c r="Y71" s="148">
        <f t="shared" si="23"/>
        <v>0</v>
      </c>
      <c r="AB71"/>
      <c r="AC71"/>
      <c r="AD71"/>
    </row>
    <row r="72" spans="1:30" x14ac:dyDescent="0.25">
      <c r="A72" s="35">
        <f>A71+1</f>
        <v>44</v>
      </c>
      <c r="B72" s="35">
        <v>0</v>
      </c>
      <c r="C72" s="36">
        <f t="shared" si="24"/>
        <v>5.4930000000000145</v>
      </c>
      <c r="D72" s="36">
        <f t="shared" si="25"/>
        <v>3.35</v>
      </c>
      <c r="E72" s="37">
        <f t="shared" ref="E72:E73" si="113">P72</f>
        <v>5.5372128670306987E-3</v>
      </c>
      <c r="F72">
        <f t="shared" si="12"/>
        <v>3.3698000000000001</v>
      </c>
      <c r="G72">
        <v>50000</v>
      </c>
      <c r="H72" s="38">
        <f t="shared" si="84"/>
        <v>0.10767160161507403</v>
      </c>
      <c r="I72" s="39">
        <v>0.2</v>
      </c>
      <c r="J72" s="81">
        <f t="shared" ref="J72:J88" si="114">J71+30</f>
        <v>420</v>
      </c>
      <c r="K72">
        <v>0.02</v>
      </c>
      <c r="L72">
        <f t="shared" ref="L72:L73" si="115">I72*0.001*K72</f>
        <v>4.0000000000000007E-6</v>
      </c>
      <c r="M72">
        <f t="shared" ref="M72:M73" si="116">L72*J72*(0.000000001)/(1.6E-19)</f>
        <v>10500000.000000002</v>
      </c>
      <c r="N72" s="27">
        <f>N71</f>
        <v>2907036.7551911175</v>
      </c>
      <c r="O72" s="40">
        <f t="shared" ref="O72:O73" si="117">M72/N72</f>
        <v>3.6119254361851714</v>
      </c>
      <c r="P72" s="37">
        <f t="shared" ref="P72:P73" si="118">K72/O72</f>
        <v>5.5372128670306987E-3</v>
      </c>
      <c r="Q72">
        <v>2100</v>
      </c>
      <c r="T72" s="39">
        <f t="shared" si="20"/>
        <v>5.537212867030699</v>
      </c>
      <c r="U72" s="146">
        <f t="shared" si="21"/>
        <v>525000.00000000012</v>
      </c>
      <c r="V72" s="39">
        <v>5.537212867030699</v>
      </c>
      <c r="W72" s="149">
        <v>525000.00000000012</v>
      </c>
      <c r="X72" s="148">
        <f t="shared" si="22"/>
        <v>0</v>
      </c>
      <c r="Y72" s="148">
        <f t="shared" si="23"/>
        <v>0</v>
      </c>
      <c r="AB72"/>
      <c r="AC72"/>
      <c r="AD72"/>
    </row>
    <row r="73" spans="1:30" x14ac:dyDescent="0.25">
      <c r="A73" s="35">
        <f t="shared" si="106"/>
        <v>45</v>
      </c>
      <c r="B73" s="35">
        <v>0</v>
      </c>
      <c r="C73" s="36">
        <f t="shared" si="24"/>
        <v>5.4940000000000149</v>
      </c>
      <c r="D73" s="36">
        <f t="shared" si="25"/>
        <v>3.35</v>
      </c>
      <c r="E73" s="37">
        <f t="shared" si="113"/>
        <v>5.1680653425619852E-3</v>
      </c>
      <c r="F73">
        <f t="shared" si="12"/>
        <v>3.3698000000000001</v>
      </c>
      <c r="G73">
        <v>50000</v>
      </c>
      <c r="H73" s="38">
        <f t="shared" si="84"/>
        <v>0.10767160161507403</v>
      </c>
      <c r="I73" s="39">
        <v>0.2</v>
      </c>
      <c r="J73" s="81">
        <f t="shared" si="114"/>
        <v>450</v>
      </c>
      <c r="K73">
        <v>0.02</v>
      </c>
      <c r="L73">
        <f t="shared" si="115"/>
        <v>4.0000000000000007E-6</v>
      </c>
      <c r="M73">
        <f t="shared" si="116"/>
        <v>11250000.000000004</v>
      </c>
      <c r="N73" s="27">
        <f t="shared" ref="N73:N74" si="119">N72</f>
        <v>2907036.7551911175</v>
      </c>
      <c r="O73" s="40">
        <f t="shared" si="117"/>
        <v>3.8699201101983984</v>
      </c>
      <c r="P73" s="37">
        <f t="shared" si="118"/>
        <v>5.1680653425619852E-3</v>
      </c>
      <c r="Q73">
        <v>2250</v>
      </c>
      <c r="R73" s="40"/>
      <c r="T73" s="39">
        <f t="shared" si="20"/>
        <v>5.1680653425619854</v>
      </c>
      <c r="U73" s="146">
        <f t="shared" si="21"/>
        <v>562500.00000000012</v>
      </c>
      <c r="V73" s="39">
        <v>5.1680653425619862</v>
      </c>
      <c r="W73" s="149">
        <v>562500</v>
      </c>
      <c r="X73" s="148">
        <f t="shared" si="22"/>
        <v>0</v>
      </c>
      <c r="Y73" s="148">
        <f t="shared" si="23"/>
        <v>0</v>
      </c>
      <c r="AB73"/>
      <c r="AC73"/>
      <c r="AD73"/>
    </row>
    <row r="74" spans="1:30" x14ac:dyDescent="0.25">
      <c r="A74" s="35">
        <f t="shared" si="106"/>
        <v>46</v>
      </c>
      <c r="B74" s="35">
        <v>0</v>
      </c>
      <c r="C74" s="36">
        <f t="shared" si="24"/>
        <v>5.4950000000000152</v>
      </c>
      <c r="D74" s="36">
        <f t="shared" si="25"/>
        <v>3.35</v>
      </c>
      <c r="E74" s="37">
        <f>P74</f>
        <v>4.8450612586518615E-3</v>
      </c>
      <c r="F74">
        <f t="shared" si="12"/>
        <v>3.3698000000000001</v>
      </c>
      <c r="G74">
        <v>50000</v>
      </c>
      <c r="H74" s="38">
        <f t="shared" si="84"/>
        <v>0.10767160161507403</v>
      </c>
      <c r="I74" s="39">
        <v>0.2</v>
      </c>
      <c r="J74" s="81">
        <f t="shared" si="114"/>
        <v>480</v>
      </c>
      <c r="K74">
        <v>0.02</v>
      </c>
      <c r="L74">
        <f>I74*0.001*K74</f>
        <v>4.0000000000000007E-6</v>
      </c>
      <c r="M74">
        <f>L74*J74*(0.000000001)/(1.6E-19)</f>
        <v>12000000.000000002</v>
      </c>
      <c r="N74" s="27">
        <f t="shared" si="119"/>
        <v>2907036.7551911175</v>
      </c>
      <c r="O74" s="40">
        <f>M74/N74</f>
        <v>4.1279147842116242</v>
      </c>
      <c r="P74" s="37">
        <f>K74/O74</f>
        <v>4.8450612586518615E-3</v>
      </c>
      <c r="Q74">
        <v>2400</v>
      </c>
      <c r="R74" s="40"/>
      <c r="T74" s="39">
        <f t="shared" si="20"/>
        <v>4.845061258651862</v>
      </c>
      <c r="U74" s="146">
        <f t="shared" si="21"/>
        <v>600000.00000000012</v>
      </c>
      <c r="V74" s="39">
        <v>4.845061258651862</v>
      </c>
      <c r="W74" s="149">
        <v>600000.00000000012</v>
      </c>
      <c r="X74" s="148">
        <f t="shared" si="22"/>
        <v>0</v>
      </c>
      <c r="Y74" s="148">
        <f t="shared" si="23"/>
        <v>0</v>
      </c>
      <c r="AB74"/>
      <c r="AC74"/>
      <c r="AD74"/>
    </row>
    <row r="75" spans="1:30" x14ac:dyDescent="0.25">
      <c r="A75" s="35">
        <f t="shared" si="106"/>
        <v>47</v>
      </c>
      <c r="B75" s="35">
        <v>0</v>
      </c>
      <c r="C75" s="36">
        <f t="shared" si="24"/>
        <v>5.4960000000000155</v>
      </c>
      <c r="D75" s="36">
        <f t="shared" si="25"/>
        <v>3.35</v>
      </c>
      <c r="E75" s="37">
        <f t="shared" ref="E75" si="120">P75</f>
        <v>4.5600576552017524E-3</v>
      </c>
      <c r="F75">
        <f t="shared" si="12"/>
        <v>3.3698000000000001</v>
      </c>
      <c r="G75">
        <v>50000</v>
      </c>
      <c r="H75" s="38">
        <f t="shared" si="84"/>
        <v>0.10767160161507403</v>
      </c>
      <c r="I75" s="39">
        <v>0.2</v>
      </c>
      <c r="J75" s="81">
        <f t="shared" si="114"/>
        <v>510</v>
      </c>
      <c r="K75">
        <v>0.02</v>
      </c>
      <c r="L75">
        <f t="shared" ref="L75" si="121">I75*0.001*K75</f>
        <v>4.0000000000000007E-6</v>
      </c>
      <c r="M75">
        <f t="shared" ref="M75" si="122">L75*J75*(0.000000001)/(1.6E-19)</f>
        <v>12750000.000000002</v>
      </c>
      <c r="N75" s="27">
        <f>N74</f>
        <v>2907036.7551911175</v>
      </c>
      <c r="O75" s="40">
        <f t="shared" ref="O75" si="123">M75/N75</f>
        <v>4.3859094582248508</v>
      </c>
      <c r="P75" s="37">
        <f t="shared" ref="P75" si="124">K75/O75</f>
        <v>4.5600576552017524E-3</v>
      </c>
      <c r="Q75">
        <v>2550</v>
      </c>
      <c r="T75" s="39">
        <f t="shared" si="20"/>
        <v>4.560057655201752</v>
      </c>
      <c r="U75" s="146">
        <f t="shared" si="21"/>
        <v>637500.00000000012</v>
      </c>
      <c r="V75" s="39">
        <v>4.560057655201752</v>
      </c>
      <c r="W75" s="149">
        <v>637500.00000000012</v>
      </c>
      <c r="X75" s="148">
        <f t="shared" si="22"/>
        <v>0</v>
      </c>
      <c r="Y75" s="148">
        <f t="shared" si="23"/>
        <v>0</v>
      </c>
      <c r="AB75"/>
      <c r="AC75"/>
      <c r="AD75"/>
    </row>
    <row r="76" spans="1:30" x14ac:dyDescent="0.25">
      <c r="A76" s="35">
        <f t="shared" si="106"/>
        <v>48</v>
      </c>
      <c r="B76" s="35">
        <v>0</v>
      </c>
      <c r="C76" s="36">
        <f t="shared" si="24"/>
        <v>5.4970000000000159</v>
      </c>
      <c r="D76" s="36">
        <f t="shared" si="25"/>
        <v>3.35</v>
      </c>
      <c r="E76" s="37">
        <f>P76</f>
        <v>4.3067211188016546E-3</v>
      </c>
      <c r="F76">
        <f t="shared" si="12"/>
        <v>3.3698000000000001</v>
      </c>
      <c r="G76">
        <v>50000</v>
      </c>
      <c r="H76" s="38">
        <f t="shared" si="84"/>
        <v>0.10767160161507403</v>
      </c>
      <c r="I76" s="39">
        <v>0.2</v>
      </c>
      <c r="J76" s="81">
        <f t="shared" si="114"/>
        <v>540</v>
      </c>
      <c r="K76">
        <v>0.02</v>
      </c>
      <c r="L76">
        <f>I76*0.001*K76</f>
        <v>4.0000000000000007E-6</v>
      </c>
      <c r="M76">
        <f>L76*J76*(0.000000001)/(1.6E-19)</f>
        <v>13500000.000000004</v>
      </c>
      <c r="N76" s="27">
        <f>N75</f>
        <v>2907036.7551911175</v>
      </c>
      <c r="O76" s="40">
        <f>M76/N76</f>
        <v>4.6439041322380774</v>
      </c>
      <c r="P76" s="37">
        <f>K76/O76</f>
        <v>4.3067211188016546E-3</v>
      </c>
      <c r="Q76">
        <v>2700</v>
      </c>
      <c r="R76" s="40"/>
      <c r="T76" s="39">
        <f t="shared" si="20"/>
        <v>4.3067211188016543</v>
      </c>
      <c r="U76" s="146">
        <f t="shared" si="21"/>
        <v>675000.00000000023</v>
      </c>
      <c r="V76" s="39">
        <v>4.3067211188016543</v>
      </c>
      <c r="W76" s="149">
        <v>675000.00000000023</v>
      </c>
      <c r="X76" s="148">
        <f t="shared" si="22"/>
        <v>0</v>
      </c>
      <c r="Y76" s="148">
        <f t="shared" si="23"/>
        <v>0</v>
      </c>
      <c r="AB76"/>
      <c r="AC76"/>
      <c r="AD76"/>
    </row>
    <row r="77" spans="1:30" x14ac:dyDescent="0.25">
      <c r="A77" s="35">
        <f>A76+1</f>
        <v>49</v>
      </c>
      <c r="B77" s="35">
        <v>0</v>
      </c>
      <c r="C77" s="36">
        <f t="shared" si="24"/>
        <v>5.4980000000000162</v>
      </c>
      <c r="D77" s="36">
        <f t="shared" si="25"/>
        <v>3.35</v>
      </c>
      <c r="E77" s="37">
        <f t="shared" ref="E77:E78" si="125">P77</f>
        <v>4.0800515862331466E-3</v>
      </c>
      <c r="F77">
        <f t="shared" si="12"/>
        <v>3.3698000000000001</v>
      </c>
      <c r="G77">
        <v>50000</v>
      </c>
      <c r="H77" s="38">
        <f t="shared" si="84"/>
        <v>0.10767160161507403</v>
      </c>
      <c r="I77" s="39">
        <v>0.2</v>
      </c>
      <c r="J77" s="81">
        <f t="shared" si="114"/>
        <v>570</v>
      </c>
      <c r="K77">
        <v>0.02</v>
      </c>
      <c r="L77">
        <f t="shared" ref="L77:L78" si="126">I77*0.001*K77</f>
        <v>4.0000000000000007E-6</v>
      </c>
      <c r="M77">
        <f t="shared" ref="M77:M78" si="127">L77*J77*(0.000000001)/(1.6E-19)</f>
        <v>14250000.000000004</v>
      </c>
      <c r="N77" s="27">
        <f>N76</f>
        <v>2907036.7551911175</v>
      </c>
      <c r="O77" s="40">
        <f t="shared" ref="O77:O78" si="128">M77/N77</f>
        <v>4.901898806251304</v>
      </c>
      <c r="P77" s="37">
        <f t="shared" ref="P77:P78" si="129">K77/O77</f>
        <v>4.0800515862331466E-3</v>
      </c>
      <c r="Q77">
        <v>2850</v>
      </c>
      <c r="T77" s="39">
        <f t="shared" si="20"/>
        <v>4.0800515862331466</v>
      </c>
      <c r="U77" s="146">
        <f t="shared" si="21"/>
        <v>712500.00000000012</v>
      </c>
      <c r="V77" s="39">
        <v>4.0800515862331466</v>
      </c>
      <c r="W77" s="149">
        <v>712500.00000000012</v>
      </c>
      <c r="X77" s="148">
        <f t="shared" si="22"/>
        <v>0</v>
      </c>
      <c r="Y77" s="148">
        <f t="shared" si="23"/>
        <v>0</v>
      </c>
      <c r="AB77"/>
      <c r="AC77"/>
      <c r="AD77"/>
    </row>
    <row r="78" spans="1:30" x14ac:dyDescent="0.25">
      <c r="A78" s="35">
        <f t="shared" si="106"/>
        <v>50</v>
      </c>
      <c r="B78" s="35">
        <v>0</v>
      </c>
      <c r="C78" s="36">
        <f t="shared" si="24"/>
        <v>5.4990000000000165</v>
      </c>
      <c r="D78" s="36">
        <f t="shared" si="25"/>
        <v>3.35</v>
      </c>
      <c r="E78" s="37">
        <f t="shared" si="125"/>
        <v>3.8760490069214898E-3</v>
      </c>
      <c r="F78">
        <f t="shared" si="12"/>
        <v>3.3698000000000001</v>
      </c>
      <c r="G78">
        <v>50000</v>
      </c>
      <c r="H78" s="38">
        <f t="shared" si="84"/>
        <v>0.10767160161507403</v>
      </c>
      <c r="I78" s="39">
        <v>0.2</v>
      </c>
      <c r="J78" s="81">
        <f t="shared" si="114"/>
        <v>600</v>
      </c>
      <c r="K78">
        <v>0.02</v>
      </c>
      <c r="L78">
        <f t="shared" si="126"/>
        <v>4.0000000000000007E-6</v>
      </c>
      <c r="M78">
        <f t="shared" si="127"/>
        <v>15000000.000000002</v>
      </c>
      <c r="N78" s="27">
        <f t="shared" ref="N78:N79" si="130">N77</f>
        <v>2907036.7551911175</v>
      </c>
      <c r="O78" s="40">
        <f t="shared" si="128"/>
        <v>5.1598934802645298</v>
      </c>
      <c r="P78" s="37">
        <f t="shared" si="129"/>
        <v>3.8760490069214898E-3</v>
      </c>
      <c r="Q78">
        <v>3000</v>
      </c>
      <c r="R78" s="40"/>
      <c r="T78" s="39">
        <f t="shared" si="20"/>
        <v>3.8760490069214897</v>
      </c>
      <c r="U78" s="146">
        <f t="shared" si="21"/>
        <v>750000.00000000012</v>
      </c>
      <c r="V78" s="39">
        <v>3.8760490069214897</v>
      </c>
      <c r="W78" s="149">
        <v>750000.00000000012</v>
      </c>
      <c r="X78" s="148">
        <f t="shared" si="22"/>
        <v>0</v>
      </c>
      <c r="Y78" s="148">
        <f t="shared" si="23"/>
        <v>0</v>
      </c>
      <c r="AB78"/>
      <c r="AC78"/>
      <c r="AD78"/>
    </row>
    <row r="79" spans="1:30" x14ac:dyDescent="0.25">
      <c r="A79" s="35">
        <f t="shared" si="106"/>
        <v>51</v>
      </c>
      <c r="B79" s="35">
        <v>0</v>
      </c>
      <c r="C79" s="36">
        <f t="shared" si="24"/>
        <v>5.5000000000000169</v>
      </c>
      <c r="D79" s="36">
        <f t="shared" si="25"/>
        <v>3.35</v>
      </c>
      <c r="E79" s="37">
        <f>P79</f>
        <v>3.6914752446871326E-3</v>
      </c>
      <c r="F79">
        <f t="shared" si="12"/>
        <v>3.3698000000000001</v>
      </c>
      <c r="G79">
        <v>50000</v>
      </c>
      <c r="H79" s="38">
        <f t="shared" si="84"/>
        <v>0.10767160161507403</v>
      </c>
      <c r="I79" s="39">
        <v>0.2</v>
      </c>
      <c r="J79" s="81">
        <f t="shared" si="114"/>
        <v>630</v>
      </c>
      <c r="K79">
        <v>0.02</v>
      </c>
      <c r="L79">
        <f>I79*0.001*K79</f>
        <v>4.0000000000000007E-6</v>
      </c>
      <c r="M79">
        <f>L79*J79*(0.000000001)/(1.6E-19)</f>
        <v>15750000.000000004</v>
      </c>
      <c r="N79" s="27">
        <f t="shared" si="130"/>
        <v>2907036.7551911175</v>
      </c>
      <c r="O79" s="40">
        <f>M79/N79</f>
        <v>5.4178881542777573</v>
      </c>
      <c r="P79" s="37">
        <f>K79/O79</f>
        <v>3.6914752446871326E-3</v>
      </c>
      <c r="Q79">
        <v>3150</v>
      </c>
      <c r="R79" s="40"/>
      <c r="T79" s="39">
        <f t="shared" si="20"/>
        <v>3.6914752446871324</v>
      </c>
      <c r="U79" s="146">
        <f t="shared" si="21"/>
        <v>787500.00000000023</v>
      </c>
      <c r="V79" s="39">
        <v>3.6914752446871328</v>
      </c>
      <c r="W79" s="149">
        <v>787500.00000000012</v>
      </c>
      <c r="X79" s="148">
        <f t="shared" si="22"/>
        <v>0</v>
      </c>
      <c r="Y79" s="148">
        <f t="shared" si="23"/>
        <v>0</v>
      </c>
      <c r="AB79"/>
      <c r="AC79"/>
      <c r="AD79"/>
    </row>
    <row r="80" spans="1:30" x14ac:dyDescent="0.25">
      <c r="A80" s="35">
        <f t="shared" si="106"/>
        <v>52</v>
      </c>
      <c r="B80" s="35">
        <v>0</v>
      </c>
      <c r="C80" s="36">
        <f t="shared" si="24"/>
        <v>5.5010000000000172</v>
      </c>
      <c r="D80" s="36">
        <f t="shared" si="25"/>
        <v>3.35</v>
      </c>
      <c r="E80" s="37">
        <f t="shared" ref="E80" si="131">P80</f>
        <v>0</v>
      </c>
      <c r="F80">
        <f t="shared" si="12"/>
        <v>3.3698000000000001</v>
      </c>
      <c r="G80">
        <v>50000</v>
      </c>
      <c r="H80" s="38">
        <f t="shared" si="84"/>
        <v>0.10767160161507403</v>
      </c>
      <c r="I80" s="39">
        <v>0.2</v>
      </c>
      <c r="K80">
        <v>0.02</v>
      </c>
      <c r="L80">
        <f t="shared" ref="L80" si="132">I80*0.001*K80</f>
        <v>4.0000000000000007E-6</v>
      </c>
      <c r="M80">
        <f t="shared" ref="M80" si="133">L80*J80*(0.000000001)/(1.6E-19)</f>
        <v>0</v>
      </c>
      <c r="N80" s="27">
        <f>N79</f>
        <v>2907036.7551911175</v>
      </c>
      <c r="O80" s="40">
        <f t="shared" ref="O80" si="134">M80/N80</f>
        <v>0</v>
      </c>
      <c r="P80" s="37"/>
      <c r="Q80">
        <v>3300</v>
      </c>
      <c r="U80" s="27"/>
      <c r="V80" s="39">
        <v>3.5236809153831721</v>
      </c>
      <c r="W80" s="149">
        <v>825000.00000000012</v>
      </c>
      <c r="AB80"/>
      <c r="AC80"/>
      <c r="AD80"/>
    </row>
    <row r="81" spans="1:30" x14ac:dyDescent="0.25">
      <c r="A81" s="35">
        <f t="shared" si="106"/>
        <v>53</v>
      </c>
      <c r="B81" s="35">
        <v>0</v>
      </c>
      <c r="C81" s="36">
        <f t="shared" si="24"/>
        <v>5.5020000000000175</v>
      </c>
      <c r="D81" s="36">
        <f t="shared" si="25"/>
        <v>3.35</v>
      </c>
      <c r="E81" s="37">
        <f>P81</f>
        <v>3.3704773973230345E-3</v>
      </c>
      <c r="F81">
        <f t="shared" si="12"/>
        <v>3.3698000000000001</v>
      </c>
      <c r="G81">
        <v>50000</v>
      </c>
      <c r="H81" s="38">
        <f t="shared" si="84"/>
        <v>0.10767160161507403</v>
      </c>
      <c r="I81" s="39">
        <v>0.2</v>
      </c>
      <c r="J81" s="81">
        <v>690</v>
      </c>
      <c r="K81">
        <v>0.02</v>
      </c>
      <c r="L81">
        <f>I81*0.001*K81</f>
        <v>4.0000000000000007E-6</v>
      </c>
      <c r="M81">
        <f>L81*J81*(0.000000001)/(1.6E-19)</f>
        <v>17250000.000000004</v>
      </c>
      <c r="N81" s="27">
        <f>N80</f>
        <v>2907036.7551911175</v>
      </c>
      <c r="O81" s="40">
        <f>M81/N81</f>
        <v>5.9338775023042096</v>
      </c>
      <c r="P81" s="37">
        <f>K81/O81</f>
        <v>3.3704773973230345E-3</v>
      </c>
      <c r="Q81">
        <v>3450</v>
      </c>
      <c r="R81" s="40"/>
      <c r="T81" s="39">
        <f t="shared" si="20"/>
        <v>3.3704773973230346</v>
      </c>
      <c r="U81" s="146">
        <f t="shared" si="21"/>
        <v>862500</v>
      </c>
      <c r="V81" s="39">
        <v>3.3704773973230346</v>
      </c>
      <c r="W81" s="149">
        <v>862500</v>
      </c>
      <c r="X81" s="148">
        <f t="shared" si="22"/>
        <v>0</v>
      </c>
      <c r="Y81" s="148">
        <f t="shared" si="23"/>
        <v>0</v>
      </c>
      <c r="AB81"/>
      <c r="AC81"/>
      <c r="AD81"/>
    </row>
    <row r="82" spans="1:30" x14ac:dyDescent="0.25">
      <c r="A82" s="35">
        <f>A81+1</f>
        <v>54</v>
      </c>
      <c r="B82" s="35">
        <v>0</v>
      </c>
      <c r="C82" s="36">
        <f t="shared" si="24"/>
        <v>5.5030000000000179</v>
      </c>
      <c r="D82" s="36">
        <f t="shared" si="25"/>
        <v>3.35</v>
      </c>
      <c r="E82" s="37">
        <f t="shared" ref="E82:E83" si="135">P82</f>
        <v>3.2300408391012412E-3</v>
      </c>
      <c r="F82">
        <f t="shared" si="12"/>
        <v>3.3698000000000001</v>
      </c>
      <c r="G82">
        <v>50000</v>
      </c>
      <c r="H82" s="38">
        <f t="shared" si="84"/>
        <v>0.10767160161507403</v>
      </c>
      <c r="I82" s="39">
        <v>0.2</v>
      </c>
      <c r="J82" s="81">
        <f t="shared" si="114"/>
        <v>720</v>
      </c>
      <c r="K82">
        <v>0.02</v>
      </c>
      <c r="L82">
        <f t="shared" ref="L82:L83" si="136">I82*0.001*K82</f>
        <v>4.0000000000000007E-6</v>
      </c>
      <c r="M82">
        <f t="shared" ref="M82:M83" si="137">L82*J82*(0.000000001)/(1.6E-19)</f>
        <v>18000000.000000004</v>
      </c>
      <c r="N82" s="27">
        <f>N81</f>
        <v>2907036.7551911175</v>
      </c>
      <c r="O82" s="40">
        <f t="shared" ref="O82:O83" si="138">M82/N82</f>
        <v>6.1918721763174362</v>
      </c>
      <c r="P82" s="37">
        <f t="shared" ref="P82:P83" si="139">K82/O82</f>
        <v>3.2300408391012412E-3</v>
      </c>
      <c r="Q82">
        <v>3600</v>
      </c>
      <c r="T82" s="39">
        <f t="shared" si="20"/>
        <v>3.2300408391012412</v>
      </c>
      <c r="U82" s="146">
        <f t="shared" si="21"/>
        <v>900000.00000000012</v>
      </c>
      <c r="V82" s="39">
        <v>3.2300408391012412</v>
      </c>
      <c r="W82" s="149">
        <v>900000.00000000012</v>
      </c>
      <c r="X82" s="148">
        <f t="shared" si="22"/>
        <v>0</v>
      </c>
      <c r="Y82" s="148">
        <f t="shared" si="23"/>
        <v>0</v>
      </c>
      <c r="AB82"/>
      <c r="AC82"/>
      <c r="AD82"/>
    </row>
    <row r="83" spans="1:30" x14ac:dyDescent="0.25">
      <c r="A83" s="35">
        <f t="shared" si="106"/>
        <v>55</v>
      </c>
      <c r="B83" s="35">
        <v>0</v>
      </c>
      <c r="C83" s="36">
        <f t="shared" si="24"/>
        <v>5.5040000000000182</v>
      </c>
      <c r="D83" s="36">
        <f t="shared" si="25"/>
        <v>3.35</v>
      </c>
      <c r="E83" s="37">
        <f t="shared" si="135"/>
        <v>3.1008392055371916E-3</v>
      </c>
      <c r="F83">
        <f t="shared" si="12"/>
        <v>3.3698000000000001</v>
      </c>
      <c r="G83">
        <v>50000</v>
      </c>
      <c r="H83" s="38">
        <f t="shared" si="84"/>
        <v>0.10767160161507403</v>
      </c>
      <c r="I83" s="39">
        <v>0.2</v>
      </c>
      <c r="J83" s="81">
        <f t="shared" si="114"/>
        <v>750</v>
      </c>
      <c r="K83">
        <v>0.02</v>
      </c>
      <c r="L83">
        <f t="shared" si="136"/>
        <v>4.0000000000000007E-6</v>
      </c>
      <c r="M83">
        <f t="shared" si="137"/>
        <v>18750000.000000004</v>
      </c>
      <c r="N83" s="27">
        <f t="shared" ref="N83:N84" si="140">N82</f>
        <v>2907036.7551911175</v>
      </c>
      <c r="O83" s="40">
        <f t="shared" si="138"/>
        <v>6.4498668503306629</v>
      </c>
      <c r="P83" s="37">
        <f t="shared" si="139"/>
        <v>3.1008392055371916E-3</v>
      </c>
      <c r="Q83">
        <v>3750</v>
      </c>
      <c r="R83" s="40"/>
      <c r="T83" s="39">
        <f t="shared" si="20"/>
        <v>3.1008392055371918</v>
      </c>
      <c r="U83" s="146">
        <f t="shared" si="21"/>
        <v>937500.00000000012</v>
      </c>
      <c r="V83" s="39">
        <v>3.1008392055371918</v>
      </c>
      <c r="W83" s="149">
        <v>937500.00000000012</v>
      </c>
      <c r="X83" s="148">
        <f t="shared" si="22"/>
        <v>0</v>
      </c>
      <c r="Y83" s="148">
        <f t="shared" si="23"/>
        <v>0</v>
      </c>
      <c r="AB83"/>
      <c r="AC83"/>
      <c r="AD83"/>
    </row>
    <row r="84" spans="1:30" x14ac:dyDescent="0.25">
      <c r="A84" s="35">
        <f t="shared" si="106"/>
        <v>56</v>
      </c>
      <c r="B84" s="35">
        <v>0</v>
      </c>
      <c r="C84" s="36">
        <f t="shared" si="24"/>
        <v>5.5050000000000185</v>
      </c>
      <c r="D84" s="36">
        <f t="shared" si="25"/>
        <v>3.35</v>
      </c>
      <c r="E84" s="37">
        <f>P84</f>
        <v>2.9815761591703762E-3</v>
      </c>
      <c r="F84">
        <f t="shared" si="12"/>
        <v>3.3698000000000001</v>
      </c>
      <c r="G84">
        <v>50000</v>
      </c>
      <c r="H84" s="38">
        <f t="shared" si="84"/>
        <v>0.10767160161507403</v>
      </c>
      <c r="I84" s="39">
        <v>0.2</v>
      </c>
      <c r="J84" s="81">
        <f t="shared" si="114"/>
        <v>780</v>
      </c>
      <c r="K84">
        <v>0.02</v>
      </c>
      <c r="L84">
        <f>I84*0.001*K84</f>
        <v>4.0000000000000007E-6</v>
      </c>
      <c r="M84">
        <f>L84*J84*(0.000000001)/(1.6E-19)</f>
        <v>19500000.000000004</v>
      </c>
      <c r="N84" s="27">
        <f t="shared" si="140"/>
        <v>2907036.7551911175</v>
      </c>
      <c r="O84" s="40">
        <f>M84/N84</f>
        <v>6.7078615243438895</v>
      </c>
      <c r="P84" s="37">
        <f>K84/O84</f>
        <v>2.9815761591703762E-3</v>
      </c>
      <c r="Q84">
        <v>3900</v>
      </c>
      <c r="R84" s="40"/>
      <c r="T84" s="39">
        <f t="shared" si="20"/>
        <v>2.981576159170376</v>
      </c>
      <c r="U84" s="146">
        <f t="shared" si="21"/>
        <v>975000.00000000035</v>
      </c>
      <c r="V84" s="39">
        <v>2.981576159170376</v>
      </c>
      <c r="W84" s="149">
        <v>975000.00000000035</v>
      </c>
      <c r="X84" s="148">
        <f t="shared" si="22"/>
        <v>0</v>
      </c>
      <c r="Y84" s="148">
        <f t="shared" si="23"/>
        <v>0</v>
      </c>
      <c r="AB84"/>
      <c r="AC84"/>
      <c r="AD84"/>
    </row>
    <row r="85" spans="1:30" x14ac:dyDescent="0.25">
      <c r="A85" s="35">
        <f t="shared" si="106"/>
        <v>57</v>
      </c>
      <c r="B85" s="35">
        <v>0</v>
      </c>
      <c r="C85" s="36">
        <f t="shared" si="24"/>
        <v>5.5060000000000189</v>
      </c>
      <c r="D85" s="36">
        <f t="shared" si="25"/>
        <v>3.35</v>
      </c>
      <c r="E85" s="37">
        <f t="shared" ref="E85" si="141">P85</f>
        <v>2.871147412534436E-3</v>
      </c>
      <c r="F85">
        <f t="shared" si="12"/>
        <v>3.3698000000000001</v>
      </c>
      <c r="G85">
        <v>50000</v>
      </c>
      <c r="H85" s="38">
        <f t="shared" si="84"/>
        <v>0.10767160161507403</v>
      </c>
      <c r="I85" s="39">
        <v>0.2</v>
      </c>
      <c r="J85" s="81">
        <f t="shared" si="114"/>
        <v>810</v>
      </c>
      <c r="K85">
        <v>0.02</v>
      </c>
      <c r="L85">
        <f t="shared" ref="L85" si="142">I85*0.001*K85</f>
        <v>4.0000000000000007E-6</v>
      </c>
      <c r="M85">
        <f t="shared" ref="M85" si="143">L85*J85*(0.000000001)/(1.6E-19)</f>
        <v>20250000.000000007</v>
      </c>
      <c r="N85" s="27">
        <f>N84</f>
        <v>2907036.7551911175</v>
      </c>
      <c r="O85" s="40">
        <f t="shared" ref="O85" si="144">M85/N85</f>
        <v>6.965856198357117</v>
      </c>
      <c r="P85" s="37">
        <f t="shared" ref="P85" si="145">K85/O85</f>
        <v>2.871147412534436E-3</v>
      </c>
      <c r="Q85">
        <v>4050</v>
      </c>
      <c r="T85" s="39">
        <f t="shared" si="20"/>
        <v>2.8711474125344361</v>
      </c>
      <c r="U85" s="146">
        <f t="shared" si="21"/>
        <v>1012500.0000000003</v>
      </c>
      <c r="V85" s="39">
        <v>2.8711474125344365</v>
      </c>
      <c r="W85" s="149">
        <v>1012500.0000000002</v>
      </c>
      <c r="X85" s="148">
        <f t="shared" si="22"/>
        <v>0</v>
      </c>
      <c r="Y85" s="148">
        <f t="shared" si="23"/>
        <v>0</v>
      </c>
      <c r="AB85"/>
      <c r="AC85"/>
      <c r="AD85"/>
    </row>
    <row r="86" spans="1:30" x14ac:dyDescent="0.25">
      <c r="A86" s="35">
        <f t="shared" si="106"/>
        <v>58</v>
      </c>
      <c r="B86" s="35">
        <v>0</v>
      </c>
      <c r="C86" s="36">
        <f t="shared" si="24"/>
        <v>5.5070000000000192</v>
      </c>
      <c r="D86" s="36">
        <f t="shared" si="25"/>
        <v>3.35</v>
      </c>
      <c r="E86" s="37">
        <f>P86</f>
        <v>2.7686064335153493E-3</v>
      </c>
      <c r="F86">
        <f t="shared" si="12"/>
        <v>3.3698000000000001</v>
      </c>
      <c r="G86">
        <v>50000</v>
      </c>
      <c r="H86" s="38">
        <f t="shared" si="84"/>
        <v>0.10767160161507403</v>
      </c>
      <c r="I86" s="39">
        <v>0.2</v>
      </c>
      <c r="J86" s="81">
        <f t="shared" si="114"/>
        <v>840</v>
      </c>
      <c r="K86">
        <v>0.02</v>
      </c>
      <c r="L86">
        <f>I86*0.001*K86</f>
        <v>4.0000000000000007E-6</v>
      </c>
      <c r="M86">
        <f>L86*J86*(0.000000001)/(1.6E-19)</f>
        <v>21000000.000000004</v>
      </c>
      <c r="N86" s="27">
        <f>N85</f>
        <v>2907036.7551911175</v>
      </c>
      <c r="O86" s="40">
        <f>M86/N86</f>
        <v>7.2238508723703427</v>
      </c>
      <c r="P86" s="37">
        <f>K86/O86</f>
        <v>2.7686064335153493E-3</v>
      </c>
      <c r="Q86">
        <v>4200</v>
      </c>
      <c r="R86" s="40"/>
      <c r="T86" s="39">
        <f t="shared" si="20"/>
        <v>2.7686064335153495</v>
      </c>
      <c r="U86" s="146">
        <f t="shared" si="21"/>
        <v>1050000.0000000002</v>
      </c>
      <c r="V86" s="39">
        <v>2.7686064335153495</v>
      </c>
      <c r="W86" s="149">
        <v>1050000.0000000002</v>
      </c>
      <c r="X86" s="148">
        <f t="shared" si="22"/>
        <v>0</v>
      </c>
      <c r="Y86" s="148">
        <f t="shared" si="23"/>
        <v>0</v>
      </c>
      <c r="AB86"/>
      <c r="AC86"/>
      <c r="AD86"/>
    </row>
    <row r="87" spans="1:30" x14ac:dyDescent="0.25">
      <c r="A87" s="35">
        <f>A86+1</f>
        <v>59</v>
      </c>
      <c r="B87" s="35">
        <v>0</v>
      </c>
      <c r="C87" s="36">
        <f t="shared" si="24"/>
        <v>5.5080000000000195</v>
      </c>
      <c r="D87" s="36">
        <f t="shared" si="25"/>
        <v>3.35</v>
      </c>
      <c r="E87" s="37">
        <f t="shared" ref="E87:E88" si="146">P87</f>
        <v>2.6731372461527513E-3</v>
      </c>
      <c r="F87">
        <f t="shared" si="12"/>
        <v>3.3698000000000001</v>
      </c>
      <c r="G87">
        <v>50000</v>
      </c>
      <c r="H87" s="38">
        <f t="shared" si="84"/>
        <v>0.10767160161507403</v>
      </c>
      <c r="I87" s="39">
        <v>0.2</v>
      </c>
      <c r="J87" s="81">
        <f t="shared" si="114"/>
        <v>870</v>
      </c>
      <c r="K87">
        <v>0.02</v>
      </c>
      <c r="L87">
        <f t="shared" ref="L87:L88" si="147">I87*0.001*K87</f>
        <v>4.0000000000000007E-6</v>
      </c>
      <c r="M87">
        <f t="shared" ref="M87:M88" si="148">L87*J87*(0.000000001)/(1.6E-19)</f>
        <v>21750000.000000004</v>
      </c>
      <c r="N87" s="27">
        <f>N86</f>
        <v>2907036.7551911175</v>
      </c>
      <c r="O87" s="40">
        <f t="shared" ref="O87:O88" si="149">M87/N87</f>
        <v>7.4818455463835685</v>
      </c>
      <c r="P87" s="37">
        <f t="shared" ref="P87:P88" si="150">K87/O87</f>
        <v>2.6731372461527513E-3</v>
      </c>
      <c r="Q87">
        <v>4350</v>
      </c>
      <c r="T87" s="39">
        <f t="shared" si="20"/>
        <v>2.6731372461527512</v>
      </c>
      <c r="U87" s="146">
        <f t="shared" si="21"/>
        <v>1087500.0000000002</v>
      </c>
      <c r="V87" s="39">
        <v>2.6731372461527512</v>
      </c>
      <c r="W87" s="149">
        <v>1087500.0000000002</v>
      </c>
      <c r="X87" s="148">
        <f t="shared" si="22"/>
        <v>0</v>
      </c>
      <c r="Y87" s="148">
        <f t="shared" si="23"/>
        <v>0</v>
      </c>
      <c r="AB87"/>
      <c r="AC87"/>
      <c r="AD87"/>
    </row>
    <row r="88" spans="1:30" x14ac:dyDescent="0.25">
      <c r="A88" s="35">
        <f t="shared" si="106"/>
        <v>60</v>
      </c>
      <c r="B88" s="35">
        <v>0</v>
      </c>
      <c r="C88" s="36">
        <f t="shared" si="24"/>
        <v>5.5090000000000199</v>
      </c>
      <c r="D88" s="36">
        <f t="shared" si="25"/>
        <v>3.35</v>
      </c>
      <c r="E88" s="37">
        <f t="shared" si="146"/>
        <v>2.5840326712809926E-3</v>
      </c>
      <c r="F88">
        <f t="shared" si="12"/>
        <v>3.3698000000000001</v>
      </c>
      <c r="G88">
        <v>50000</v>
      </c>
      <c r="H88" s="38">
        <f t="shared" si="84"/>
        <v>0.10767160161507403</v>
      </c>
      <c r="I88" s="39">
        <v>0.2</v>
      </c>
      <c r="J88" s="81">
        <f t="shared" si="114"/>
        <v>900</v>
      </c>
      <c r="K88">
        <v>0.02</v>
      </c>
      <c r="L88">
        <f t="shared" si="147"/>
        <v>4.0000000000000007E-6</v>
      </c>
      <c r="M88">
        <f t="shared" si="148"/>
        <v>22500000.000000007</v>
      </c>
      <c r="N88" s="27">
        <f t="shared" ref="N88" si="151">N87</f>
        <v>2907036.7551911175</v>
      </c>
      <c r="O88" s="40">
        <f t="shared" si="149"/>
        <v>7.7398402203967969</v>
      </c>
      <c r="P88" s="37">
        <f t="shared" si="150"/>
        <v>2.5840326712809926E-3</v>
      </c>
      <c r="Q88">
        <v>4500</v>
      </c>
      <c r="R88" s="40"/>
      <c r="T88" s="39">
        <f t="shared" si="20"/>
        <v>2.5840326712809927</v>
      </c>
      <c r="U88" s="146">
        <f t="shared" si="21"/>
        <v>1125000.0000000002</v>
      </c>
      <c r="V88" s="39">
        <v>2.5840326712809931</v>
      </c>
      <c r="W88" s="149">
        <v>1125000</v>
      </c>
      <c r="X88" s="148">
        <f t="shared" si="22"/>
        <v>0</v>
      </c>
      <c r="Y88" s="148">
        <f t="shared" si="23"/>
        <v>0</v>
      </c>
      <c r="AB88"/>
      <c r="AC88"/>
      <c r="AD88"/>
    </row>
    <row r="89" spans="1:30" x14ac:dyDescent="0.25">
      <c r="A89" s="40"/>
      <c r="B89" s="39"/>
      <c r="C89" s="39"/>
      <c r="D89"/>
      <c r="U89" s="27"/>
      <c r="V89" s="39"/>
      <c r="W89" s="149"/>
      <c r="AB89"/>
      <c r="AC89"/>
      <c r="AD89"/>
    </row>
    <row r="90" spans="1:30" ht="15.75" thickBot="1" x14ac:dyDescent="0.3">
      <c r="A90" s="26" t="s">
        <v>46</v>
      </c>
      <c r="U90" s="27"/>
      <c r="V90" s="39"/>
      <c r="W90" s="149"/>
      <c r="AB90"/>
      <c r="AC90"/>
      <c r="AD90"/>
    </row>
    <row r="91" spans="1:30" ht="15.75" thickBot="1" x14ac:dyDescent="0.3">
      <c r="A91" s="28"/>
      <c r="B91" s="28" t="s">
        <v>47</v>
      </c>
      <c r="C91" s="29" t="s">
        <v>48</v>
      </c>
      <c r="D91" s="30" t="s">
        <v>49</v>
      </c>
      <c r="E91" s="30" t="s">
        <v>50</v>
      </c>
      <c r="F91" s="30" t="s">
        <v>51</v>
      </c>
      <c r="G91" s="30" t="s">
        <v>3</v>
      </c>
      <c r="H91" s="31" t="s">
        <v>52</v>
      </c>
      <c r="I91" s="32" t="s">
        <v>53</v>
      </c>
      <c r="J91" s="33" t="s">
        <v>54</v>
      </c>
      <c r="K91" s="32" t="s">
        <v>55</v>
      </c>
      <c r="L91" s="32" t="s">
        <v>56</v>
      </c>
      <c r="M91" s="32" t="s">
        <v>57</v>
      </c>
      <c r="N91" s="32" t="s">
        <v>58</v>
      </c>
      <c r="O91" s="32" t="s">
        <v>59</v>
      </c>
      <c r="P91" s="34" t="s">
        <v>60</v>
      </c>
      <c r="R91" s="27" t="s">
        <v>142</v>
      </c>
      <c r="S91" s="27" t="s">
        <v>143</v>
      </c>
      <c r="U91" s="27"/>
      <c r="V91" s="39"/>
      <c r="W91" s="149"/>
      <c r="AB91"/>
      <c r="AC91"/>
      <c r="AD91"/>
    </row>
    <row r="92" spans="1:30" ht="15.75" thickTop="1" x14ac:dyDescent="0.25">
      <c r="A92" s="35">
        <v>1</v>
      </c>
      <c r="B92" s="35">
        <v>0</v>
      </c>
      <c r="C92" s="36">
        <f>T16-0.1</f>
        <v>5.3500000000000005</v>
      </c>
      <c r="D92">
        <f>$T$17+0.1-(K92/2)+($P$23/2000)</f>
        <v>3.4351000000000003</v>
      </c>
      <c r="E92" s="37">
        <f>P92</f>
        <v>3.8760490069214895E-4</v>
      </c>
      <c r="F92">
        <f>IF($B92,$C92,$D92)+$K92-IF($B92,$O$23/1000,$P$23/1000)</f>
        <v>3.4649000000000001</v>
      </c>
      <c r="G92">
        <v>50000</v>
      </c>
      <c r="H92" s="38">
        <f>(I92-IF(B92,$P$23,$O$23))/(IF(B92,$P$22,$O$22)-IF(B92,$P$23,$O$23))*10</f>
        <v>1.3189771197846567</v>
      </c>
      <c r="I92" s="39">
        <v>2</v>
      </c>
      <c r="J92">
        <v>600</v>
      </c>
      <c r="K92">
        <v>0.03</v>
      </c>
      <c r="L92">
        <f>I92*0.001*K92</f>
        <v>6.0000000000000002E-5</v>
      </c>
      <c r="M92">
        <f>L92*J92*(0.000000001)/(1.6E-19)</f>
        <v>225000000.00000003</v>
      </c>
      <c r="N92" s="27">
        <f>MAX($D$3:$D$15)*2</f>
        <v>2907036.7551911175</v>
      </c>
      <c r="O92" s="40">
        <f>M92/N92</f>
        <v>77.398402203967947</v>
      </c>
      <c r="P92" s="37">
        <f>K92/O92</f>
        <v>3.8760490069214895E-4</v>
      </c>
      <c r="R92" s="40">
        <f>SUM(O92:O219)</f>
        <v>860.06824493542626</v>
      </c>
      <c r="S92">
        <f>R92/60</f>
        <v>14.334470748923771</v>
      </c>
      <c r="T92" s="39">
        <f t="shared" si="20"/>
        <v>0.38760490069214898</v>
      </c>
      <c r="U92" s="27">
        <f t="shared" si="21"/>
        <v>7500000.0000000009</v>
      </c>
      <c r="V92" s="39">
        <v>0.38760490069214898</v>
      </c>
      <c r="W92" s="149">
        <v>7500000.0000000009</v>
      </c>
      <c r="X92" s="148">
        <f t="shared" si="22"/>
        <v>0</v>
      </c>
      <c r="Y92" s="148">
        <f t="shared" si="23"/>
        <v>0</v>
      </c>
      <c r="AB92"/>
      <c r="AC92"/>
      <c r="AD92"/>
    </row>
    <row r="93" spans="1:30" x14ac:dyDescent="0.25">
      <c r="A93" s="35">
        <f>A92+1</f>
        <v>2</v>
      </c>
      <c r="B93" s="35">
        <v>1</v>
      </c>
      <c r="C93" s="36">
        <f>C92-(K93/2)+($O$23/2000)</f>
        <v>5.335020000000001</v>
      </c>
      <c r="D93" s="37">
        <f>$T$17+0.1</f>
        <v>3.45</v>
      </c>
      <c r="E93" s="37">
        <f t="shared" ref="E93" si="152">P93</f>
        <v>3.8760490069214895E-4</v>
      </c>
      <c r="F93">
        <f>IF($B93,$C93,$D93)+$K93-IF($B93,$O$23/1000,$P$23/1000)</f>
        <v>5.364980000000001</v>
      </c>
      <c r="G93">
        <v>50000</v>
      </c>
      <c r="H93" s="38">
        <f t="shared" ref="H93:H95" si="153">(I93-IF(B93,$P$23,$O$23))/(IF(B93,$P$22,$O$22)-IF(B93,$P$23,$O$23))*10</f>
        <v>1.1501597444089455</v>
      </c>
      <c r="I93" s="39">
        <v>2</v>
      </c>
      <c r="J93">
        <v>600</v>
      </c>
      <c r="K93">
        <v>0.03</v>
      </c>
      <c r="L93">
        <f t="shared" ref="L93" si="154">I93*0.001*K93</f>
        <v>6.0000000000000002E-5</v>
      </c>
      <c r="M93">
        <f t="shared" ref="M93" si="155">L93*J93*(0.000000001)/(1.6E-19)</f>
        <v>225000000.00000003</v>
      </c>
      <c r="N93" s="27">
        <f>N92</f>
        <v>2907036.7551911175</v>
      </c>
      <c r="O93" s="40">
        <f t="shared" ref="O93" si="156">M93/N93</f>
        <v>77.398402203967947</v>
      </c>
      <c r="P93" s="37">
        <f t="shared" ref="P93" si="157">K93/O93</f>
        <v>3.8760490069214895E-4</v>
      </c>
      <c r="T93" s="39">
        <f t="shared" si="20"/>
        <v>0.38760490069214898</v>
      </c>
      <c r="U93" s="27">
        <f t="shared" si="21"/>
        <v>7500000.0000000009</v>
      </c>
      <c r="V93" s="39">
        <v>0.38760490069214898</v>
      </c>
      <c r="W93" s="149">
        <v>7500000.0000000009</v>
      </c>
      <c r="X93" s="148">
        <f t="shared" si="22"/>
        <v>0</v>
      </c>
      <c r="Y93" s="148">
        <f t="shared" si="23"/>
        <v>0</v>
      </c>
      <c r="AB93"/>
      <c r="AC93"/>
      <c r="AD93"/>
    </row>
    <row r="94" spans="1:30" x14ac:dyDescent="0.25">
      <c r="A94" s="35">
        <f>A93+1</f>
        <v>3</v>
      </c>
      <c r="B94" s="35">
        <v>0</v>
      </c>
      <c r="C94" s="36">
        <f>C88+0.1</f>
        <v>5.6090000000000195</v>
      </c>
      <c r="D94">
        <f>D92</f>
        <v>3.4351000000000003</v>
      </c>
      <c r="E94" s="37">
        <f>P94</f>
        <v>3.8760490069214895E-4</v>
      </c>
      <c r="F94">
        <f>IF($B94,$C94,$D94)+$K94-IF($B94,$O$23/1000,$P$23/1000)</f>
        <v>3.4649000000000001</v>
      </c>
      <c r="G94">
        <v>50000</v>
      </c>
      <c r="H94" s="38">
        <f t="shared" si="153"/>
        <v>1.3189771197846567</v>
      </c>
      <c r="I94" s="39">
        <v>2</v>
      </c>
      <c r="J94">
        <v>600</v>
      </c>
      <c r="K94">
        <v>0.03</v>
      </c>
      <c r="L94">
        <f>I94*0.001*K94</f>
        <v>6.0000000000000002E-5</v>
      </c>
      <c r="M94">
        <f>L94*J94*(0.000000001)/(1.6E-19)</f>
        <v>225000000.00000003</v>
      </c>
      <c r="N94" s="27">
        <f>N93</f>
        <v>2907036.7551911175</v>
      </c>
      <c r="O94" s="40">
        <f>M94/N94</f>
        <v>77.398402203967947</v>
      </c>
      <c r="P94" s="37">
        <f>K94/O94</f>
        <v>3.8760490069214895E-4</v>
      </c>
      <c r="R94" s="40"/>
      <c r="T94" s="39">
        <f t="shared" ref="T94:T157" si="158">P94*1000</f>
        <v>0.38760490069214898</v>
      </c>
      <c r="U94" s="27">
        <f t="shared" ref="U94:U157" si="159">N94/T94</f>
        <v>7500000.0000000009</v>
      </c>
      <c r="V94" s="39">
        <v>0.38760490069214898</v>
      </c>
      <c r="W94" s="149">
        <v>7500000.0000000009</v>
      </c>
      <c r="X94" s="148">
        <f t="shared" ref="X94:X157" si="160">T94-V94</f>
        <v>0</v>
      </c>
      <c r="Y94" s="148">
        <f t="shared" ref="Y94:Y157" si="161">U94-W94</f>
        <v>0</v>
      </c>
      <c r="AB94"/>
      <c r="AC94"/>
      <c r="AD94"/>
    </row>
    <row r="95" spans="1:30" x14ac:dyDescent="0.25">
      <c r="A95" s="35">
        <f>A94+1</f>
        <v>4</v>
      </c>
      <c r="B95" s="35">
        <v>1</v>
      </c>
      <c r="C95">
        <f>C94-(K95/2)+($O$23/2000)</f>
        <v>5.59402000000002</v>
      </c>
      <c r="D95" s="37">
        <f>D93</f>
        <v>3.45</v>
      </c>
      <c r="E95" s="37">
        <f t="shared" ref="E95" si="162">P95</f>
        <v>3.8760490069214895E-4</v>
      </c>
      <c r="F95">
        <f>IF($B95,$C95,$D95)+$K95-IF($B95,$O$23/1000,$P$23/1000)</f>
        <v>5.62398000000002</v>
      </c>
      <c r="G95">
        <v>50000</v>
      </c>
      <c r="H95" s="38">
        <f t="shared" si="153"/>
        <v>1.1501597444089455</v>
      </c>
      <c r="I95" s="39">
        <v>2</v>
      </c>
      <c r="J95">
        <v>600</v>
      </c>
      <c r="K95">
        <v>0.03</v>
      </c>
      <c r="L95">
        <f t="shared" ref="L95" si="163">I95*0.001*K95</f>
        <v>6.0000000000000002E-5</v>
      </c>
      <c r="M95">
        <f t="shared" ref="M95" si="164">L95*J95*(0.000000001)/(1.6E-19)</f>
        <v>225000000.00000003</v>
      </c>
      <c r="N95" s="27">
        <f>N94</f>
        <v>2907036.7551911175</v>
      </c>
      <c r="O95" s="40">
        <f t="shared" ref="O95" si="165">M95/N95</f>
        <v>77.398402203967947</v>
      </c>
      <c r="P95" s="37">
        <f t="shared" ref="P95" si="166">K95/O95</f>
        <v>3.8760490069214895E-4</v>
      </c>
      <c r="T95" s="39">
        <f t="shared" si="158"/>
        <v>0.38760490069214898</v>
      </c>
      <c r="U95" s="27">
        <f t="shared" si="159"/>
        <v>7500000.0000000009</v>
      </c>
      <c r="V95" s="39">
        <v>0.38760490069214898</v>
      </c>
      <c r="W95" s="149">
        <v>7500000.0000000009</v>
      </c>
      <c r="X95" s="148">
        <f t="shared" si="160"/>
        <v>0</v>
      </c>
      <c r="Y95" s="148">
        <f t="shared" si="161"/>
        <v>0</v>
      </c>
      <c r="AB95"/>
      <c r="AC95"/>
      <c r="AD95"/>
    </row>
    <row r="96" spans="1:30" x14ac:dyDescent="0.25">
      <c r="A96" s="40"/>
      <c r="B96" s="39"/>
      <c r="C96" s="39"/>
      <c r="D96"/>
      <c r="Q96">
        <v>20000000.000000004</v>
      </c>
      <c r="U96" s="27"/>
      <c r="V96" s="39"/>
      <c r="W96" s="149"/>
      <c r="AB96"/>
      <c r="AC96"/>
      <c r="AD96"/>
    </row>
    <row r="97" spans="1:30" ht="15.75" thickBot="1" x14ac:dyDescent="0.3">
      <c r="A97" s="26" t="s">
        <v>139</v>
      </c>
      <c r="D97" s="27" t="s">
        <v>144</v>
      </c>
      <c r="Q97">
        <v>85000000.00000003</v>
      </c>
      <c r="U97" s="27"/>
      <c r="V97" s="39"/>
      <c r="W97" s="149"/>
      <c r="AB97"/>
      <c r="AC97"/>
      <c r="AD97"/>
    </row>
    <row r="98" spans="1:30" ht="15.75" thickBot="1" x14ac:dyDescent="0.3">
      <c r="A98" s="28"/>
      <c r="B98" s="28" t="s">
        <v>47</v>
      </c>
      <c r="C98" s="29" t="s">
        <v>48</v>
      </c>
      <c r="D98" s="30" t="s">
        <v>49</v>
      </c>
      <c r="E98" s="30" t="s">
        <v>50</v>
      </c>
      <c r="F98" s="30" t="s">
        <v>51</v>
      </c>
      <c r="G98" s="30" t="s">
        <v>3</v>
      </c>
      <c r="H98" s="31" t="s">
        <v>52</v>
      </c>
      <c r="I98" s="32" t="s">
        <v>53</v>
      </c>
      <c r="J98" s="33" t="s">
        <v>54</v>
      </c>
      <c r="K98" s="32" t="s">
        <v>55</v>
      </c>
      <c r="L98" s="32" t="s">
        <v>56</v>
      </c>
      <c r="M98" s="32" t="s">
        <v>57</v>
      </c>
      <c r="N98" s="32" t="s">
        <v>58</v>
      </c>
      <c r="O98" s="32" t="s">
        <v>59</v>
      </c>
      <c r="P98" s="34" t="s">
        <v>60</v>
      </c>
      <c r="Q98">
        <f>Q96/Q97</f>
        <v>0.23529411764705879</v>
      </c>
      <c r="R98" s="27" t="s">
        <v>142</v>
      </c>
      <c r="S98" s="27" t="s">
        <v>143</v>
      </c>
      <c r="U98" s="27"/>
      <c r="V98" s="39"/>
      <c r="W98" s="149"/>
      <c r="AB98"/>
      <c r="AC98"/>
      <c r="AD98"/>
    </row>
    <row r="99" spans="1:30" ht="15.75" thickTop="1" x14ac:dyDescent="0.25">
      <c r="A99" s="35">
        <v>1</v>
      </c>
      <c r="B99" s="35">
        <v>0</v>
      </c>
      <c r="C99" s="36">
        <f>$T$16</f>
        <v>5.45</v>
      </c>
      <c r="D99" s="36">
        <f>$T$17+5</f>
        <v>8.35</v>
      </c>
      <c r="E99" s="37">
        <f>P99</f>
        <v>2.9070367551911175E-3</v>
      </c>
      <c r="F99">
        <f t="shared" ref="F99:F158" si="167">IF($B99,$C99,$D99)+$K99-IF($B99,$O$23/1000,$P$23/1000)</f>
        <v>8.3697999999999997</v>
      </c>
      <c r="G99">
        <v>50000</v>
      </c>
      <c r="H99" s="38">
        <f>(I99-IF(B99,$P$23,$O$23))/(IF(B99,$P$22,$O$22)-IF(B99,$P$23,$O$23))*10</f>
        <v>8.748317631224764E-2</v>
      </c>
      <c r="I99" s="39">
        <v>0.17</v>
      </c>
      <c r="J99" s="83">
        <v>941.17647058823513</v>
      </c>
      <c r="K99">
        <v>0.02</v>
      </c>
      <c r="L99">
        <f>I99*0.001*K99</f>
        <v>3.4000000000000005E-6</v>
      </c>
      <c r="M99">
        <f>L99*J99*(0.000000001)/(1.6E-19)</f>
        <v>20000000</v>
      </c>
      <c r="N99" s="27">
        <f>MAX($D$3:$D$15)*2</f>
        <v>2907036.7551911175</v>
      </c>
      <c r="O99" s="40">
        <f>M99/N99</f>
        <v>6.8798579736860388</v>
      </c>
      <c r="P99" s="37">
        <f>K99/O99</f>
        <v>2.9070367551911175E-3</v>
      </c>
      <c r="Q99">
        <v>4000</v>
      </c>
      <c r="R99" s="40">
        <f>SUM(O99:O228)</f>
        <v>550.47463611955436</v>
      </c>
      <c r="S99">
        <f>R99/60</f>
        <v>9.1745772686592399</v>
      </c>
      <c r="T99" s="39">
        <f t="shared" si="158"/>
        <v>2.9070367551911174</v>
      </c>
      <c r="U99" s="146">
        <f t="shared" si="159"/>
        <v>1000000</v>
      </c>
      <c r="V99" s="39">
        <v>2.9070367551911169</v>
      </c>
      <c r="W99" s="149">
        <v>1000000.0000000002</v>
      </c>
      <c r="X99" s="148">
        <f t="shared" si="160"/>
        <v>0</v>
      </c>
      <c r="Y99" s="148">
        <f t="shared" si="161"/>
        <v>0</v>
      </c>
      <c r="AB99"/>
      <c r="AC99"/>
      <c r="AD99"/>
    </row>
    <row r="100" spans="1:30" x14ac:dyDescent="0.25">
      <c r="A100" s="35">
        <f t="shared" ref="A100:A101" si="168">A99+1</f>
        <v>2</v>
      </c>
      <c r="B100" s="35">
        <v>0</v>
      </c>
      <c r="C100" s="36">
        <f>C99+0.001</f>
        <v>5.4510000000000005</v>
      </c>
      <c r="D100" s="36">
        <f>D99</f>
        <v>8.35</v>
      </c>
      <c r="E100" s="37">
        <f t="shared" ref="E100" si="169">P100</f>
        <v>3.8760490069214892E-2</v>
      </c>
      <c r="F100">
        <f t="shared" si="167"/>
        <v>8.3697999999999997</v>
      </c>
      <c r="G100">
        <v>50000</v>
      </c>
      <c r="H100" s="38">
        <f t="shared" ref="H100:H128" si="170">(I100-IF(B100,$P$23,$O$23))/(IF(B100,$P$22,$O$22)-IF(B100,$P$23,$O$23))*10</f>
        <v>8.748317631224764E-2</v>
      </c>
      <c r="I100" s="39">
        <v>0.17</v>
      </c>
      <c r="J100" s="84">
        <v>70.588235294117638</v>
      </c>
      <c r="K100">
        <v>0.02</v>
      </c>
      <c r="L100">
        <f t="shared" ref="L100" si="171">I100*0.001*K100</f>
        <v>3.4000000000000005E-6</v>
      </c>
      <c r="M100">
        <f t="shared" ref="M100" si="172">L100*J100*(0.000000001)/(1.6E-19)</f>
        <v>1500000.0000000002</v>
      </c>
      <c r="N100" s="27">
        <f>N99</f>
        <v>2907036.7551911175</v>
      </c>
      <c r="O100" s="40">
        <f t="shared" ref="O100" si="173">M100/N100</f>
        <v>0.51598934802645302</v>
      </c>
      <c r="P100" s="37">
        <f t="shared" ref="P100" si="174">K100/O100</f>
        <v>3.8760490069214892E-2</v>
      </c>
      <c r="Q100">
        <v>300</v>
      </c>
      <c r="T100" s="39">
        <f t="shared" si="158"/>
        <v>38.760490069214896</v>
      </c>
      <c r="U100" s="144">
        <f t="shared" si="159"/>
        <v>75000.000000000015</v>
      </c>
      <c r="V100" s="39">
        <v>38.760490069214896</v>
      </c>
      <c r="W100" s="149">
        <v>75000.000000000015</v>
      </c>
      <c r="X100" s="148">
        <f t="shared" si="160"/>
        <v>0</v>
      </c>
      <c r="Y100" s="148">
        <f t="shared" si="161"/>
        <v>0</v>
      </c>
      <c r="AB100"/>
      <c r="AC100"/>
      <c r="AD100"/>
    </row>
    <row r="101" spans="1:30" x14ac:dyDescent="0.25">
      <c r="A101" s="35">
        <f t="shared" si="168"/>
        <v>3</v>
      </c>
      <c r="B101" s="35">
        <v>0</v>
      </c>
      <c r="C101" s="36">
        <f t="shared" ref="C101:C158" si="175">C100+0.001</f>
        <v>5.4520000000000008</v>
      </c>
      <c r="D101" s="36">
        <f t="shared" ref="D101:D158" si="176">D100</f>
        <v>8.35</v>
      </c>
      <c r="E101" s="37">
        <f>P101</f>
        <v>2.5840326712809933E-2</v>
      </c>
      <c r="F101">
        <f t="shared" si="167"/>
        <v>8.3697999999999997</v>
      </c>
      <c r="G101">
        <v>50000</v>
      </c>
      <c r="H101" s="38">
        <f t="shared" si="170"/>
        <v>8.748317631224764E-2</v>
      </c>
      <c r="I101" s="39">
        <v>0.17</v>
      </c>
      <c r="J101" s="84">
        <v>105.88235294117645</v>
      </c>
      <c r="K101">
        <v>0.02</v>
      </c>
      <c r="L101">
        <f>I101*0.001*K101</f>
        <v>3.4000000000000005E-6</v>
      </c>
      <c r="M101">
        <f>L101*J101*(0.000000001)/(1.6E-19)</f>
        <v>2250000</v>
      </c>
      <c r="N101" s="27">
        <f>N100</f>
        <v>2907036.7551911175</v>
      </c>
      <c r="O101" s="40">
        <f>M101/N101</f>
        <v>0.77398402203967942</v>
      </c>
      <c r="P101" s="37">
        <f>K101/O101</f>
        <v>2.5840326712809933E-2</v>
      </c>
      <c r="Q101">
        <v>450</v>
      </c>
      <c r="R101" s="40"/>
      <c r="T101" s="39">
        <f t="shared" si="158"/>
        <v>25.840326712809933</v>
      </c>
      <c r="U101" s="144">
        <f t="shared" si="159"/>
        <v>112500</v>
      </c>
      <c r="V101" s="39">
        <v>25.840326712809929</v>
      </c>
      <c r="W101" s="149">
        <v>112500.00000000001</v>
      </c>
      <c r="X101" s="148">
        <f t="shared" si="160"/>
        <v>0</v>
      </c>
      <c r="Y101" s="148">
        <f t="shared" si="161"/>
        <v>0</v>
      </c>
      <c r="AB101"/>
      <c r="AC101"/>
      <c r="AD101"/>
    </row>
    <row r="102" spans="1:30" x14ac:dyDescent="0.25">
      <c r="A102" s="35">
        <f>A101+1</f>
        <v>4</v>
      </c>
      <c r="B102" s="35">
        <v>0</v>
      </c>
      <c r="C102" s="36">
        <f t="shared" si="175"/>
        <v>5.4530000000000012</v>
      </c>
      <c r="D102" s="36">
        <f t="shared" si="176"/>
        <v>8.35</v>
      </c>
      <c r="E102" s="37">
        <f t="shared" ref="E102:E103" si="177">P102</f>
        <v>1.9380245034607446E-2</v>
      </c>
      <c r="F102">
        <f t="shared" si="167"/>
        <v>8.3697999999999997</v>
      </c>
      <c r="G102">
        <v>50000</v>
      </c>
      <c r="H102" s="38">
        <f t="shared" si="170"/>
        <v>8.748317631224764E-2</v>
      </c>
      <c r="I102" s="39">
        <v>0.17</v>
      </c>
      <c r="J102" s="84">
        <v>141.17647058823528</v>
      </c>
      <c r="K102">
        <v>0.02</v>
      </c>
      <c r="L102">
        <f t="shared" ref="L102:L103" si="178">I102*0.001*K102</f>
        <v>3.4000000000000005E-6</v>
      </c>
      <c r="M102">
        <f t="shared" ref="M102:M103" si="179">L102*J102*(0.000000001)/(1.6E-19)</f>
        <v>3000000.0000000005</v>
      </c>
      <c r="N102" s="27">
        <f>N101</f>
        <v>2907036.7551911175</v>
      </c>
      <c r="O102" s="40">
        <f t="shared" ref="O102:O103" si="180">M102/N102</f>
        <v>1.031978696052906</v>
      </c>
      <c r="P102" s="37">
        <f t="shared" ref="P102:P103" si="181">K102/O102</f>
        <v>1.9380245034607446E-2</v>
      </c>
      <c r="Q102">
        <v>600</v>
      </c>
      <c r="T102" s="39">
        <f t="shared" si="158"/>
        <v>19.380245034607448</v>
      </c>
      <c r="U102" s="144">
        <f t="shared" si="159"/>
        <v>150000.00000000003</v>
      </c>
      <c r="V102" s="39">
        <v>19.380245034607448</v>
      </c>
      <c r="W102" s="149">
        <v>150000.00000000003</v>
      </c>
      <c r="X102" s="148">
        <f t="shared" si="160"/>
        <v>0</v>
      </c>
      <c r="Y102" s="148">
        <f t="shared" si="161"/>
        <v>0</v>
      </c>
      <c r="AB102"/>
      <c r="AC102"/>
      <c r="AD102"/>
    </row>
    <row r="103" spans="1:30" x14ac:dyDescent="0.25">
      <c r="A103" s="35">
        <f t="shared" ref="A103:A106" si="182">A102+1</f>
        <v>5</v>
      </c>
      <c r="B103" s="35">
        <v>0</v>
      </c>
      <c r="C103" s="36">
        <f t="shared" si="175"/>
        <v>5.4540000000000015</v>
      </c>
      <c r="D103" s="36">
        <f t="shared" si="176"/>
        <v>8.35</v>
      </c>
      <c r="E103" s="37">
        <f t="shared" si="177"/>
        <v>1.5504196027685959E-2</v>
      </c>
      <c r="F103">
        <f t="shared" si="167"/>
        <v>8.3697999999999997</v>
      </c>
      <c r="G103">
        <v>50000</v>
      </c>
      <c r="H103" s="38">
        <f t="shared" si="170"/>
        <v>8.748317631224764E-2</v>
      </c>
      <c r="I103" s="39">
        <v>0.17</v>
      </c>
      <c r="J103" s="84">
        <v>176.47058823529409</v>
      </c>
      <c r="K103">
        <v>0.02</v>
      </c>
      <c r="L103">
        <f t="shared" si="178"/>
        <v>3.4000000000000005E-6</v>
      </c>
      <c r="M103">
        <f t="shared" si="179"/>
        <v>3750000</v>
      </c>
      <c r="N103" s="27">
        <f t="shared" ref="N103:N104" si="183">N102</f>
        <v>2907036.7551911175</v>
      </c>
      <c r="O103" s="40">
        <f t="shared" si="180"/>
        <v>1.2899733700661324</v>
      </c>
      <c r="P103" s="37">
        <f t="shared" si="181"/>
        <v>1.5504196027685959E-2</v>
      </c>
      <c r="Q103">
        <v>750</v>
      </c>
      <c r="R103" s="40"/>
      <c r="T103" s="39">
        <f t="shared" si="158"/>
        <v>15.504196027685959</v>
      </c>
      <c r="U103" s="144">
        <f t="shared" si="159"/>
        <v>187500.00000000003</v>
      </c>
      <c r="V103" s="39">
        <v>15.504196027685959</v>
      </c>
      <c r="W103" s="149">
        <v>187500.00000000003</v>
      </c>
      <c r="X103" s="148">
        <f t="shared" si="160"/>
        <v>0</v>
      </c>
      <c r="Y103" s="148">
        <f t="shared" si="161"/>
        <v>0</v>
      </c>
      <c r="AB103"/>
      <c r="AC103"/>
      <c r="AD103"/>
    </row>
    <row r="104" spans="1:30" x14ac:dyDescent="0.25">
      <c r="A104" s="35">
        <f t="shared" si="182"/>
        <v>6</v>
      </c>
      <c r="B104" s="35">
        <v>0</v>
      </c>
      <c r="C104" s="36">
        <f t="shared" si="175"/>
        <v>5.4550000000000018</v>
      </c>
      <c r="D104" s="36">
        <f t="shared" si="176"/>
        <v>8.35</v>
      </c>
      <c r="E104" s="37">
        <f>P104</f>
        <v>1.2920163356404966E-2</v>
      </c>
      <c r="F104">
        <f t="shared" si="167"/>
        <v>8.3697999999999997</v>
      </c>
      <c r="G104">
        <v>50000</v>
      </c>
      <c r="H104" s="38">
        <f t="shared" si="170"/>
        <v>8.748317631224764E-2</v>
      </c>
      <c r="I104" s="39">
        <v>0.17</v>
      </c>
      <c r="J104" s="85">
        <v>211.7647058823529</v>
      </c>
      <c r="K104">
        <v>0.02</v>
      </c>
      <c r="L104">
        <f>I104*0.001*K104</f>
        <v>3.4000000000000005E-6</v>
      </c>
      <c r="M104">
        <f>L104*J104*(0.000000001)/(1.6E-19)</f>
        <v>4500000</v>
      </c>
      <c r="N104" s="27">
        <f t="shared" si="183"/>
        <v>2907036.7551911175</v>
      </c>
      <c r="O104" s="40">
        <f>M104/N104</f>
        <v>1.5479680440793588</v>
      </c>
      <c r="P104" s="37">
        <f>K104/O104</f>
        <v>1.2920163356404966E-2</v>
      </c>
      <c r="Q104">
        <v>900</v>
      </c>
      <c r="R104" s="40"/>
      <c r="T104" s="39">
        <f t="shared" si="158"/>
        <v>12.920163356404966</v>
      </c>
      <c r="U104" s="145">
        <f t="shared" si="159"/>
        <v>225000</v>
      </c>
      <c r="V104" s="39">
        <v>12.920163356404965</v>
      </c>
      <c r="W104" s="149">
        <v>225000.00000000003</v>
      </c>
      <c r="X104" s="148">
        <f t="shared" si="160"/>
        <v>0</v>
      </c>
      <c r="Y104" s="148">
        <f t="shared" si="161"/>
        <v>0</v>
      </c>
      <c r="AB104"/>
      <c r="AC104"/>
      <c r="AD104"/>
    </row>
    <row r="105" spans="1:30" x14ac:dyDescent="0.25">
      <c r="A105" s="35">
        <f t="shared" si="182"/>
        <v>7</v>
      </c>
      <c r="B105" s="35">
        <v>0</v>
      </c>
      <c r="C105" s="36">
        <f t="shared" si="175"/>
        <v>5.4560000000000022</v>
      </c>
      <c r="D105" s="36">
        <f t="shared" si="176"/>
        <v>8.35</v>
      </c>
      <c r="E105" s="37">
        <f t="shared" ref="E105" si="184">P105</f>
        <v>1.1074425734061397E-2</v>
      </c>
      <c r="F105">
        <f t="shared" si="167"/>
        <v>8.3697999999999997</v>
      </c>
      <c r="G105">
        <v>50000</v>
      </c>
      <c r="H105" s="38">
        <f t="shared" si="170"/>
        <v>8.748317631224764E-2</v>
      </c>
      <c r="I105" s="39">
        <v>0.17</v>
      </c>
      <c r="J105" s="85">
        <v>247.05882352941174</v>
      </c>
      <c r="K105">
        <v>0.02</v>
      </c>
      <c r="L105">
        <f t="shared" ref="L105" si="185">I105*0.001*K105</f>
        <v>3.4000000000000005E-6</v>
      </c>
      <c r="M105">
        <f t="shared" ref="M105" si="186">L105*J105*(0.000000001)/(1.6E-19)</f>
        <v>5250000.0000000009</v>
      </c>
      <c r="N105" s="27">
        <f>N104</f>
        <v>2907036.7551911175</v>
      </c>
      <c r="O105" s="40">
        <f t="shared" ref="O105" si="187">M105/N105</f>
        <v>1.8059627180925857</v>
      </c>
      <c r="P105" s="37">
        <f t="shared" ref="P105" si="188">K105/O105</f>
        <v>1.1074425734061397E-2</v>
      </c>
      <c r="Q105">
        <v>1050</v>
      </c>
      <c r="T105" s="39">
        <f t="shared" si="158"/>
        <v>11.074425734061398</v>
      </c>
      <c r="U105" s="145">
        <f t="shared" si="159"/>
        <v>262500.00000000006</v>
      </c>
      <c r="V105" s="39">
        <v>11.074425734061398</v>
      </c>
      <c r="W105" s="149">
        <v>262500.00000000006</v>
      </c>
      <c r="X105" s="148">
        <f t="shared" si="160"/>
        <v>0</v>
      </c>
      <c r="Y105" s="148">
        <f t="shared" si="161"/>
        <v>0</v>
      </c>
      <c r="AB105"/>
      <c r="AC105"/>
      <c r="AD105"/>
    </row>
    <row r="106" spans="1:30" x14ac:dyDescent="0.25">
      <c r="A106" s="35">
        <f t="shared" si="182"/>
        <v>8</v>
      </c>
      <c r="B106" s="35">
        <v>0</v>
      </c>
      <c r="C106" s="36">
        <f t="shared" si="175"/>
        <v>5.4570000000000025</v>
      </c>
      <c r="D106" s="36">
        <f t="shared" si="176"/>
        <v>8.35</v>
      </c>
      <c r="E106" s="37">
        <f>P106</f>
        <v>9.6901225173037231E-3</v>
      </c>
      <c r="F106">
        <f t="shared" si="167"/>
        <v>8.3697999999999997</v>
      </c>
      <c r="G106">
        <v>50000</v>
      </c>
      <c r="H106" s="38">
        <f t="shared" si="170"/>
        <v>8.748317631224764E-2</v>
      </c>
      <c r="I106" s="39">
        <v>0.17</v>
      </c>
      <c r="J106" s="85">
        <v>282.35294117647055</v>
      </c>
      <c r="K106">
        <v>0.02</v>
      </c>
      <c r="L106">
        <f>I106*0.001*K106</f>
        <v>3.4000000000000005E-6</v>
      </c>
      <c r="M106">
        <f>L106*J106*(0.000000001)/(1.6E-19)</f>
        <v>6000000.0000000009</v>
      </c>
      <c r="N106" s="27">
        <f>N105</f>
        <v>2907036.7551911175</v>
      </c>
      <c r="O106" s="40">
        <f>M106/N106</f>
        <v>2.0639573921058121</v>
      </c>
      <c r="P106" s="37">
        <f>K106/O106</f>
        <v>9.6901225173037231E-3</v>
      </c>
      <c r="Q106">
        <v>1200</v>
      </c>
      <c r="R106" s="40"/>
      <c r="T106" s="39">
        <f t="shared" si="158"/>
        <v>9.690122517303724</v>
      </c>
      <c r="U106" s="145">
        <f t="shared" si="159"/>
        <v>300000.00000000006</v>
      </c>
      <c r="V106" s="39">
        <v>9.690122517303724</v>
      </c>
      <c r="W106" s="149">
        <v>300000.00000000006</v>
      </c>
      <c r="X106" s="148">
        <f t="shared" si="160"/>
        <v>0</v>
      </c>
      <c r="Y106" s="148">
        <f t="shared" si="161"/>
        <v>0</v>
      </c>
      <c r="AB106"/>
      <c r="AC106"/>
      <c r="AD106"/>
    </row>
    <row r="107" spans="1:30" x14ac:dyDescent="0.25">
      <c r="A107" s="35">
        <f>A106+1</f>
        <v>9</v>
      </c>
      <c r="B107" s="35">
        <v>0</v>
      </c>
      <c r="C107" s="36">
        <f t="shared" si="175"/>
        <v>5.4580000000000028</v>
      </c>
      <c r="D107" s="36">
        <f t="shared" si="176"/>
        <v>8.35</v>
      </c>
      <c r="E107" s="37">
        <f t="shared" ref="E107:E108" si="189">P107</f>
        <v>8.6134422376033092E-3</v>
      </c>
      <c r="F107">
        <f t="shared" si="167"/>
        <v>8.3697999999999997</v>
      </c>
      <c r="G107">
        <v>50000</v>
      </c>
      <c r="H107" s="38">
        <f t="shared" si="170"/>
        <v>8.748317631224764E-2</v>
      </c>
      <c r="I107" s="39">
        <v>0.17</v>
      </c>
      <c r="J107" s="85">
        <v>317.64705882352939</v>
      </c>
      <c r="K107">
        <v>0.02</v>
      </c>
      <c r="L107">
        <f t="shared" ref="L107:L108" si="190">I107*0.001*K107</f>
        <v>3.4000000000000005E-6</v>
      </c>
      <c r="M107">
        <f t="shared" ref="M107:M108" si="191">L107*J107*(0.000000001)/(1.6E-19)</f>
        <v>6750000.0000000009</v>
      </c>
      <c r="N107" s="27">
        <f>N106</f>
        <v>2907036.7551911175</v>
      </c>
      <c r="O107" s="40">
        <f t="shared" ref="O107:O108" si="192">M107/N107</f>
        <v>2.3219520661190387</v>
      </c>
      <c r="P107" s="37">
        <f t="shared" ref="P107:P108" si="193">K107/O107</f>
        <v>8.6134422376033092E-3</v>
      </c>
      <c r="Q107">
        <v>1350</v>
      </c>
      <c r="T107" s="39">
        <f t="shared" si="158"/>
        <v>8.6134422376033086</v>
      </c>
      <c r="U107" s="145">
        <f t="shared" si="159"/>
        <v>337500.00000000012</v>
      </c>
      <c r="V107" s="39">
        <v>8.6134422376033086</v>
      </c>
      <c r="W107" s="149">
        <v>337500.00000000012</v>
      </c>
      <c r="X107" s="148">
        <f t="shared" si="160"/>
        <v>0</v>
      </c>
      <c r="Y107" s="148">
        <f t="shared" si="161"/>
        <v>0</v>
      </c>
      <c r="AB107"/>
      <c r="AC107"/>
      <c r="AD107"/>
    </row>
    <row r="108" spans="1:30" x14ac:dyDescent="0.25">
      <c r="A108" s="35">
        <f t="shared" ref="A108:A131" si="194">A107+1</f>
        <v>10</v>
      </c>
      <c r="B108" s="35">
        <v>0</v>
      </c>
      <c r="C108" s="36">
        <f t="shared" si="175"/>
        <v>5.4590000000000032</v>
      </c>
      <c r="D108" s="36">
        <f t="shared" si="176"/>
        <v>8.35</v>
      </c>
      <c r="E108" s="37">
        <f t="shared" si="189"/>
        <v>7.7520980138429795E-3</v>
      </c>
      <c r="F108">
        <f t="shared" si="167"/>
        <v>8.3697999999999997</v>
      </c>
      <c r="G108">
        <v>50000</v>
      </c>
      <c r="H108" s="38">
        <f t="shared" si="170"/>
        <v>8.748317631224764E-2</v>
      </c>
      <c r="I108" s="39">
        <v>0.17</v>
      </c>
      <c r="J108" s="85">
        <v>352.94117647058818</v>
      </c>
      <c r="K108">
        <v>0.02</v>
      </c>
      <c r="L108">
        <f t="shared" si="190"/>
        <v>3.4000000000000005E-6</v>
      </c>
      <c r="M108">
        <f t="shared" si="191"/>
        <v>7500000</v>
      </c>
      <c r="N108" s="27">
        <f t="shared" ref="N108:N109" si="195">N107</f>
        <v>2907036.7551911175</v>
      </c>
      <c r="O108" s="40">
        <f t="shared" si="192"/>
        <v>2.5799467401322649</v>
      </c>
      <c r="P108" s="37">
        <f t="shared" si="193"/>
        <v>7.7520980138429795E-3</v>
      </c>
      <c r="Q108">
        <v>1500</v>
      </c>
      <c r="R108" s="40"/>
      <c r="T108" s="39">
        <f t="shared" si="158"/>
        <v>7.7520980138429794</v>
      </c>
      <c r="U108" s="145">
        <f t="shared" si="159"/>
        <v>375000.00000000006</v>
      </c>
      <c r="V108" s="39">
        <v>7.7520980138429794</v>
      </c>
      <c r="W108" s="149">
        <v>375000.00000000006</v>
      </c>
      <c r="X108" s="148">
        <f t="shared" si="160"/>
        <v>0</v>
      </c>
      <c r="Y108" s="148">
        <f t="shared" si="161"/>
        <v>0</v>
      </c>
      <c r="AB108"/>
      <c r="AC108"/>
      <c r="AD108"/>
    </row>
    <row r="109" spans="1:30" x14ac:dyDescent="0.25">
      <c r="A109" s="35">
        <f t="shared" si="194"/>
        <v>11</v>
      </c>
      <c r="B109" s="35">
        <v>0</v>
      </c>
      <c r="C109" s="36">
        <f t="shared" si="175"/>
        <v>5.4600000000000035</v>
      </c>
      <c r="D109" s="36">
        <f t="shared" si="176"/>
        <v>8.35</v>
      </c>
      <c r="E109" s="37">
        <f>P109</f>
        <v>7.0473618307663449E-3</v>
      </c>
      <c r="F109">
        <f t="shared" si="167"/>
        <v>8.3697999999999997</v>
      </c>
      <c r="G109">
        <v>50000</v>
      </c>
      <c r="H109" s="38">
        <f t="shared" si="170"/>
        <v>8.748317631224764E-2</v>
      </c>
      <c r="I109" s="39">
        <v>0.17</v>
      </c>
      <c r="J109" s="85">
        <v>388.23529411764702</v>
      </c>
      <c r="K109">
        <v>0.02</v>
      </c>
      <c r="L109">
        <f>I109*0.001*K109</f>
        <v>3.4000000000000005E-6</v>
      </c>
      <c r="M109">
        <f>L109*J109*(0.000000001)/(1.6E-19)</f>
        <v>8250000.0000000009</v>
      </c>
      <c r="N109" s="27">
        <f t="shared" si="195"/>
        <v>2907036.7551911175</v>
      </c>
      <c r="O109" s="40">
        <f>M109/N109</f>
        <v>2.8379414141454915</v>
      </c>
      <c r="P109" s="37">
        <f>K109/O109</f>
        <v>7.0473618307663449E-3</v>
      </c>
      <c r="Q109">
        <v>1650</v>
      </c>
      <c r="R109" s="40"/>
      <c r="T109" s="39">
        <f t="shared" si="158"/>
        <v>7.047361830766345</v>
      </c>
      <c r="U109" s="145">
        <f t="shared" si="159"/>
        <v>412500</v>
      </c>
      <c r="V109" s="39">
        <v>7.0473618307663441</v>
      </c>
      <c r="W109" s="149">
        <v>412500.00000000006</v>
      </c>
      <c r="X109" s="148">
        <f t="shared" si="160"/>
        <v>0</v>
      </c>
      <c r="Y109" s="148">
        <f t="shared" si="161"/>
        <v>0</v>
      </c>
      <c r="AB109"/>
      <c r="AC109"/>
      <c r="AD109"/>
    </row>
    <row r="110" spans="1:30" x14ac:dyDescent="0.25">
      <c r="A110" s="35">
        <f t="shared" si="194"/>
        <v>12</v>
      </c>
      <c r="B110" s="35">
        <v>0</v>
      </c>
      <c r="C110" s="36">
        <f t="shared" si="175"/>
        <v>5.4610000000000039</v>
      </c>
      <c r="D110" s="36">
        <f t="shared" si="176"/>
        <v>8.35</v>
      </c>
      <c r="E110" s="37">
        <f t="shared" ref="E110" si="196">P110</f>
        <v>6.4600816782024832E-3</v>
      </c>
      <c r="F110">
        <f t="shared" si="167"/>
        <v>8.3697999999999997</v>
      </c>
      <c r="G110">
        <v>50000</v>
      </c>
      <c r="H110" s="38">
        <f t="shared" si="170"/>
        <v>8.748317631224764E-2</v>
      </c>
      <c r="I110" s="39">
        <v>0.17</v>
      </c>
      <c r="J110" s="83">
        <v>423.5294117647058</v>
      </c>
      <c r="K110">
        <v>0.02</v>
      </c>
      <c r="L110">
        <f t="shared" ref="L110" si="197">I110*0.001*K110</f>
        <v>3.4000000000000005E-6</v>
      </c>
      <c r="M110">
        <f t="shared" ref="M110" si="198">L110*J110*(0.000000001)/(1.6E-19)</f>
        <v>9000000</v>
      </c>
      <c r="N110" s="27">
        <f>N109</f>
        <v>2907036.7551911175</v>
      </c>
      <c r="O110" s="40">
        <f t="shared" ref="O110" si="199">M110/N110</f>
        <v>3.0959360881587177</v>
      </c>
      <c r="P110" s="37">
        <f t="shared" ref="P110" si="200">K110/O110</f>
        <v>6.4600816782024832E-3</v>
      </c>
      <c r="Q110">
        <v>1800</v>
      </c>
      <c r="T110" s="39">
        <f t="shared" si="158"/>
        <v>6.4600816782024832</v>
      </c>
      <c r="U110" s="146">
        <f t="shared" si="159"/>
        <v>450000</v>
      </c>
      <c r="V110" s="39">
        <v>6.4600816782024824</v>
      </c>
      <c r="W110" s="149">
        <v>450000.00000000006</v>
      </c>
      <c r="X110" s="148">
        <f t="shared" si="160"/>
        <v>0</v>
      </c>
      <c r="Y110" s="148">
        <f t="shared" si="161"/>
        <v>0</v>
      </c>
      <c r="AB110"/>
      <c r="AC110"/>
      <c r="AD110"/>
    </row>
    <row r="111" spans="1:30" x14ac:dyDescent="0.25">
      <c r="A111" s="35">
        <f t="shared" si="194"/>
        <v>13</v>
      </c>
      <c r="B111" s="35">
        <v>0</v>
      </c>
      <c r="C111" s="36">
        <f t="shared" si="175"/>
        <v>5.4620000000000042</v>
      </c>
      <c r="D111" s="36">
        <f t="shared" si="176"/>
        <v>8.35</v>
      </c>
      <c r="E111" s="37">
        <f>P111</f>
        <v>5.9631523183407541E-3</v>
      </c>
      <c r="F111">
        <f t="shared" si="167"/>
        <v>8.3697999999999997</v>
      </c>
      <c r="G111">
        <v>50000</v>
      </c>
      <c r="H111" s="38">
        <f t="shared" si="170"/>
        <v>8.748317631224764E-2</v>
      </c>
      <c r="I111" s="39">
        <v>0.17</v>
      </c>
      <c r="J111" s="83">
        <v>458.82352941176464</v>
      </c>
      <c r="K111">
        <v>0.02</v>
      </c>
      <c r="L111">
        <f>I111*0.001*K111</f>
        <v>3.4000000000000005E-6</v>
      </c>
      <c r="M111">
        <f>L111*J111*(0.000000001)/(1.6E-19)</f>
        <v>9750000</v>
      </c>
      <c r="N111" s="27">
        <f>N110</f>
        <v>2907036.7551911175</v>
      </c>
      <c r="O111" s="40">
        <f>M111/N111</f>
        <v>3.3539307621719439</v>
      </c>
      <c r="P111" s="37">
        <f>K111/O111</f>
        <v>5.9631523183407541E-3</v>
      </c>
      <c r="Q111">
        <v>1950</v>
      </c>
      <c r="R111" s="40"/>
      <c r="T111" s="39">
        <f t="shared" si="158"/>
        <v>5.9631523183407538</v>
      </c>
      <c r="U111" s="146">
        <f t="shared" si="159"/>
        <v>487500</v>
      </c>
      <c r="V111" s="39">
        <v>5.963152318340752</v>
      </c>
      <c r="W111" s="149">
        <v>487500.00000000017</v>
      </c>
      <c r="X111" s="148">
        <f t="shared" si="160"/>
        <v>0</v>
      </c>
      <c r="Y111" s="148">
        <f t="shared" si="161"/>
        <v>0</v>
      </c>
      <c r="AB111"/>
      <c r="AC111"/>
      <c r="AD111"/>
    </row>
    <row r="112" spans="1:30" x14ac:dyDescent="0.25">
      <c r="A112" s="35">
        <f>A111+1</f>
        <v>14</v>
      </c>
      <c r="B112" s="35">
        <v>0</v>
      </c>
      <c r="C112" s="36">
        <f t="shared" si="175"/>
        <v>5.4630000000000045</v>
      </c>
      <c r="D112" s="36">
        <f t="shared" si="176"/>
        <v>8.35</v>
      </c>
      <c r="E112" s="37">
        <f t="shared" ref="E112:E113" si="201">P112</f>
        <v>5.5372128670306987E-3</v>
      </c>
      <c r="F112">
        <f t="shared" si="167"/>
        <v>8.3697999999999997</v>
      </c>
      <c r="G112">
        <v>50000</v>
      </c>
      <c r="H112" s="38">
        <f t="shared" si="170"/>
        <v>8.748317631224764E-2</v>
      </c>
      <c r="I112" s="39">
        <v>0.17</v>
      </c>
      <c r="J112" s="83">
        <v>494.11764705882348</v>
      </c>
      <c r="K112">
        <v>0.02</v>
      </c>
      <c r="L112">
        <f t="shared" ref="L112:L113" si="202">I112*0.001*K112</f>
        <v>3.4000000000000005E-6</v>
      </c>
      <c r="M112">
        <f t="shared" ref="M112:M113" si="203">L112*J112*(0.000000001)/(1.6E-19)</f>
        <v>10500000.000000002</v>
      </c>
      <c r="N112" s="27">
        <f>N111</f>
        <v>2907036.7551911175</v>
      </c>
      <c r="O112" s="40">
        <f t="shared" ref="O112:O113" si="204">M112/N112</f>
        <v>3.6119254361851714</v>
      </c>
      <c r="P112" s="37">
        <f t="shared" ref="P112:P113" si="205">K112/O112</f>
        <v>5.5372128670306987E-3</v>
      </c>
      <c r="Q112">
        <v>2100</v>
      </c>
      <c r="T112" s="39">
        <f t="shared" si="158"/>
        <v>5.537212867030699</v>
      </c>
      <c r="U112" s="146">
        <f t="shared" si="159"/>
        <v>525000.00000000012</v>
      </c>
      <c r="V112" s="39">
        <v>5.537212867030699</v>
      </c>
      <c r="W112" s="149">
        <v>525000.00000000012</v>
      </c>
      <c r="X112" s="148">
        <f t="shared" si="160"/>
        <v>0</v>
      </c>
      <c r="Y112" s="148">
        <f t="shared" si="161"/>
        <v>0</v>
      </c>
      <c r="AB112"/>
      <c r="AC112"/>
      <c r="AD112"/>
    </row>
    <row r="113" spans="1:30" x14ac:dyDescent="0.25">
      <c r="A113" s="35">
        <f t="shared" si="194"/>
        <v>15</v>
      </c>
      <c r="B113" s="35">
        <v>0</v>
      </c>
      <c r="C113" s="36">
        <f t="shared" si="175"/>
        <v>5.4640000000000049</v>
      </c>
      <c r="D113" s="36">
        <f t="shared" si="176"/>
        <v>8.35</v>
      </c>
      <c r="E113" s="37">
        <f t="shared" si="201"/>
        <v>5.1680653425619861E-3</v>
      </c>
      <c r="F113">
        <f t="shared" si="167"/>
        <v>8.3697999999999997</v>
      </c>
      <c r="G113">
        <v>50000</v>
      </c>
      <c r="H113" s="38">
        <f t="shared" si="170"/>
        <v>8.748317631224764E-2</v>
      </c>
      <c r="I113" s="39">
        <v>0.17</v>
      </c>
      <c r="J113" s="83">
        <v>529.41176470588232</v>
      </c>
      <c r="K113">
        <v>0.02</v>
      </c>
      <c r="L113">
        <f t="shared" si="202"/>
        <v>3.4000000000000005E-6</v>
      </c>
      <c r="M113">
        <f t="shared" si="203"/>
        <v>11250000.000000002</v>
      </c>
      <c r="N113" s="27">
        <f t="shared" ref="N113:N114" si="206">N112</f>
        <v>2907036.7551911175</v>
      </c>
      <c r="O113" s="40">
        <f t="shared" si="204"/>
        <v>3.8699201101983975</v>
      </c>
      <c r="P113" s="37">
        <f t="shared" si="205"/>
        <v>5.1680653425619861E-3</v>
      </c>
      <c r="Q113">
        <v>2250</v>
      </c>
      <c r="R113" s="40"/>
      <c r="T113" s="39">
        <f t="shared" si="158"/>
        <v>5.1680653425619862</v>
      </c>
      <c r="U113" s="146">
        <f t="shared" si="159"/>
        <v>562500</v>
      </c>
      <c r="V113" s="39">
        <v>5.1680653425619862</v>
      </c>
      <c r="W113" s="149">
        <v>562500</v>
      </c>
      <c r="X113" s="148">
        <f t="shared" si="160"/>
        <v>0</v>
      </c>
      <c r="Y113" s="148">
        <f t="shared" si="161"/>
        <v>0</v>
      </c>
      <c r="AB113"/>
      <c r="AC113"/>
      <c r="AD113"/>
    </row>
    <row r="114" spans="1:30" x14ac:dyDescent="0.25">
      <c r="A114" s="35">
        <f t="shared" si="194"/>
        <v>16</v>
      </c>
      <c r="B114" s="35">
        <v>0</v>
      </c>
      <c r="C114" s="36">
        <f t="shared" si="175"/>
        <v>5.4650000000000052</v>
      </c>
      <c r="D114" s="36">
        <f t="shared" si="176"/>
        <v>8.35</v>
      </c>
      <c r="E114" s="37">
        <f>P114</f>
        <v>4.8450612586518615E-3</v>
      </c>
      <c r="F114">
        <f t="shared" si="167"/>
        <v>8.3697999999999997</v>
      </c>
      <c r="G114">
        <v>50000</v>
      </c>
      <c r="H114" s="38">
        <f t="shared" si="170"/>
        <v>8.748317631224764E-2</v>
      </c>
      <c r="I114" s="39">
        <v>0.17</v>
      </c>
      <c r="J114" s="83">
        <v>564.7058823529411</v>
      </c>
      <c r="K114">
        <v>0.02</v>
      </c>
      <c r="L114">
        <f>I114*0.001*K114</f>
        <v>3.4000000000000005E-6</v>
      </c>
      <c r="M114">
        <f>L114*J114*(0.000000001)/(1.6E-19)</f>
        <v>12000000.000000002</v>
      </c>
      <c r="N114" s="27">
        <f t="shared" si="206"/>
        <v>2907036.7551911175</v>
      </c>
      <c r="O114" s="40">
        <f>M114/N114</f>
        <v>4.1279147842116242</v>
      </c>
      <c r="P114" s="37">
        <f>K114/O114</f>
        <v>4.8450612586518615E-3</v>
      </c>
      <c r="Q114">
        <v>2400</v>
      </c>
      <c r="R114" s="40"/>
      <c r="T114" s="39">
        <f t="shared" si="158"/>
        <v>4.845061258651862</v>
      </c>
      <c r="U114" s="146">
        <f t="shared" si="159"/>
        <v>600000.00000000012</v>
      </c>
      <c r="V114" s="39">
        <v>4.845061258651862</v>
      </c>
      <c r="W114" s="149">
        <v>600000.00000000012</v>
      </c>
      <c r="X114" s="148">
        <f t="shared" si="160"/>
        <v>0</v>
      </c>
      <c r="Y114" s="148">
        <f t="shared" si="161"/>
        <v>0</v>
      </c>
      <c r="AB114"/>
      <c r="AC114"/>
      <c r="AD114"/>
    </row>
    <row r="115" spans="1:30" x14ac:dyDescent="0.25">
      <c r="A115" s="35">
        <f t="shared" si="194"/>
        <v>17</v>
      </c>
      <c r="B115" s="35">
        <v>0</v>
      </c>
      <c r="C115" s="36">
        <f t="shared" si="175"/>
        <v>5.4660000000000055</v>
      </c>
      <c r="D115" s="36">
        <f t="shared" si="176"/>
        <v>8.35</v>
      </c>
      <c r="E115" s="37">
        <f t="shared" ref="E115" si="207">P115</f>
        <v>4.5600576552017533E-3</v>
      </c>
      <c r="F115">
        <f t="shared" si="167"/>
        <v>8.3697999999999997</v>
      </c>
      <c r="G115">
        <v>50000</v>
      </c>
      <c r="H115" s="38">
        <f t="shared" si="170"/>
        <v>8.748317631224764E-2</v>
      </c>
      <c r="I115" s="39">
        <v>0.17</v>
      </c>
      <c r="J115" s="83">
        <v>599.99999999999989</v>
      </c>
      <c r="K115">
        <v>0.02</v>
      </c>
      <c r="L115">
        <f t="shared" ref="L115" si="208">I115*0.001*K115</f>
        <v>3.4000000000000005E-6</v>
      </c>
      <c r="M115">
        <f t="shared" ref="M115" si="209">L115*J115*(0.000000001)/(1.6E-19)</f>
        <v>12750000</v>
      </c>
      <c r="N115" s="27">
        <f>N114</f>
        <v>2907036.7551911175</v>
      </c>
      <c r="O115" s="40">
        <f t="shared" ref="O115" si="210">M115/N115</f>
        <v>4.3859094582248499</v>
      </c>
      <c r="P115" s="37">
        <f t="shared" ref="P115" si="211">K115/O115</f>
        <v>4.5600576552017533E-3</v>
      </c>
      <c r="Q115">
        <v>2550</v>
      </c>
      <c r="T115" s="39">
        <f t="shared" si="158"/>
        <v>4.5600576552017529</v>
      </c>
      <c r="U115" s="146">
        <f t="shared" si="159"/>
        <v>637500</v>
      </c>
      <c r="V115" s="39">
        <v>4.560057655201752</v>
      </c>
      <c r="W115" s="149">
        <v>637500.00000000012</v>
      </c>
      <c r="X115" s="148">
        <f t="shared" si="160"/>
        <v>0</v>
      </c>
      <c r="Y115" s="148">
        <f t="shared" si="161"/>
        <v>0</v>
      </c>
      <c r="AB115"/>
      <c r="AC115"/>
      <c r="AD115"/>
    </row>
    <row r="116" spans="1:30" x14ac:dyDescent="0.25">
      <c r="A116" s="35">
        <f t="shared" si="194"/>
        <v>18</v>
      </c>
      <c r="B116" s="35">
        <v>0</v>
      </c>
      <c r="C116" s="36">
        <f t="shared" si="175"/>
        <v>5.4670000000000059</v>
      </c>
      <c r="D116" s="36">
        <f t="shared" si="176"/>
        <v>8.35</v>
      </c>
      <c r="E116" s="37">
        <f>P116</f>
        <v>4.3067211188016546E-3</v>
      </c>
      <c r="F116">
        <f t="shared" si="167"/>
        <v>8.3697999999999997</v>
      </c>
      <c r="G116">
        <v>50000</v>
      </c>
      <c r="H116" s="38">
        <f t="shared" si="170"/>
        <v>8.748317631224764E-2</v>
      </c>
      <c r="I116" s="39">
        <v>0.17</v>
      </c>
      <c r="J116" s="83">
        <v>635.29411764705878</v>
      </c>
      <c r="K116">
        <v>0.02</v>
      </c>
      <c r="L116">
        <f>I116*0.001*K116</f>
        <v>3.4000000000000005E-6</v>
      </c>
      <c r="M116">
        <f>L116*J116*(0.000000001)/(1.6E-19)</f>
        <v>13500000.000000002</v>
      </c>
      <c r="N116" s="27">
        <f>N115</f>
        <v>2907036.7551911175</v>
      </c>
      <c r="O116" s="40">
        <f>M116/N116</f>
        <v>4.6439041322380774</v>
      </c>
      <c r="P116" s="37">
        <f>K116/O116</f>
        <v>4.3067211188016546E-3</v>
      </c>
      <c r="Q116">
        <v>2700</v>
      </c>
      <c r="R116" s="40"/>
      <c r="T116" s="39">
        <f t="shared" si="158"/>
        <v>4.3067211188016543</v>
      </c>
      <c r="U116" s="146">
        <f t="shared" si="159"/>
        <v>675000.00000000023</v>
      </c>
      <c r="V116" s="39">
        <v>4.3067211188016543</v>
      </c>
      <c r="W116" s="149">
        <v>675000.00000000023</v>
      </c>
      <c r="X116" s="148">
        <f t="shared" si="160"/>
        <v>0</v>
      </c>
      <c r="Y116" s="148">
        <f t="shared" si="161"/>
        <v>0</v>
      </c>
      <c r="AB116"/>
      <c r="AC116"/>
      <c r="AD116"/>
    </row>
    <row r="117" spans="1:30" x14ac:dyDescent="0.25">
      <c r="A117" s="35">
        <f>A116+1</f>
        <v>19</v>
      </c>
      <c r="B117" s="35">
        <v>0</v>
      </c>
      <c r="C117" s="36">
        <f t="shared" si="175"/>
        <v>5.4680000000000062</v>
      </c>
      <c r="D117" s="36">
        <f t="shared" si="176"/>
        <v>8.35</v>
      </c>
      <c r="E117" s="37">
        <f t="shared" ref="E117:E118" si="212">P117</f>
        <v>4.0800515862331474E-3</v>
      </c>
      <c r="F117">
        <f t="shared" si="167"/>
        <v>8.3697999999999997</v>
      </c>
      <c r="G117">
        <v>50000</v>
      </c>
      <c r="H117" s="38">
        <f t="shared" si="170"/>
        <v>8.748317631224764E-2</v>
      </c>
      <c r="I117" s="39">
        <v>0.17</v>
      </c>
      <c r="J117" s="83">
        <v>670.58823529411757</v>
      </c>
      <c r="K117">
        <v>0.02</v>
      </c>
      <c r="L117">
        <f t="shared" ref="L117:L118" si="213">I117*0.001*K117</f>
        <v>3.4000000000000005E-6</v>
      </c>
      <c r="M117">
        <f t="shared" ref="M117:M118" si="214">L117*J117*(0.000000001)/(1.6E-19)</f>
        <v>14250000</v>
      </c>
      <c r="N117" s="27">
        <f>N116</f>
        <v>2907036.7551911175</v>
      </c>
      <c r="O117" s="40">
        <f t="shared" ref="O117:O118" si="215">M117/N117</f>
        <v>4.9018988062513031</v>
      </c>
      <c r="P117" s="37">
        <f t="shared" ref="P117:P118" si="216">K117/O117</f>
        <v>4.0800515862331474E-3</v>
      </c>
      <c r="Q117">
        <v>2850</v>
      </c>
      <c r="T117" s="39">
        <f t="shared" si="158"/>
        <v>4.0800515862331475</v>
      </c>
      <c r="U117" s="146">
        <f t="shared" si="159"/>
        <v>712500</v>
      </c>
      <c r="V117" s="39">
        <v>4.0800515862331466</v>
      </c>
      <c r="W117" s="149">
        <v>712500.00000000012</v>
      </c>
      <c r="X117" s="148">
        <f t="shared" si="160"/>
        <v>0</v>
      </c>
      <c r="Y117" s="148">
        <f t="shared" si="161"/>
        <v>0</v>
      </c>
      <c r="AB117"/>
      <c r="AC117"/>
      <c r="AD117"/>
    </row>
    <row r="118" spans="1:30" x14ac:dyDescent="0.25">
      <c r="A118" s="35">
        <f t="shared" si="194"/>
        <v>20</v>
      </c>
      <c r="B118" s="35">
        <v>0</v>
      </c>
      <c r="C118" s="36">
        <f t="shared" si="175"/>
        <v>5.4690000000000065</v>
      </c>
      <c r="D118" s="36">
        <f t="shared" si="176"/>
        <v>8.35</v>
      </c>
      <c r="E118" s="37">
        <f t="shared" si="212"/>
        <v>3.8760490069214898E-3</v>
      </c>
      <c r="F118">
        <f t="shared" si="167"/>
        <v>8.3697999999999997</v>
      </c>
      <c r="G118">
        <v>50000</v>
      </c>
      <c r="H118" s="38">
        <f t="shared" si="170"/>
        <v>8.748317631224764E-2</v>
      </c>
      <c r="I118" s="39">
        <v>0.17</v>
      </c>
      <c r="J118" s="83">
        <v>705.88235294117635</v>
      </c>
      <c r="K118">
        <v>0.02</v>
      </c>
      <c r="L118">
        <f t="shared" si="213"/>
        <v>3.4000000000000005E-6</v>
      </c>
      <c r="M118">
        <f t="shared" si="214"/>
        <v>15000000</v>
      </c>
      <c r="N118" s="27">
        <f t="shared" ref="N118:N119" si="217">N117</f>
        <v>2907036.7551911175</v>
      </c>
      <c r="O118" s="40">
        <f t="shared" si="215"/>
        <v>5.1598934802645298</v>
      </c>
      <c r="P118" s="37">
        <f t="shared" si="216"/>
        <v>3.8760490069214898E-3</v>
      </c>
      <c r="Q118">
        <v>3000</v>
      </c>
      <c r="R118" s="40"/>
      <c r="T118" s="39">
        <f t="shared" si="158"/>
        <v>3.8760490069214897</v>
      </c>
      <c r="U118" s="146">
        <f t="shared" si="159"/>
        <v>750000.00000000012</v>
      </c>
      <c r="V118" s="39">
        <v>3.8760490069214897</v>
      </c>
      <c r="W118" s="149">
        <v>750000.00000000012</v>
      </c>
      <c r="X118" s="148">
        <f t="shared" si="160"/>
        <v>0</v>
      </c>
      <c r="Y118" s="148">
        <f t="shared" si="161"/>
        <v>0</v>
      </c>
      <c r="AB118"/>
      <c r="AC118"/>
      <c r="AD118"/>
    </row>
    <row r="119" spans="1:30" x14ac:dyDescent="0.25">
      <c r="A119" s="35">
        <f t="shared" si="194"/>
        <v>21</v>
      </c>
      <c r="B119" s="35">
        <v>0</v>
      </c>
      <c r="C119" s="36">
        <f t="shared" si="175"/>
        <v>5.4700000000000069</v>
      </c>
      <c r="D119" s="36">
        <f t="shared" si="176"/>
        <v>8.35</v>
      </c>
      <c r="E119" s="37">
        <f>P119</f>
        <v>3.691475244687133E-3</v>
      </c>
      <c r="F119">
        <f t="shared" si="167"/>
        <v>8.3697999999999997</v>
      </c>
      <c r="G119">
        <v>50000</v>
      </c>
      <c r="H119" s="38">
        <f t="shared" si="170"/>
        <v>8.748317631224764E-2</v>
      </c>
      <c r="I119" s="39">
        <v>0.17</v>
      </c>
      <c r="J119" s="83">
        <v>741.17647058823525</v>
      </c>
      <c r="K119">
        <v>0.02</v>
      </c>
      <c r="L119">
        <f>I119*0.001*K119</f>
        <v>3.4000000000000005E-6</v>
      </c>
      <c r="M119">
        <f>L119*J119*(0.000000001)/(1.6E-19)</f>
        <v>15750000.000000002</v>
      </c>
      <c r="N119" s="27">
        <f t="shared" si="217"/>
        <v>2907036.7551911175</v>
      </c>
      <c r="O119" s="40">
        <f>M119/N119</f>
        <v>5.4178881542777564</v>
      </c>
      <c r="P119" s="37">
        <f>K119/O119</f>
        <v>3.691475244687133E-3</v>
      </c>
      <c r="Q119">
        <v>3150</v>
      </c>
      <c r="R119" s="40"/>
      <c r="T119" s="39">
        <f t="shared" si="158"/>
        <v>3.6914752446871328</v>
      </c>
      <c r="U119" s="146">
        <f t="shared" si="159"/>
        <v>787500.00000000012</v>
      </c>
      <c r="V119" s="39">
        <v>3.6914752446871328</v>
      </c>
      <c r="W119" s="149">
        <v>787500.00000000012</v>
      </c>
      <c r="X119" s="148">
        <f t="shared" si="160"/>
        <v>0</v>
      </c>
      <c r="Y119" s="148">
        <f t="shared" si="161"/>
        <v>0</v>
      </c>
      <c r="AB119"/>
      <c r="AC119"/>
      <c r="AD119"/>
    </row>
    <row r="120" spans="1:30" x14ac:dyDescent="0.25">
      <c r="A120" s="35">
        <f t="shared" si="194"/>
        <v>22</v>
      </c>
      <c r="B120" s="35">
        <v>0</v>
      </c>
      <c r="C120" s="36">
        <f t="shared" si="175"/>
        <v>5.4710000000000072</v>
      </c>
      <c r="D120" s="36">
        <f t="shared" si="176"/>
        <v>8.35</v>
      </c>
      <c r="E120" s="37">
        <f t="shared" ref="E120" si="218">P120</f>
        <v>0</v>
      </c>
      <c r="F120">
        <f t="shared" si="167"/>
        <v>8.3697999999999997</v>
      </c>
      <c r="G120">
        <v>50000</v>
      </c>
      <c r="H120" s="38">
        <f t="shared" si="170"/>
        <v>8.748317631224764E-2</v>
      </c>
      <c r="I120" s="39">
        <v>0.17</v>
      </c>
      <c r="J120" s="40"/>
      <c r="K120">
        <v>0.02</v>
      </c>
      <c r="L120">
        <f t="shared" ref="L120" si="219">I120*0.001*K120</f>
        <v>3.4000000000000005E-6</v>
      </c>
      <c r="M120">
        <f t="shared" ref="M120" si="220">L120*J120*(0.000000001)/(1.6E-19)</f>
        <v>0</v>
      </c>
      <c r="N120" s="27">
        <f>N119</f>
        <v>2907036.7551911175</v>
      </c>
      <c r="O120" s="40">
        <f t="shared" ref="O120" si="221">M120/N120</f>
        <v>0</v>
      </c>
      <c r="P120" s="37"/>
      <c r="Q120">
        <v>3300</v>
      </c>
      <c r="U120" s="27"/>
      <c r="V120" s="39">
        <v>3.5236809153831721</v>
      </c>
      <c r="W120" s="149">
        <v>825000.00000000012</v>
      </c>
      <c r="AB120"/>
      <c r="AC120"/>
      <c r="AD120"/>
    </row>
    <row r="121" spans="1:30" x14ac:dyDescent="0.25">
      <c r="A121" s="35">
        <f t="shared" si="194"/>
        <v>23</v>
      </c>
      <c r="B121" s="35">
        <v>0</v>
      </c>
      <c r="C121" s="36">
        <f t="shared" si="175"/>
        <v>5.4720000000000075</v>
      </c>
      <c r="D121" s="36">
        <f t="shared" si="176"/>
        <v>8.35</v>
      </c>
      <c r="E121" s="37">
        <f>P121</f>
        <v>3.3704773973230349E-3</v>
      </c>
      <c r="F121">
        <f t="shared" si="167"/>
        <v>8.3697999999999997</v>
      </c>
      <c r="G121">
        <v>50000</v>
      </c>
      <c r="H121" s="38">
        <f t="shared" si="170"/>
        <v>8.748317631224764E-2</v>
      </c>
      <c r="I121" s="39">
        <v>0.17</v>
      </c>
      <c r="J121" s="83">
        <v>811.76470588235281</v>
      </c>
      <c r="K121">
        <v>0.02</v>
      </c>
      <c r="L121">
        <f>I121*0.001*K121</f>
        <v>3.4000000000000005E-6</v>
      </c>
      <c r="M121">
        <f>L121*J121*(0.000000001)/(1.6E-19)</f>
        <v>17250000</v>
      </c>
      <c r="N121" s="27">
        <f>N120</f>
        <v>2907036.7551911175</v>
      </c>
      <c r="O121" s="40">
        <f>M121/N121</f>
        <v>5.9338775023042087</v>
      </c>
      <c r="P121" s="37">
        <f>K121/O121</f>
        <v>3.3704773973230349E-3</v>
      </c>
      <c r="Q121">
        <v>3450</v>
      </c>
      <c r="R121" s="40"/>
      <c r="T121" s="39">
        <f t="shared" si="158"/>
        <v>3.3704773973230351</v>
      </c>
      <c r="U121" s="146">
        <f t="shared" si="159"/>
        <v>862499.99999999988</v>
      </c>
      <c r="V121" s="39">
        <v>3.3704773973230346</v>
      </c>
      <c r="W121" s="149">
        <v>862500</v>
      </c>
      <c r="X121" s="148">
        <f t="shared" si="160"/>
        <v>0</v>
      </c>
      <c r="Y121" s="148">
        <f t="shared" si="161"/>
        <v>0</v>
      </c>
      <c r="AB121"/>
      <c r="AC121"/>
      <c r="AD121"/>
    </row>
    <row r="122" spans="1:30" x14ac:dyDescent="0.25">
      <c r="A122" s="35">
        <f>A121+1</f>
        <v>24</v>
      </c>
      <c r="B122" s="35">
        <v>0</v>
      </c>
      <c r="C122" s="36">
        <f t="shared" si="175"/>
        <v>5.4730000000000079</v>
      </c>
      <c r="D122" s="36">
        <f t="shared" si="176"/>
        <v>8.35</v>
      </c>
      <c r="E122" s="37">
        <f t="shared" ref="E122:E123" si="222">P122</f>
        <v>3.2300408391012416E-3</v>
      </c>
      <c r="F122">
        <f t="shared" si="167"/>
        <v>8.3697999999999997</v>
      </c>
      <c r="G122">
        <v>50000</v>
      </c>
      <c r="H122" s="38">
        <f t="shared" si="170"/>
        <v>8.748317631224764E-2</v>
      </c>
      <c r="I122" s="39">
        <v>0.17</v>
      </c>
      <c r="J122" s="83">
        <v>847.0588235294116</v>
      </c>
      <c r="K122">
        <v>0.02</v>
      </c>
      <c r="L122">
        <f t="shared" ref="L122:L123" si="223">I122*0.001*K122</f>
        <v>3.4000000000000005E-6</v>
      </c>
      <c r="M122">
        <f t="shared" ref="M122:M123" si="224">L122*J122*(0.000000001)/(1.6E-19)</f>
        <v>18000000</v>
      </c>
      <c r="N122" s="27">
        <f>N121</f>
        <v>2907036.7551911175</v>
      </c>
      <c r="O122" s="40">
        <f t="shared" ref="O122:O123" si="225">M122/N122</f>
        <v>6.1918721763174354</v>
      </c>
      <c r="P122" s="37">
        <f t="shared" ref="P122:P123" si="226">K122/O122</f>
        <v>3.2300408391012416E-3</v>
      </c>
      <c r="Q122">
        <v>3600</v>
      </c>
      <c r="T122" s="39">
        <f t="shared" si="158"/>
        <v>3.2300408391012416</v>
      </c>
      <c r="U122" s="146">
        <f t="shared" si="159"/>
        <v>900000</v>
      </c>
      <c r="V122" s="39">
        <v>3.2300408391012412</v>
      </c>
      <c r="W122" s="149">
        <v>900000.00000000012</v>
      </c>
      <c r="X122" s="148">
        <f t="shared" si="160"/>
        <v>0</v>
      </c>
      <c r="Y122" s="148">
        <f t="shared" si="161"/>
        <v>0</v>
      </c>
      <c r="AB122"/>
      <c r="AC122"/>
      <c r="AD122"/>
    </row>
    <row r="123" spans="1:30" x14ac:dyDescent="0.25">
      <c r="A123" s="35">
        <f t="shared" si="194"/>
        <v>25</v>
      </c>
      <c r="B123" s="35">
        <v>0</v>
      </c>
      <c r="C123" s="36">
        <f t="shared" si="175"/>
        <v>5.4740000000000082</v>
      </c>
      <c r="D123" s="36">
        <f t="shared" si="176"/>
        <v>8.35</v>
      </c>
      <c r="E123" s="37">
        <f t="shared" si="222"/>
        <v>3.1008392055371916E-3</v>
      </c>
      <c r="F123">
        <f t="shared" si="167"/>
        <v>8.3697999999999997</v>
      </c>
      <c r="G123">
        <v>50000</v>
      </c>
      <c r="H123" s="38">
        <f t="shared" si="170"/>
        <v>8.748317631224764E-2</v>
      </c>
      <c r="I123" s="39">
        <v>0.17</v>
      </c>
      <c r="J123" s="83">
        <v>882.35294117647049</v>
      </c>
      <c r="K123">
        <v>0.02</v>
      </c>
      <c r="L123">
        <f t="shared" si="223"/>
        <v>3.4000000000000005E-6</v>
      </c>
      <c r="M123">
        <f t="shared" si="224"/>
        <v>18750000.000000004</v>
      </c>
      <c r="N123" s="27">
        <f t="shared" ref="N123:N124" si="227">N122</f>
        <v>2907036.7551911175</v>
      </c>
      <c r="O123" s="40">
        <f t="shared" si="225"/>
        <v>6.4498668503306629</v>
      </c>
      <c r="P123" s="37">
        <f t="shared" si="226"/>
        <v>3.1008392055371916E-3</v>
      </c>
      <c r="Q123">
        <v>3750</v>
      </c>
      <c r="R123" s="40"/>
      <c r="T123" s="39">
        <f t="shared" si="158"/>
        <v>3.1008392055371918</v>
      </c>
      <c r="U123" s="146">
        <f t="shared" si="159"/>
        <v>937500.00000000012</v>
      </c>
      <c r="V123" s="39">
        <v>3.1008392055371918</v>
      </c>
      <c r="W123" s="149">
        <v>937500.00000000012</v>
      </c>
      <c r="X123" s="148">
        <f t="shared" si="160"/>
        <v>0</v>
      </c>
      <c r="Y123" s="148">
        <f t="shared" si="161"/>
        <v>0</v>
      </c>
      <c r="AB123"/>
      <c r="AC123"/>
      <c r="AD123"/>
    </row>
    <row r="124" spans="1:30" x14ac:dyDescent="0.25">
      <c r="A124" s="35">
        <f t="shared" si="194"/>
        <v>26</v>
      </c>
      <c r="B124" s="35">
        <v>0</v>
      </c>
      <c r="C124" s="36">
        <f t="shared" si="175"/>
        <v>5.4750000000000085</v>
      </c>
      <c r="D124" s="36">
        <f t="shared" si="176"/>
        <v>8.35</v>
      </c>
      <c r="E124" s="37">
        <f>P124</f>
        <v>2.9815761591703771E-3</v>
      </c>
      <c r="F124">
        <f t="shared" si="167"/>
        <v>8.3697999999999997</v>
      </c>
      <c r="G124">
        <v>50000</v>
      </c>
      <c r="H124" s="38">
        <f t="shared" si="170"/>
        <v>8.748317631224764E-2</v>
      </c>
      <c r="I124" s="39">
        <v>0.17</v>
      </c>
      <c r="J124" s="83">
        <v>917.64705882352928</v>
      </c>
      <c r="K124">
        <v>0.02</v>
      </c>
      <c r="L124">
        <f>I124*0.001*K124</f>
        <v>3.4000000000000005E-6</v>
      </c>
      <c r="M124">
        <f>L124*J124*(0.000000001)/(1.6E-19)</f>
        <v>19500000</v>
      </c>
      <c r="N124" s="27">
        <f t="shared" si="227"/>
        <v>2907036.7551911175</v>
      </c>
      <c r="O124" s="40">
        <f>M124/N124</f>
        <v>6.7078615243438877</v>
      </c>
      <c r="P124" s="37">
        <f>K124/O124</f>
        <v>2.9815761591703771E-3</v>
      </c>
      <c r="Q124">
        <v>3900</v>
      </c>
      <c r="R124" s="40"/>
      <c r="T124" s="39">
        <f t="shared" si="158"/>
        <v>2.9815761591703769</v>
      </c>
      <c r="U124" s="146">
        <f t="shared" si="159"/>
        <v>975000</v>
      </c>
      <c r="V124" s="39">
        <v>2.981576159170376</v>
      </c>
      <c r="W124" s="149">
        <v>975000.00000000035</v>
      </c>
      <c r="X124" s="148">
        <f t="shared" si="160"/>
        <v>0</v>
      </c>
      <c r="Y124" s="148">
        <f t="shared" si="161"/>
        <v>0</v>
      </c>
      <c r="AB124"/>
      <c r="AC124"/>
      <c r="AD124"/>
    </row>
    <row r="125" spans="1:30" x14ac:dyDescent="0.25">
      <c r="A125" s="35">
        <f t="shared" si="194"/>
        <v>27</v>
      </c>
      <c r="B125" s="35">
        <v>0</v>
      </c>
      <c r="C125" s="36">
        <f t="shared" si="175"/>
        <v>5.4760000000000089</v>
      </c>
      <c r="D125" s="36">
        <f t="shared" si="176"/>
        <v>8.35</v>
      </c>
      <c r="E125" s="37">
        <f t="shared" ref="E125" si="228">P125</f>
        <v>2.8711474125344373E-3</v>
      </c>
      <c r="F125">
        <f t="shared" si="167"/>
        <v>8.3697999999999997</v>
      </c>
      <c r="G125">
        <v>50000</v>
      </c>
      <c r="H125" s="38">
        <f t="shared" si="170"/>
        <v>8.748317631224764E-2</v>
      </c>
      <c r="I125" s="39">
        <v>0.17</v>
      </c>
      <c r="J125" s="83">
        <v>952.94117647058806</v>
      </c>
      <c r="K125">
        <v>0.02</v>
      </c>
      <c r="L125">
        <f t="shared" ref="L125" si="229">I125*0.001*K125</f>
        <v>3.4000000000000005E-6</v>
      </c>
      <c r="M125">
        <f t="shared" ref="M125" si="230">L125*J125*(0.000000001)/(1.6E-19)</f>
        <v>20250000</v>
      </c>
      <c r="N125" s="27">
        <f>N124</f>
        <v>2907036.7551911175</v>
      </c>
      <c r="O125" s="40">
        <f t="shared" ref="O125" si="231">M125/N125</f>
        <v>6.9658561983571143</v>
      </c>
      <c r="P125" s="37">
        <f t="shared" ref="P125" si="232">K125/O125</f>
        <v>2.8711474125344373E-3</v>
      </c>
      <c r="Q125">
        <v>4050</v>
      </c>
      <c r="T125" s="39">
        <f t="shared" si="158"/>
        <v>2.8711474125344374</v>
      </c>
      <c r="U125" s="146">
        <f t="shared" si="159"/>
        <v>1012499.9999999999</v>
      </c>
      <c r="V125" s="39">
        <v>2.8711474125344365</v>
      </c>
      <c r="W125" s="149">
        <v>1012500.0000000002</v>
      </c>
      <c r="X125" s="148">
        <f t="shared" si="160"/>
        <v>0</v>
      </c>
      <c r="Y125" s="148">
        <f t="shared" si="161"/>
        <v>0</v>
      </c>
      <c r="AB125"/>
      <c r="AC125"/>
      <c r="AD125"/>
    </row>
    <row r="126" spans="1:30" x14ac:dyDescent="0.25">
      <c r="A126" s="35">
        <f t="shared" si="194"/>
        <v>28</v>
      </c>
      <c r="B126" s="35">
        <v>0</v>
      </c>
      <c r="C126" s="36">
        <f t="shared" si="175"/>
        <v>5.4770000000000092</v>
      </c>
      <c r="D126" s="36">
        <f t="shared" si="176"/>
        <v>8.35</v>
      </c>
      <c r="E126" s="37">
        <f>P126</f>
        <v>2.7686064335153493E-3</v>
      </c>
      <c r="F126">
        <f t="shared" si="167"/>
        <v>8.3697999999999997</v>
      </c>
      <c r="G126">
        <v>50000</v>
      </c>
      <c r="H126" s="38">
        <f t="shared" si="170"/>
        <v>8.748317631224764E-2</v>
      </c>
      <c r="I126" s="39">
        <v>0.17</v>
      </c>
      <c r="J126" s="83">
        <v>988.23529411764696</v>
      </c>
      <c r="K126">
        <v>0.02</v>
      </c>
      <c r="L126">
        <f>I126*0.001*K126</f>
        <v>3.4000000000000005E-6</v>
      </c>
      <c r="M126">
        <f>L126*J126*(0.000000001)/(1.6E-19)</f>
        <v>21000000.000000004</v>
      </c>
      <c r="N126" s="27">
        <f>N125</f>
        <v>2907036.7551911175</v>
      </c>
      <c r="O126" s="40">
        <f>M126/N126</f>
        <v>7.2238508723703427</v>
      </c>
      <c r="P126" s="37">
        <f>K126/O126</f>
        <v>2.7686064335153493E-3</v>
      </c>
      <c r="Q126">
        <v>4200</v>
      </c>
      <c r="R126" s="40"/>
      <c r="T126" s="39">
        <f t="shared" si="158"/>
        <v>2.7686064335153495</v>
      </c>
      <c r="U126" s="146">
        <f t="shared" si="159"/>
        <v>1050000.0000000002</v>
      </c>
      <c r="V126" s="39">
        <v>2.7686064335153495</v>
      </c>
      <c r="W126" s="149">
        <v>1050000.0000000002</v>
      </c>
      <c r="X126" s="148">
        <f t="shared" si="160"/>
        <v>0</v>
      </c>
      <c r="Y126" s="148">
        <f t="shared" si="161"/>
        <v>0</v>
      </c>
      <c r="AB126"/>
      <c r="AC126"/>
      <c r="AD126"/>
    </row>
    <row r="127" spans="1:30" x14ac:dyDescent="0.25">
      <c r="A127" s="35">
        <f>A126+1</f>
        <v>29</v>
      </c>
      <c r="B127" s="35">
        <v>0</v>
      </c>
      <c r="C127" s="36">
        <f t="shared" si="175"/>
        <v>5.4780000000000095</v>
      </c>
      <c r="D127" s="36">
        <f t="shared" si="176"/>
        <v>8.35</v>
      </c>
      <c r="E127" s="37">
        <f t="shared" ref="E127:E128" si="233">P127</f>
        <v>2.6731372461527513E-3</v>
      </c>
      <c r="F127">
        <f t="shared" si="167"/>
        <v>8.3697999999999997</v>
      </c>
      <c r="G127">
        <v>50000</v>
      </c>
      <c r="H127" s="38">
        <f t="shared" si="170"/>
        <v>8.748317631224764E-2</v>
      </c>
      <c r="I127" s="39">
        <v>0.17</v>
      </c>
      <c r="J127" s="83">
        <v>1023.5294117647057</v>
      </c>
      <c r="K127">
        <v>0.02</v>
      </c>
      <c r="L127">
        <f t="shared" ref="L127:L128" si="234">I127*0.001*K127</f>
        <v>3.4000000000000005E-6</v>
      </c>
      <c r="M127">
        <f t="shared" ref="M127:M128" si="235">L127*J127*(0.000000001)/(1.6E-19)</f>
        <v>21750000.000000004</v>
      </c>
      <c r="N127" s="27">
        <f>N126</f>
        <v>2907036.7551911175</v>
      </c>
      <c r="O127" s="40">
        <f t="shared" ref="O127:O128" si="236">M127/N127</f>
        <v>7.4818455463835685</v>
      </c>
      <c r="P127" s="37">
        <f t="shared" ref="P127:P128" si="237">K127/O127</f>
        <v>2.6731372461527513E-3</v>
      </c>
      <c r="Q127">
        <v>4350</v>
      </c>
      <c r="T127" s="39">
        <f t="shared" si="158"/>
        <v>2.6731372461527512</v>
      </c>
      <c r="U127" s="146">
        <f t="shared" si="159"/>
        <v>1087500.0000000002</v>
      </c>
      <c r="V127" s="39">
        <v>2.6731372461527512</v>
      </c>
      <c r="W127" s="149">
        <v>1087500.0000000002</v>
      </c>
      <c r="X127" s="148">
        <f t="shared" si="160"/>
        <v>0</v>
      </c>
      <c r="Y127" s="148">
        <f t="shared" si="161"/>
        <v>0</v>
      </c>
      <c r="AB127"/>
      <c r="AC127"/>
      <c r="AD127"/>
    </row>
    <row r="128" spans="1:30" x14ac:dyDescent="0.25">
      <c r="A128" s="35">
        <f t="shared" si="194"/>
        <v>30</v>
      </c>
      <c r="B128" s="35">
        <v>0</v>
      </c>
      <c r="C128" s="36">
        <f t="shared" si="175"/>
        <v>5.4790000000000099</v>
      </c>
      <c r="D128" s="36">
        <f t="shared" si="176"/>
        <v>8.35</v>
      </c>
      <c r="E128" s="37">
        <f t="shared" si="233"/>
        <v>2.584032671280993E-3</v>
      </c>
      <c r="F128">
        <f t="shared" si="167"/>
        <v>8.3697999999999997</v>
      </c>
      <c r="G128">
        <v>50000</v>
      </c>
      <c r="H128" s="38">
        <f t="shared" si="170"/>
        <v>8.748317631224764E-2</v>
      </c>
      <c r="I128" s="39">
        <v>0.17</v>
      </c>
      <c r="J128" s="83">
        <v>1058.8235294117646</v>
      </c>
      <c r="K128">
        <v>0.02</v>
      </c>
      <c r="L128">
        <f t="shared" si="234"/>
        <v>3.4000000000000005E-6</v>
      </c>
      <c r="M128">
        <f t="shared" si="235"/>
        <v>22500000.000000004</v>
      </c>
      <c r="N128" s="27">
        <f t="shared" ref="N128" si="238">N127</f>
        <v>2907036.7551911175</v>
      </c>
      <c r="O128" s="40">
        <f t="shared" si="236"/>
        <v>7.7398402203967951</v>
      </c>
      <c r="P128" s="37">
        <f t="shared" si="237"/>
        <v>2.584032671280993E-3</v>
      </c>
      <c r="Q128">
        <v>4500</v>
      </c>
      <c r="R128" s="40"/>
      <c r="T128" s="39">
        <f t="shared" si="158"/>
        <v>2.5840326712809931</v>
      </c>
      <c r="U128" s="146">
        <f t="shared" si="159"/>
        <v>1125000</v>
      </c>
      <c r="V128" s="39">
        <v>2.5840326712809931</v>
      </c>
      <c r="W128" s="149">
        <v>1125000</v>
      </c>
      <c r="X128" s="148">
        <f t="shared" si="160"/>
        <v>0</v>
      </c>
      <c r="Y128" s="148">
        <f t="shared" si="161"/>
        <v>0</v>
      </c>
      <c r="AB128"/>
      <c r="AC128"/>
      <c r="AD128"/>
    </row>
    <row r="129" spans="1:30" x14ac:dyDescent="0.25">
      <c r="A129" s="82">
        <f t="shared" si="194"/>
        <v>31</v>
      </c>
      <c r="B129" s="35">
        <v>0</v>
      </c>
      <c r="C129" s="36">
        <f t="shared" si="175"/>
        <v>5.4800000000000102</v>
      </c>
      <c r="D129" s="36">
        <f t="shared" si="176"/>
        <v>8.35</v>
      </c>
      <c r="E129" s="37">
        <f>P129</f>
        <v>7.7520980138429785E-2</v>
      </c>
      <c r="F129">
        <f t="shared" si="167"/>
        <v>8.3697999999999997</v>
      </c>
      <c r="G129">
        <v>50000</v>
      </c>
      <c r="H129" s="38">
        <f>(I129-IF(B129,$P$23,$O$23))/(IF(B129,$P$22,$O$22)-IF(B129,$P$23,$O$23))*10</f>
        <v>8.748317631224764E-2</v>
      </c>
      <c r="I129" s="39">
        <v>0.17</v>
      </c>
      <c r="J129" s="84">
        <v>35.294117647058819</v>
      </c>
      <c r="K129">
        <v>0.02</v>
      </c>
      <c r="L129">
        <f>I129*0.001*K129</f>
        <v>3.4000000000000005E-6</v>
      </c>
      <c r="M129">
        <f>L129*J129*(0.000000001)/(1.6E-19)</f>
        <v>750000.00000000012</v>
      </c>
      <c r="N129" s="27">
        <f>MAX($D$3:$D$15)*2</f>
        <v>2907036.7551911175</v>
      </c>
      <c r="O129" s="40">
        <f>M129/N129</f>
        <v>0.25799467401322651</v>
      </c>
      <c r="P129" s="37">
        <f>K129/O129</f>
        <v>7.7520980138429785E-2</v>
      </c>
      <c r="Q129">
        <v>150</v>
      </c>
      <c r="R129" s="40">
        <f>SUM(O129:O288)</f>
        <v>429.56113223202215</v>
      </c>
      <c r="S129">
        <f>R129/60</f>
        <v>7.1593522038670354</v>
      </c>
      <c r="T129" s="39">
        <f t="shared" si="158"/>
        <v>77.520980138429792</v>
      </c>
      <c r="U129" s="144">
        <f t="shared" si="159"/>
        <v>37500.000000000007</v>
      </c>
      <c r="V129" s="39">
        <v>77.520980138429792</v>
      </c>
      <c r="W129" s="149">
        <v>37500.000000000007</v>
      </c>
      <c r="X129" s="148">
        <f t="shared" si="160"/>
        <v>0</v>
      </c>
      <c r="Y129" s="148">
        <f t="shared" si="161"/>
        <v>0</v>
      </c>
      <c r="AB129"/>
      <c r="AC129"/>
      <c r="AD129"/>
    </row>
    <row r="130" spans="1:30" x14ac:dyDescent="0.25">
      <c r="A130" s="35">
        <f t="shared" si="194"/>
        <v>32</v>
      </c>
      <c r="B130" s="35">
        <v>0</v>
      </c>
      <c r="C130" s="36">
        <f t="shared" si="175"/>
        <v>5.4810000000000105</v>
      </c>
      <c r="D130" s="36">
        <f>D129</f>
        <v>8.35</v>
      </c>
      <c r="E130" s="37">
        <f t="shared" ref="E130" si="239">P130</f>
        <v>3.8760490069214892E-2</v>
      </c>
      <c r="F130">
        <f t="shared" si="167"/>
        <v>8.3697999999999997</v>
      </c>
      <c r="G130">
        <v>50000</v>
      </c>
      <c r="H130" s="38">
        <f t="shared" ref="H130:H158" si="240">(I130-IF(B130,$P$23,$O$23))/(IF(B130,$P$22,$O$22)-IF(B130,$P$23,$O$23))*10</f>
        <v>8.748317631224764E-2</v>
      </c>
      <c r="I130" s="39">
        <v>0.17</v>
      </c>
      <c r="J130" s="84">
        <v>70.588235294117638</v>
      </c>
      <c r="K130">
        <v>0.02</v>
      </c>
      <c r="L130">
        <f t="shared" ref="L130" si="241">I130*0.001*K130</f>
        <v>3.4000000000000005E-6</v>
      </c>
      <c r="M130">
        <f t="shared" ref="M130" si="242">L130*J130*(0.000000001)/(1.6E-19)</f>
        <v>1500000.0000000002</v>
      </c>
      <c r="N130" s="27">
        <f>N129</f>
        <v>2907036.7551911175</v>
      </c>
      <c r="O130" s="40">
        <f t="shared" ref="O130" si="243">M130/N130</f>
        <v>0.51598934802645302</v>
      </c>
      <c r="P130" s="37">
        <f t="shared" ref="P130" si="244">K130/O130</f>
        <v>3.8760490069214892E-2</v>
      </c>
      <c r="Q130">
        <v>300</v>
      </c>
      <c r="T130" s="39">
        <f t="shared" si="158"/>
        <v>38.760490069214896</v>
      </c>
      <c r="U130" s="144">
        <f t="shared" si="159"/>
        <v>75000.000000000015</v>
      </c>
      <c r="V130" s="39">
        <v>38.760490069214896</v>
      </c>
      <c r="W130" s="149">
        <v>75000.000000000015</v>
      </c>
      <c r="X130" s="148">
        <f t="shared" si="160"/>
        <v>0</v>
      </c>
      <c r="Y130" s="148">
        <f t="shared" si="161"/>
        <v>0</v>
      </c>
      <c r="AB130"/>
      <c r="AC130"/>
      <c r="AD130"/>
    </row>
    <row r="131" spans="1:30" x14ac:dyDescent="0.25">
      <c r="A131" s="35">
        <f t="shared" si="194"/>
        <v>33</v>
      </c>
      <c r="B131" s="35">
        <v>0</v>
      </c>
      <c r="C131" s="36">
        <f t="shared" si="175"/>
        <v>5.4820000000000109</v>
      </c>
      <c r="D131" s="36">
        <f t="shared" si="176"/>
        <v>8.35</v>
      </c>
      <c r="E131" s="37">
        <f>P131</f>
        <v>2.5840326712809933E-2</v>
      </c>
      <c r="F131">
        <f t="shared" si="167"/>
        <v>8.3697999999999997</v>
      </c>
      <c r="G131">
        <v>50000</v>
      </c>
      <c r="H131" s="38">
        <f t="shared" si="240"/>
        <v>8.748317631224764E-2</v>
      </c>
      <c r="I131" s="39">
        <v>0.17</v>
      </c>
      <c r="J131" s="84">
        <v>105.88235294117645</v>
      </c>
      <c r="K131">
        <v>0.02</v>
      </c>
      <c r="L131">
        <f>I131*0.001*K131</f>
        <v>3.4000000000000005E-6</v>
      </c>
      <c r="M131">
        <f>L131*J131*(0.000000001)/(1.6E-19)</f>
        <v>2250000</v>
      </c>
      <c r="N131" s="27">
        <f>N130</f>
        <v>2907036.7551911175</v>
      </c>
      <c r="O131" s="40">
        <f>M131/N131</f>
        <v>0.77398402203967942</v>
      </c>
      <c r="P131" s="37">
        <f>K131/O131</f>
        <v>2.5840326712809933E-2</v>
      </c>
      <c r="Q131">
        <v>450</v>
      </c>
      <c r="R131" s="40"/>
      <c r="T131" s="39">
        <f t="shared" si="158"/>
        <v>25.840326712809933</v>
      </c>
      <c r="U131" s="144">
        <f t="shared" si="159"/>
        <v>112500</v>
      </c>
      <c r="V131" s="39">
        <v>25.840326712809929</v>
      </c>
      <c r="W131" s="149">
        <v>112500.00000000001</v>
      </c>
      <c r="X131" s="148">
        <f t="shared" si="160"/>
        <v>0</v>
      </c>
      <c r="Y131" s="148">
        <f t="shared" si="161"/>
        <v>0</v>
      </c>
      <c r="AB131"/>
      <c r="AC131"/>
      <c r="AD131"/>
    </row>
    <row r="132" spans="1:30" x14ac:dyDescent="0.25">
      <c r="A132" s="35">
        <f>A131+1</f>
        <v>34</v>
      </c>
      <c r="B132" s="35">
        <v>0</v>
      </c>
      <c r="C132" s="36">
        <f t="shared" si="175"/>
        <v>5.4830000000000112</v>
      </c>
      <c r="D132" s="36">
        <f t="shared" si="176"/>
        <v>8.35</v>
      </c>
      <c r="E132" s="37">
        <f t="shared" ref="E132:E133" si="245">P132</f>
        <v>1.9380245034607446E-2</v>
      </c>
      <c r="F132">
        <f t="shared" si="167"/>
        <v>8.3697999999999997</v>
      </c>
      <c r="G132">
        <v>50000</v>
      </c>
      <c r="H132" s="38">
        <f t="shared" si="240"/>
        <v>8.748317631224764E-2</v>
      </c>
      <c r="I132" s="39">
        <v>0.17</v>
      </c>
      <c r="J132" s="84">
        <v>141.17647058823528</v>
      </c>
      <c r="K132">
        <v>0.02</v>
      </c>
      <c r="L132">
        <f t="shared" ref="L132:L133" si="246">I132*0.001*K132</f>
        <v>3.4000000000000005E-6</v>
      </c>
      <c r="M132">
        <f t="shared" ref="M132:M133" si="247">L132*J132*(0.000000001)/(1.6E-19)</f>
        <v>3000000.0000000005</v>
      </c>
      <c r="N132" s="27">
        <f>N131</f>
        <v>2907036.7551911175</v>
      </c>
      <c r="O132" s="40">
        <f t="shared" ref="O132:O133" si="248">M132/N132</f>
        <v>1.031978696052906</v>
      </c>
      <c r="P132" s="37">
        <f t="shared" ref="P132:P133" si="249">K132/O132</f>
        <v>1.9380245034607446E-2</v>
      </c>
      <c r="Q132">
        <v>600</v>
      </c>
      <c r="T132" s="39">
        <f t="shared" si="158"/>
        <v>19.380245034607448</v>
      </c>
      <c r="U132" s="144">
        <f t="shared" si="159"/>
        <v>150000.00000000003</v>
      </c>
      <c r="V132" s="39">
        <v>19.380245034607448</v>
      </c>
      <c r="W132" s="149">
        <v>150000.00000000003</v>
      </c>
      <c r="X132" s="148">
        <f t="shared" si="160"/>
        <v>0</v>
      </c>
      <c r="Y132" s="148">
        <f t="shared" si="161"/>
        <v>0</v>
      </c>
      <c r="AB132"/>
      <c r="AC132"/>
      <c r="AD132"/>
    </row>
    <row r="133" spans="1:30" x14ac:dyDescent="0.25">
      <c r="A133" s="35">
        <f t="shared" ref="A133:A136" si="250">A132+1</f>
        <v>35</v>
      </c>
      <c r="B133" s="35">
        <v>0</v>
      </c>
      <c r="C133" s="36">
        <f t="shared" si="175"/>
        <v>5.4840000000000115</v>
      </c>
      <c r="D133" s="36">
        <f t="shared" si="176"/>
        <v>8.35</v>
      </c>
      <c r="E133" s="37">
        <f t="shared" si="245"/>
        <v>1.5504196027685959E-2</v>
      </c>
      <c r="F133">
        <f t="shared" si="167"/>
        <v>8.3697999999999997</v>
      </c>
      <c r="G133">
        <v>50000</v>
      </c>
      <c r="H133" s="38">
        <f t="shared" si="240"/>
        <v>8.748317631224764E-2</v>
      </c>
      <c r="I133" s="39">
        <v>0.17</v>
      </c>
      <c r="J133" s="85">
        <v>176.47058823529409</v>
      </c>
      <c r="K133">
        <v>0.02</v>
      </c>
      <c r="L133">
        <f t="shared" si="246"/>
        <v>3.4000000000000005E-6</v>
      </c>
      <c r="M133">
        <f t="shared" si="247"/>
        <v>3750000</v>
      </c>
      <c r="N133" s="27">
        <f t="shared" ref="N133:N134" si="251">N132</f>
        <v>2907036.7551911175</v>
      </c>
      <c r="O133" s="40">
        <f t="shared" si="248"/>
        <v>1.2899733700661324</v>
      </c>
      <c r="P133" s="37">
        <f t="shared" si="249"/>
        <v>1.5504196027685959E-2</v>
      </c>
      <c r="Q133">
        <v>750</v>
      </c>
      <c r="R133" s="40"/>
      <c r="T133" s="39">
        <f t="shared" si="158"/>
        <v>15.504196027685959</v>
      </c>
      <c r="U133" s="145">
        <f t="shared" si="159"/>
        <v>187500.00000000003</v>
      </c>
      <c r="V133" s="39">
        <v>15.504196027685959</v>
      </c>
      <c r="W133" s="149">
        <v>187500.00000000003</v>
      </c>
      <c r="X133" s="148">
        <f t="shared" si="160"/>
        <v>0</v>
      </c>
      <c r="Y133" s="148">
        <f t="shared" si="161"/>
        <v>0</v>
      </c>
      <c r="AB133"/>
      <c r="AC133"/>
      <c r="AD133"/>
    </row>
    <row r="134" spans="1:30" x14ac:dyDescent="0.25">
      <c r="A134" s="35">
        <f t="shared" si="250"/>
        <v>36</v>
      </c>
      <c r="B134" s="35">
        <v>0</v>
      </c>
      <c r="C134" s="36">
        <f t="shared" si="175"/>
        <v>5.4850000000000119</v>
      </c>
      <c r="D134" s="36">
        <f t="shared" si="176"/>
        <v>8.35</v>
      </c>
      <c r="E134" s="37">
        <f>P134</f>
        <v>1.2920163356404966E-2</v>
      </c>
      <c r="F134">
        <f t="shared" si="167"/>
        <v>8.3697999999999997</v>
      </c>
      <c r="G134">
        <v>50000</v>
      </c>
      <c r="H134" s="38">
        <f t="shared" si="240"/>
        <v>8.748317631224764E-2</v>
      </c>
      <c r="I134" s="39">
        <v>0.17</v>
      </c>
      <c r="J134" s="85">
        <v>211.7647058823529</v>
      </c>
      <c r="K134">
        <v>0.02</v>
      </c>
      <c r="L134">
        <f>I134*0.001*K134</f>
        <v>3.4000000000000005E-6</v>
      </c>
      <c r="M134">
        <f>L134*J134*(0.000000001)/(1.6E-19)</f>
        <v>4500000</v>
      </c>
      <c r="N134" s="27">
        <f t="shared" si="251"/>
        <v>2907036.7551911175</v>
      </c>
      <c r="O134" s="40">
        <f>M134/N134</f>
        <v>1.5479680440793588</v>
      </c>
      <c r="P134" s="37">
        <f>K134/O134</f>
        <v>1.2920163356404966E-2</v>
      </c>
      <c r="Q134">
        <v>900</v>
      </c>
      <c r="R134" s="40"/>
      <c r="T134" s="39">
        <f t="shared" si="158"/>
        <v>12.920163356404966</v>
      </c>
      <c r="U134" s="145">
        <f t="shared" si="159"/>
        <v>225000</v>
      </c>
      <c r="V134" s="39">
        <v>12.920163356404965</v>
      </c>
      <c r="W134" s="149">
        <v>225000.00000000003</v>
      </c>
      <c r="X134" s="148">
        <f t="shared" si="160"/>
        <v>0</v>
      </c>
      <c r="Y134" s="148">
        <f t="shared" si="161"/>
        <v>0</v>
      </c>
      <c r="AB134"/>
      <c r="AC134"/>
      <c r="AD134"/>
    </row>
    <row r="135" spans="1:30" x14ac:dyDescent="0.25">
      <c r="A135" s="35">
        <f t="shared" si="250"/>
        <v>37</v>
      </c>
      <c r="B135" s="35">
        <v>0</v>
      </c>
      <c r="C135" s="36">
        <f t="shared" si="175"/>
        <v>5.4860000000000122</v>
      </c>
      <c r="D135" s="36">
        <f t="shared" si="176"/>
        <v>8.35</v>
      </c>
      <c r="E135" s="37">
        <f t="shared" ref="E135" si="252">P135</f>
        <v>1.1074425734061397E-2</v>
      </c>
      <c r="F135">
        <f t="shared" si="167"/>
        <v>8.3697999999999997</v>
      </c>
      <c r="G135">
        <v>50000</v>
      </c>
      <c r="H135" s="38">
        <f t="shared" si="240"/>
        <v>8.748317631224764E-2</v>
      </c>
      <c r="I135" s="39">
        <v>0.17</v>
      </c>
      <c r="J135" s="85">
        <v>247.05882352941174</v>
      </c>
      <c r="K135">
        <v>0.02</v>
      </c>
      <c r="L135">
        <f t="shared" ref="L135" si="253">I135*0.001*K135</f>
        <v>3.4000000000000005E-6</v>
      </c>
      <c r="M135">
        <f t="shared" ref="M135" si="254">L135*J135*(0.000000001)/(1.6E-19)</f>
        <v>5250000.0000000009</v>
      </c>
      <c r="N135" s="27">
        <f>N134</f>
        <v>2907036.7551911175</v>
      </c>
      <c r="O135" s="40">
        <f t="shared" ref="O135" si="255">M135/N135</f>
        <v>1.8059627180925857</v>
      </c>
      <c r="P135" s="37">
        <f t="shared" ref="P135" si="256">K135/O135</f>
        <v>1.1074425734061397E-2</v>
      </c>
      <c r="Q135">
        <v>1050</v>
      </c>
      <c r="T135" s="39">
        <f t="shared" si="158"/>
        <v>11.074425734061398</v>
      </c>
      <c r="U135" s="145">
        <f t="shared" si="159"/>
        <v>262500.00000000006</v>
      </c>
      <c r="V135" s="39">
        <v>11.074425734061398</v>
      </c>
      <c r="W135" s="149">
        <v>262500.00000000006</v>
      </c>
      <c r="X135" s="148">
        <f t="shared" si="160"/>
        <v>0</v>
      </c>
      <c r="Y135" s="148">
        <f t="shared" si="161"/>
        <v>0</v>
      </c>
      <c r="AB135"/>
      <c r="AC135"/>
      <c r="AD135"/>
    </row>
    <row r="136" spans="1:30" x14ac:dyDescent="0.25">
      <c r="A136" s="35">
        <f t="shared" si="250"/>
        <v>38</v>
      </c>
      <c r="B136" s="35">
        <v>0</v>
      </c>
      <c r="C136" s="36">
        <f t="shared" si="175"/>
        <v>5.4870000000000125</v>
      </c>
      <c r="D136" s="36">
        <f t="shared" si="176"/>
        <v>8.35</v>
      </c>
      <c r="E136" s="37">
        <f>P136</f>
        <v>9.6901225173037231E-3</v>
      </c>
      <c r="F136">
        <f t="shared" si="167"/>
        <v>8.3697999999999997</v>
      </c>
      <c r="G136">
        <v>50000</v>
      </c>
      <c r="H136" s="38">
        <f t="shared" si="240"/>
        <v>8.748317631224764E-2</v>
      </c>
      <c r="I136" s="39">
        <v>0.17</v>
      </c>
      <c r="J136" s="85">
        <v>282.35294117647055</v>
      </c>
      <c r="K136">
        <v>0.02</v>
      </c>
      <c r="L136">
        <f>I136*0.001*K136</f>
        <v>3.4000000000000005E-6</v>
      </c>
      <c r="M136">
        <f>L136*J136*(0.000000001)/(1.6E-19)</f>
        <v>6000000.0000000009</v>
      </c>
      <c r="N136" s="27">
        <f>N135</f>
        <v>2907036.7551911175</v>
      </c>
      <c r="O136" s="40">
        <f>M136/N136</f>
        <v>2.0639573921058121</v>
      </c>
      <c r="P136" s="37">
        <f>K136/O136</f>
        <v>9.6901225173037231E-3</v>
      </c>
      <c r="Q136">
        <v>1200</v>
      </c>
      <c r="R136" s="40"/>
      <c r="T136" s="39">
        <f t="shared" si="158"/>
        <v>9.690122517303724</v>
      </c>
      <c r="U136" s="145">
        <f t="shared" si="159"/>
        <v>300000.00000000006</v>
      </c>
      <c r="V136" s="39">
        <v>9.690122517303724</v>
      </c>
      <c r="W136" s="149">
        <v>300000.00000000006</v>
      </c>
      <c r="X136" s="148">
        <f t="shared" si="160"/>
        <v>0</v>
      </c>
      <c r="Y136" s="148">
        <f t="shared" si="161"/>
        <v>0</v>
      </c>
      <c r="AB136"/>
      <c r="AC136"/>
      <c r="AD136"/>
    </row>
    <row r="137" spans="1:30" x14ac:dyDescent="0.25">
      <c r="A137" s="35">
        <f>A136+1</f>
        <v>39</v>
      </c>
      <c r="B137" s="35">
        <v>0</v>
      </c>
      <c r="C137" s="36">
        <f t="shared" si="175"/>
        <v>5.4880000000000129</v>
      </c>
      <c r="D137" s="36">
        <f t="shared" si="176"/>
        <v>8.35</v>
      </c>
      <c r="E137" s="37">
        <f t="shared" ref="E137:E138" si="257">P137</f>
        <v>8.6134422376033092E-3</v>
      </c>
      <c r="F137">
        <f t="shared" si="167"/>
        <v>8.3697999999999997</v>
      </c>
      <c r="G137">
        <v>50000</v>
      </c>
      <c r="H137" s="38">
        <f t="shared" si="240"/>
        <v>8.748317631224764E-2</v>
      </c>
      <c r="I137" s="39">
        <v>0.17</v>
      </c>
      <c r="J137" s="85">
        <v>317.64705882352939</v>
      </c>
      <c r="K137">
        <v>0.02</v>
      </c>
      <c r="L137">
        <f t="shared" ref="L137:L138" si="258">I137*0.001*K137</f>
        <v>3.4000000000000005E-6</v>
      </c>
      <c r="M137">
        <f t="shared" ref="M137:M138" si="259">L137*J137*(0.000000001)/(1.6E-19)</f>
        <v>6750000.0000000009</v>
      </c>
      <c r="N137" s="27">
        <f>N136</f>
        <v>2907036.7551911175</v>
      </c>
      <c r="O137" s="40">
        <f t="shared" ref="O137:O138" si="260">M137/N137</f>
        <v>2.3219520661190387</v>
      </c>
      <c r="P137" s="37">
        <f t="shared" ref="P137:P138" si="261">K137/O137</f>
        <v>8.6134422376033092E-3</v>
      </c>
      <c r="Q137">
        <v>1350</v>
      </c>
      <c r="T137" s="39">
        <f t="shared" si="158"/>
        <v>8.6134422376033086</v>
      </c>
      <c r="U137" s="145">
        <f t="shared" si="159"/>
        <v>337500.00000000012</v>
      </c>
      <c r="V137" s="39">
        <v>8.6134422376033086</v>
      </c>
      <c r="W137" s="149">
        <v>337500.00000000012</v>
      </c>
      <c r="X137" s="148">
        <f t="shared" si="160"/>
        <v>0</v>
      </c>
      <c r="Y137" s="148">
        <f t="shared" si="161"/>
        <v>0</v>
      </c>
      <c r="AB137"/>
      <c r="AC137"/>
      <c r="AD137"/>
    </row>
    <row r="138" spans="1:30" x14ac:dyDescent="0.25">
      <c r="A138" s="35">
        <f t="shared" ref="A138:A158" si="262">A137+1</f>
        <v>40</v>
      </c>
      <c r="B138" s="35">
        <v>0</v>
      </c>
      <c r="C138" s="36">
        <f t="shared" si="175"/>
        <v>5.4890000000000132</v>
      </c>
      <c r="D138" s="36">
        <f t="shared" si="176"/>
        <v>8.35</v>
      </c>
      <c r="E138" s="37">
        <f t="shared" si="257"/>
        <v>7.7520980138429795E-3</v>
      </c>
      <c r="F138">
        <f t="shared" si="167"/>
        <v>8.3697999999999997</v>
      </c>
      <c r="G138">
        <v>50000</v>
      </c>
      <c r="H138" s="38">
        <f t="shared" si="240"/>
        <v>8.748317631224764E-2</v>
      </c>
      <c r="I138" s="39">
        <v>0.17</v>
      </c>
      <c r="J138" s="85">
        <v>352.94117647058818</v>
      </c>
      <c r="K138">
        <v>0.02</v>
      </c>
      <c r="L138">
        <f t="shared" si="258"/>
        <v>3.4000000000000005E-6</v>
      </c>
      <c r="M138">
        <f t="shared" si="259"/>
        <v>7500000</v>
      </c>
      <c r="N138" s="27">
        <f t="shared" ref="N138:N139" si="263">N137</f>
        <v>2907036.7551911175</v>
      </c>
      <c r="O138" s="40">
        <f t="shared" si="260"/>
        <v>2.5799467401322649</v>
      </c>
      <c r="P138" s="37">
        <f t="shared" si="261"/>
        <v>7.7520980138429795E-3</v>
      </c>
      <c r="Q138">
        <v>1500</v>
      </c>
      <c r="R138" s="40"/>
      <c r="T138" s="39">
        <f t="shared" si="158"/>
        <v>7.7520980138429794</v>
      </c>
      <c r="U138" s="145">
        <f t="shared" si="159"/>
        <v>375000.00000000006</v>
      </c>
      <c r="V138" s="39">
        <v>7.7520980138429794</v>
      </c>
      <c r="W138" s="149">
        <v>375000.00000000006</v>
      </c>
      <c r="X138" s="148">
        <f t="shared" si="160"/>
        <v>0</v>
      </c>
      <c r="Y138" s="148">
        <f t="shared" si="161"/>
        <v>0</v>
      </c>
      <c r="AB138"/>
      <c r="AC138"/>
      <c r="AD138"/>
    </row>
    <row r="139" spans="1:30" x14ac:dyDescent="0.25">
      <c r="A139" s="35">
        <f t="shared" si="262"/>
        <v>41</v>
      </c>
      <c r="B139" s="35">
        <v>0</v>
      </c>
      <c r="C139" s="36">
        <f t="shared" si="175"/>
        <v>5.4900000000000135</v>
      </c>
      <c r="D139" s="36">
        <f t="shared" si="176"/>
        <v>8.35</v>
      </c>
      <c r="E139" s="37">
        <f>P139</f>
        <v>7.0473618307663449E-3</v>
      </c>
      <c r="F139">
        <f t="shared" si="167"/>
        <v>8.3697999999999997</v>
      </c>
      <c r="G139">
        <v>50000</v>
      </c>
      <c r="H139" s="38">
        <f t="shared" si="240"/>
        <v>8.748317631224764E-2</v>
      </c>
      <c r="I139" s="39">
        <v>0.17</v>
      </c>
      <c r="J139" s="83">
        <v>388.23529411764702</v>
      </c>
      <c r="K139">
        <v>0.02</v>
      </c>
      <c r="L139">
        <f>I139*0.001*K139</f>
        <v>3.4000000000000005E-6</v>
      </c>
      <c r="M139">
        <f>L139*J139*(0.000000001)/(1.6E-19)</f>
        <v>8250000.0000000009</v>
      </c>
      <c r="N139" s="27">
        <f t="shared" si="263"/>
        <v>2907036.7551911175</v>
      </c>
      <c r="O139" s="40">
        <f>M139/N139</f>
        <v>2.8379414141454915</v>
      </c>
      <c r="P139" s="37">
        <f>K139/O139</f>
        <v>7.0473618307663449E-3</v>
      </c>
      <c r="Q139">
        <v>1650</v>
      </c>
      <c r="R139" s="40"/>
      <c r="T139" s="39">
        <f t="shared" si="158"/>
        <v>7.047361830766345</v>
      </c>
      <c r="U139" s="146">
        <f t="shared" si="159"/>
        <v>412500</v>
      </c>
      <c r="V139" s="39">
        <v>7.0473618307663441</v>
      </c>
      <c r="W139" s="149">
        <v>412500.00000000006</v>
      </c>
      <c r="X139" s="148">
        <f t="shared" si="160"/>
        <v>0</v>
      </c>
      <c r="Y139" s="148">
        <f t="shared" si="161"/>
        <v>0</v>
      </c>
      <c r="AB139"/>
      <c r="AC139"/>
      <c r="AD139"/>
    </row>
    <row r="140" spans="1:30" x14ac:dyDescent="0.25">
      <c r="A140" s="35">
        <f t="shared" si="262"/>
        <v>42</v>
      </c>
      <c r="B140" s="35">
        <v>0</v>
      </c>
      <c r="C140" s="36">
        <f t="shared" si="175"/>
        <v>5.4910000000000139</v>
      </c>
      <c r="D140" s="36">
        <f t="shared" si="176"/>
        <v>8.35</v>
      </c>
      <c r="E140" s="37">
        <f t="shared" ref="E140" si="264">P140</f>
        <v>6.4600816782024832E-3</v>
      </c>
      <c r="F140">
        <f t="shared" si="167"/>
        <v>8.3697999999999997</v>
      </c>
      <c r="G140">
        <v>50000</v>
      </c>
      <c r="H140" s="38">
        <f t="shared" si="240"/>
        <v>8.748317631224764E-2</v>
      </c>
      <c r="I140" s="39">
        <v>0.17</v>
      </c>
      <c r="J140" s="83">
        <v>423.5294117647058</v>
      </c>
      <c r="K140">
        <v>0.02</v>
      </c>
      <c r="L140">
        <f t="shared" ref="L140" si="265">I140*0.001*K140</f>
        <v>3.4000000000000005E-6</v>
      </c>
      <c r="M140">
        <f t="shared" ref="M140" si="266">L140*J140*(0.000000001)/(1.6E-19)</f>
        <v>9000000</v>
      </c>
      <c r="N140" s="27">
        <f>N139</f>
        <v>2907036.7551911175</v>
      </c>
      <c r="O140" s="40">
        <f t="shared" ref="O140" si="267">M140/N140</f>
        <v>3.0959360881587177</v>
      </c>
      <c r="P140" s="37">
        <f t="shared" ref="P140" si="268">K140/O140</f>
        <v>6.4600816782024832E-3</v>
      </c>
      <c r="Q140">
        <v>1800</v>
      </c>
      <c r="T140" s="39">
        <f t="shared" si="158"/>
        <v>6.4600816782024832</v>
      </c>
      <c r="U140" s="146">
        <f t="shared" si="159"/>
        <v>450000</v>
      </c>
      <c r="V140" s="39">
        <v>6.4600816782024824</v>
      </c>
      <c r="W140" s="149">
        <v>450000.00000000006</v>
      </c>
      <c r="X140" s="148">
        <f t="shared" si="160"/>
        <v>0</v>
      </c>
      <c r="Y140" s="148">
        <f t="shared" si="161"/>
        <v>0</v>
      </c>
      <c r="AB140"/>
      <c r="AC140"/>
      <c r="AD140"/>
    </row>
    <row r="141" spans="1:30" x14ac:dyDescent="0.25">
      <c r="A141" s="35">
        <f t="shared" si="262"/>
        <v>43</v>
      </c>
      <c r="B141" s="35">
        <v>0</v>
      </c>
      <c r="C141" s="36">
        <f t="shared" si="175"/>
        <v>5.4920000000000142</v>
      </c>
      <c r="D141" s="36">
        <f t="shared" si="176"/>
        <v>8.35</v>
      </c>
      <c r="E141" s="37">
        <f>P141</f>
        <v>5.9631523183407541E-3</v>
      </c>
      <c r="F141">
        <f t="shared" si="167"/>
        <v>8.3697999999999997</v>
      </c>
      <c r="G141">
        <v>50000</v>
      </c>
      <c r="H141" s="38">
        <f t="shared" si="240"/>
        <v>8.748317631224764E-2</v>
      </c>
      <c r="I141" s="39">
        <v>0.17</v>
      </c>
      <c r="J141" s="83">
        <v>458.82352941176464</v>
      </c>
      <c r="K141">
        <v>0.02</v>
      </c>
      <c r="L141">
        <f>I141*0.001*K141</f>
        <v>3.4000000000000005E-6</v>
      </c>
      <c r="M141">
        <f>L141*J141*(0.000000001)/(1.6E-19)</f>
        <v>9750000</v>
      </c>
      <c r="N141" s="27">
        <f>N140</f>
        <v>2907036.7551911175</v>
      </c>
      <c r="O141" s="40">
        <f>M141/N141</f>
        <v>3.3539307621719439</v>
      </c>
      <c r="P141" s="37">
        <f>K141/O141</f>
        <v>5.9631523183407541E-3</v>
      </c>
      <c r="Q141">
        <v>1950</v>
      </c>
      <c r="R141" s="40"/>
      <c r="T141" s="39">
        <f t="shared" si="158"/>
        <v>5.9631523183407538</v>
      </c>
      <c r="U141" s="146">
        <f t="shared" si="159"/>
        <v>487500</v>
      </c>
      <c r="V141" s="39">
        <v>5.963152318340752</v>
      </c>
      <c r="W141" s="149">
        <v>487500.00000000017</v>
      </c>
      <c r="X141" s="148">
        <f t="shared" si="160"/>
        <v>0</v>
      </c>
      <c r="Y141" s="148">
        <f t="shared" si="161"/>
        <v>0</v>
      </c>
      <c r="AB141"/>
      <c r="AC141"/>
      <c r="AD141"/>
    </row>
    <row r="142" spans="1:30" x14ac:dyDescent="0.25">
      <c r="A142" s="35">
        <f>A141+1</f>
        <v>44</v>
      </c>
      <c r="B142" s="35">
        <v>0</v>
      </c>
      <c r="C142" s="36">
        <f t="shared" si="175"/>
        <v>5.4930000000000145</v>
      </c>
      <c r="D142" s="36">
        <f t="shared" si="176"/>
        <v>8.35</v>
      </c>
      <c r="E142" s="37">
        <f t="shared" ref="E142:E143" si="269">P142</f>
        <v>5.5372128670306987E-3</v>
      </c>
      <c r="F142">
        <f t="shared" si="167"/>
        <v>8.3697999999999997</v>
      </c>
      <c r="G142">
        <v>50000</v>
      </c>
      <c r="H142" s="38">
        <f t="shared" si="240"/>
        <v>8.748317631224764E-2</v>
      </c>
      <c r="I142" s="39">
        <v>0.17</v>
      </c>
      <c r="J142" s="83">
        <v>494.11764705882348</v>
      </c>
      <c r="K142">
        <v>0.02</v>
      </c>
      <c r="L142">
        <f t="shared" ref="L142:L143" si="270">I142*0.001*K142</f>
        <v>3.4000000000000005E-6</v>
      </c>
      <c r="M142">
        <f t="shared" ref="M142:M143" si="271">L142*J142*(0.000000001)/(1.6E-19)</f>
        <v>10500000.000000002</v>
      </c>
      <c r="N142" s="27">
        <f>N141</f>
        <v>2907036.7551911175</v>
      </c>
      <c r="O142" s="40">
        <f t="shared" ref="O142:O143" si="272">M142/N142</f>
        <v>3.6119254361851714</v>
      </c>
      <c r="P142" s="37">
        <f t="shared" ref="P142:P143" si="273">K142/O142</f>
        <v>5.5372128670306987E-3</v>
      </c>
      <c r="Q142">
        <v>2100</v>
      </c>
      <c r="T142" s="39">
        <f t="shared" si="158"/>
        <v>5.537212867030699</v>
      </c>
      <c r="U142" s="146">
        <f t="shared" si="159"/>
        <v>525000.00000000012</v>
      </c>
      <c r="V142" s="39">
        <v>5.537212867030699</v>
      </c>
      <c r="W142" s="149">
        <v>525000.00000000012</v>
      </c>
      <c r="X142" s="148">
        <f t="shared" si="160"/>
        <v>0</v>
      </c>
      <c r="Y142" s="148">
        <f t="shared" si="161"/>
        <v>0</v>
      </c>
      <c r="AB142"/>
      <c r="AC142"/>
      <c r="AD142"/>
    </row>
    <row r="143" spans="1:30" x14ac:dyDescent="0.25">
      <c r="A143" s="35">
        <f t="shared" si="262"/>
        <v>45</v>
      </c>
      <c r="B143" s="35">
        <v>0</v>
      </c>
      <c r="C143" s="36">
        <f t="shared" si="175"/>
        <v>5.4940000000000149</v>
      </c>
      <c r="D143" s="36">
        <f t="shared" si="176"/>
        <v>8.35</v>
      </c>
      <c r="E143" s="37">
        <f t="shared" si="269"/>
        <v>5.1680653425619861E-3</v>
      </c>
      <c r="F143">
        <f t="shared" si="167"/>
        <v>8.3697999999999997</v>
      </c>
      <c r="G143">
        <v>50000</v>
      </c>
      <c r="H143" s="38">
        <f t="shared" si="240"/>
        <v>8.748317631224764E-2</v>
      </c>
      <c r="I143" s="39">
        <v>0.17</v>
      </c>
      <c r="J143" s="83">
        <v>529.41176470588232</v>
      </c>
      <c r="K143">
        <v>0.02</v>
      </c>
      <c r="L143">
        <f t="shared" si="270"/>
        <v>3.4000000000000005E-6</v>
      </c>
      <c r="M143">
        <f t="shared" si="271"/>
        <v>11250000.000000002</v>
      </c>
      <c r="N143" s="27">
        <f t="shared" ref="N143:N144" si="274">N142</f>
        <v>2907036.7551911175</v>
      </c>
      <c r="O143" s="40">
        <f t="shared" si="272"/>
        <v>3.8699201101983975</v>
      </c>
      <c r="P143" s="37">
        <f t="shared" si="273"/>
        <v>5.1680653425619861E-3</v>
      </c>
      <c r="Q143">
        <v>2250</v>
      </c>
      <c r="R143" s="40"/>
      <c r="T143" s="39">
        <f t="shared" si="158"/>
        <v>5.1680653425619862</v>
      </c>
      <c r="U143" s="146">
        <f t="shared" si="159"/>
        <v>562500</v>
      </c>
      <c r="V143" s="39">
        <v>5.1680653425619862</v>
      </c>
      <c r="W143" s="149">
        <v>562500</v>
      </c>
      <c r="X143" s="148">
        <f t="shared" si="160"/>
        <v>0</v>
      </c>
      <c r="Y143" s="148">
        <f t="shared" si="161"/>
        <v>0</v>
      </c>
      <c r="AB143"/>
      <c r="AC143"/>
      <c r="AD143"/>
    </row>
    <row r="144" spans="1:30" x14ac:dyDescent="0.25">
      <c r="A144" s="35">
        <f t="shared" si="262"/>
        <v>46</v>
      </c>
      <c r="B144" s="35">
        <v>0</v>
      </c>
      <c r="C144" s="36">
        <f t="shared" si="175"/>
        <v>5.4950000000000152</v>
      </c>
      <c r="D144" s="36">
        <f t="shared" si="176"/>
        <v>8.35</v>
      </c>
      <c r="E144" s="37">
        <f>P144</f>
        <v>4.8450612586518615E-3</v>
      </c>
      <c r="F144">
        <f t="shared" si="167"/>
        <v>8.3697999999999997</v>
      </c>
      <c r="G144">
        <v>50000</v>
      </c>
      <c r="H144" s="38">
        <f t="shared" si="240"/>
        <v>8.748317631224764E-2</v>
      </c>
      <c r="I144" s="39">
        <v>0.17</v>
      </c>
      <c r="J144" s="83">
        <v>564.7058823529411</v>
      </c>
      <c r="K144">
        <v>0.02</v>
      </c>
      <c r="L144">
        <f>I144*0.001*K144</f>
        <v>3.4000000000000005E-6</v>
      </c>
      <c r="M144">
        <f>L144*J144*(0.000000001)/(1.6E-19)</f>
        <v>12000000.000000002</v>
      </c>
      <c r="N144" s="27">
        <f t="shared" si="274"/>
        <v>2907036.7551911175</v>
      </c>
      <c r="O144" s="40">
        <f>M144/N144</f>
        <v>4.1279147842116242</v>
      </c>
      <c r="P144" s="37">
        <f>K144/O144</f>
        <v>4.8450612586518615E-3</v>
      </c>
      <c r="Q144">
        <v>2400</v>
      </c>
      <c r="R144" s="40"/>
      <c r="T144" s="39">
        <f t="shared" si="158"/>
        <v>4.845061258651862</v>
      </c>
      <c r="U144" s="146">
        <f t="shared" si="159"/>
        <v>600000.00000000012</v>
      </c>
      <c r="V144" s="39">
        <v>4.845061258651862</v>
      </c>
      <c r="W144" s="149">
        <v>600000.00000000012</v>
      </c>
      <c r="X144" s="148">
        <f t="shared" si="160"/>
        <v>0</v>
      </c>
      <c r="Y144" s="148">
        <f t="shared" si="161"/>
        <v>0</v>
      </c>
      <c r="AB144"/>
      <c r="AC144"/>
      <c r="AD144"/>
    </row>
    <row r="145" spans="1:30" x14ac:dyDescent="0.25">
      <c r="A145" s="35">
        <f t="shared" si="262"/>
        <v>47</v>
      </c>
      <c r="B145" s="35">
        <v>0</v>
      </c>
      <c r="C145" s="36">
        <f t="shared" si="175"/>
        <v>5.4960000000000155</v>
      </c>
      <c r="D145" s="36">
        <f t="shared" si="176"/>
        <v>8.35</v>
      </c>
      <c r="E145" s="37">
        <f t="shared" ref="E145" si="275">P145</f>
        <v>4.5600576552017533E-3</v>
      </c>
      <c r="F145">
        <f t="shared" si="167"/>
        <v>8.3697999999999997</v>
      </c>
      <c r="G145">
        <v>50000</v>
      </c>
      <c r="H145" s="38">
        <f t="shared" si="240"/>
        <v>8.748317631224764E-2</v>
      </c>
      <c r="I145" s="39">
        <v>0.17</v>
      </c>
      <c r="J145" s="83">
        <v>599.99999999999989</v>
      </c>
      <c r="K145">
        <v>0.02</v>
      </c>
      <c r="L145">
        <f t="shared" ref="L145" si="276">I145*0.001*K145</f>
        <v>3.4000000000000005E-6</v>
      </c>
      <c r="M145">
        <f t="shared" ref="M145" si="277">L145*J145*(0.000000001)/(1.6E-19)</f>
        <v>12750000</v>
      </c>
      <c r="N145" s="27">
        <f>N144</f>
        <v>2907036.7551911175</v>
      </c>
      <c r="O145" s="40">
        <f t="shared" ref="O145" si="278">M145/N145</f>
        <v>4.3859094582248499</v>
      </c>
      <c r="P145" s="37">
        <f t="shared" ref="P145" si="279">K145/O145</f>
        <v>4.5600576552017533E-3</v>
      </c>
      <c r="Q145">
        <v>2550</v>
      </c>
      <c r="T145" s="39">
        <f t="shared" si="158"/>
        <v>4.5600576552017529</v>
      </c>
      <c r="U145" s="146">
        <f t="shared" si="159"/>
        <v>637500</v>
      </c>
      <c r="V145" s="39">
        <v>4.560057655201752</v>
      </c>
      <c r="W145" s="149">
        <v>637500.00000000012</v>
      </c>
      <c r="X145" s="148">
        <f t="shared" si="160"/>
        <v>0</v>
      </c>
      <c r="Y145" s="148">
        <f t="shared" si="161"/>
        <v>0</v>
      </c>
      <c r="AB145"/>
      <c r="AC145"/>
      <c r="AD145"/>
    </row>
    <row r="146" spans="1:30" x14ac:dyDescent="0.25">
      <c r="A146" s="35">
        <f t="shared" si="262"/>
        <v>48</v>
      </c>
      <c r="B146" s="35">
        <v>0</v>
      </c>
      <c r="C146" s="36">
        <f t="shared" si="175"/>
        <v>5.4970000000000159</v>
      </c>
      <c r="D146" s="36">
        <f t="shared" si="176"/>
        <v>8.35</v>
      </c>
      <c r="E146" s="37">
        <f>P146</f>
        <v>4.3067211188016546E-3</v>
      </c>
      <c r="F146">
        <f t="shared" si="167"/>
        <v>8.3697999999999997</v>
      </c>
      <c r="G146">
        <v>50000</v>
      </c>
      <c r="H146" s="38">
        <f t="shared" si="240"/>
        <v>8.748317631224764E-2</v>
      </c>
      <c r="I146" s="39">
        <v>0.17</v>
      </c>
      <c r="J146" s="83">
        <v>635.29411764705878</v>
      </c>
      <c r="K146">
        <v>0.02</v>
      </c>
      <c r="L146">
        <f>I146*0.001*K146</f>
        <v>3.4000000000000005E-6</v>
      </c>
      <c r="M146">
        <f>L146*J146*(0.000000001)/(1.6E-19)</f>
        <v>13500000.000000002</v>
      </c>
      <c r="N146" s="27">
        <f>N145</f>
        <v>2907036.7551911175</v>
      </c>
      <c r="O146" s="40">
        <f>M146/N146</f>
        <v>4.6439041322380774</v>
      </c>
      <c r="P146" s="37">
        <f>K146/O146</f>
        <v>4.3067211188016546E-3</v>
      </c>
      <c r="Q146">
        <v>2700</v>
      </c>
      <c r="R146" s="40"/>
      <c r="T146" s="39">
        <f t="shared" si="158"/>
        <v>4.3067211188016543</v>
      </c>
      <c r="U146" s="146">
        <f t="shared" si="159"/>
        <v>675000.00000000023</v>
      </c>
      <c r="V146" s="39">
        <v>4.3067211188016543</v>
      </c>
      <c r="W146" s="149">
        <v>675000.00000000023</v>
      </c>
      <c r="X146" s="148">
        <f t="shared" si="160"/>
        <v>0</v>
      </c>
      <c r="Y146" s="148">
        <f t="shared" si="161"/>
        <v>0</v>
      </c>
      <c r="AB146"/>
      <c r="AC146"/>
      <c r="AD146"/>
    </row>
    <row r="147" spans="1:30" x14ac:dyDescent="0.25">
      <c r="A147" s="35">
        <f>A146+1</f>
        <v>49</v>
      </c>
      <c r="B147" s="35">
        <v>0</v>
      </c>
      <c r="C147" s="36">
        <f t="shared" si="175"/>
        <v>5.4980000000000162</v>
      </c>
      <c r="D147" s="36">
        <f t="shared" si="176"/>
        <v>8.35</v>
      </c>
      <c r="E147" s="37">
        <f t="shared" ref="E147:E148" si="280">P147</f>
        <v>4.0800515862331474E-3</v>
      </c>
      <c r="F147">
        <f t="shared" si="167"/>
        <v>8.3697999999999997</v>
      </c>
      <c r="G147">
        <v>50000</v>
      </c>
      <c r="H147" s="38">
        <f t="shared" si="240"/>
        <v>8.748317631224764E-2</v>
      </c>
      <c r="I147" s="39">
        <v>0.17</v>
      </c>
      <c r="J147" s="83">
        <v>670.58823529411757</v>
      </c>
      <c r="K147">
        <v>0.02</v>
      </c>
      <c r="L147">
        <f t="shared" ref="L147:L148" si="281">I147*0.001*K147</f>
        <v>3.4000000000000005E-6</v>
      </c>
      <c r="M147">
        <f t="shared" ref="M147:M148" si="282">L147*J147*(0.000000001)/(1.6E-19)</f>
        <v>14250000</v>
      </c>
      <c r="N147" s="27">
        <f>N146</f>
        <v>2907036.7551911175</v>
      </c>
      <c r="O147" s="40">
        <f t="shared" ref="O147:O148" si="283">M147/N147</f>
        <v>4.9018988062513031</v>
      </c>
      <c r="P147" s="37">
        <f t="shared" ref="P147:P148" si="284">K147/O147</f>
        <v>4.0800515862331474E-3</v>
      </c>
      <c r="Q147">
        <v>2850</v>
      </c>
      <c r="T147" s="39">
        <f t="shared" si="158"/>
        <v>4.0800515862331475</v>
      </c>
      <c r="U147" s="146">
        <f t="shared" si="159"/>
        <v>712500</v>
      </c>
      <c r="V147" s="39">
        <v>4.0800515862331466</v>
      </c>
      <c r="W147" s="149">
        <v>712500.00000000012</v>
      </c>
      <c r="X147" s="148">
        <f t="shared" si="160"/>
        <v>0</v>
      </c>
      <c r="Y147" s="148">
        <f t="shared" si="161"/>
        <v>0</v>
      </c>
      <c r="AB147"/>
      <c r="AC147"/>
      <c r="AD147"/>
    </row>
    <row r="148" spans="1:30" x14ac:dyDescent="0.25">
      <c r="A148" s="35">
        <f t="shared" si="262"/>
        <v>50</v>
      </c>
      <c r="B148" s="35">
        <v>0</v>
      </c>
      <c r="C148" s="36">
        <f t="shared" si="175"/>
        <v>5.4990000000000165</v>
      </c>
      <c r="D148" s="36">
        <f t="shared" si="176"/>
        <v>8.35</v>
      </c>
      <c r="E148" s="37">
        <f t="shared" si="280"/>
        <v>3.8760490069214898E-3</v>
      </c>
      <c r="F148">
        <f t="shared" si="167"/>
        <v>8.3697999999999997</v>
      </c>
      <c r="G148">
        <v>50000</v>
      </c>
      <c r="H148" s="38">
        <f t="shared" si="240"/>
        <v>8.748317631224764E-2</v>
      </c>
      <c r="I148" s="39">
        <v>0.17</v>
      </c>
      <c r="J148" s="83">
        <v>705.88235294117635</v>
      </c>
      <c r="K148">
        <v>0.02</v>
      </c>
      <c r="L148">
        <f t="shared" si="281"/>
        <v>3.4000000000000005E-6</v>
      </c>
      <c r="M148">
        <f t="shared" si="282"/>
        <v>15000000</v>
      </c>
      <c r="N148" s="27">
        <f t="shared" ref="N148:N149" si="285">N147</f>
        <v>2907036.7551911175</v>
      </c>
      <c r="O148" s="40">
        <f t="shared" si="283"/>
        <v>5.1598934802645298</v>
      </c>
      <c r="P148" s="37">
        <f t="shared" si="284"/>
        <v>3.8760490069214898E-3</v>
      </c>
      <c r="Q148">
        <v>3000</v>
      </c>
      <c r="R148" s="40"/>
      <c r="T148" s="39">
        <f t="shared" si="158"/>
        <v>3.8760490069214897</v>
      </c>
      <c r="U148" s="146">
        <f t="shared" si="159"/>
        <v>750000.00000000012</v>
      </c>
      <c r="V148" s="39">
        <v>3.8760490069214897</v>
      </c>
      <c r="W148" s="149">
        <v>750000.00000000012</v>
      </c>
      <c r="X148" s="148">
        <f t="shared" si="160"/>
        <v>0</v>
      </c>
      <c r="Y148" s="148">
        <f t="shared" si="161"/>
        <v>0</v>
      </c>
      <c r="AB148"/>
      <c r="AC148"/>
      <c r="AD148"/>
    </row>
    <row r="149" spans="1:30" x14ac:dyDescent="0.25">
      <c r="A149" s="35">
        <f t="shared" si="262"/>
        <v>51</v>
      </c>
      <c r="B149" s="35">
        <v>0</v>
      </c>
      <c r="C149" s="36">
        <f t="shared" si="175"/>
        <v>5.5000000000000169</v>
      </c>
      <c r="D149" s="36">
        <f t="shared" si="176"/>
        <v>8.35</v>
      </c>
      <c r="E149" s="37">
        <f>P149</f>
        <v>3.691475244687133E-3</v>
      </c>
      <c r="F149">
        <f t="shared" si="167"/>
        <v>8.3697999999999997</v>
      </c>
      <c r="G149">
        <v>50000</v>
      </c>
      <c r="H149" s="38">
        <f t="shared" si="240"/>
        <v>8.748317631224764E-2</v>
      </c>
      <c r="I149" s="39">
        <v>0.17</v>
      </c>
      <c r="J149" s="83">
        <v>741.17647058823525</v>
      </c>
      <c r="K149">
        <v>0.02</v>
      </c>
      <c r="L149">
        <f>I149*0.001*K149</f>
        <v>3.4000000000000005E-6</v>
      </c>
      <c r="M149">
        <f>L149*J149*(0.000000001)/(1.6E-19)</f>
        <v>15750000.000000002</v>
      </c>
      <c r="N149" s="27">
        <f t="shared" si="285"/>
        <v>2907036.7551911175</v>
      </c>
      <c r="O149" s="40">
        <f>M149/N149</f>
        <v>5.4178881542777564</v>
      </c>
      <c r="P149" s="37">
        <f>K149/O149</f>
        <v>3.691475244687133E-3</v>
      </c>
      <c r="Q149">
        <v>3150</v>
      </c>
      <c r="R149" s="40"/>
      <c r="T149" s="39">
        <f t="shared" si="158"/>
        <v>3.6914752446871328</v>
      </c>
      <c r="U149" s="146">
        <f t="shared" si="159"/>
        <v>787500.00000000012</v>
      </c>
      <c r="V149" s="39">
        <v>3.6914752446871328</v>
      </c>
      <c r="W149" s="149">
        <v>787500.00000000012</v>
      </c>
      <c r="X149" s="148">
        <f t="shared" si="160"/>
        <v>0</v>
      </c>
      <c r="Y149" s="148">
        <f t="shared" si="161"/>
        <v>0</v>
      </c>
      <c r="AB149"/>
      <c r="AC149"/>
      <c r="AD149"/>
    </row>
    <row r="150" spans="1:30" x14ac:dyDescent="0.25">
      <c r="A150" s="35">
        <f t="shared" si="262"/>
        <v>52</v>
      </c>
      <c r="B150" s="35">
        <v>0</v>
      </c>
      <c r="C150" s="36">
        <f t="shared" si="175"/>
        <v>5.5010000000000172</v>
      </c>
      <c r="D150" s="36">
        <f t="shared" si="176"/>
        <v>8.35</v>
      </c>
      <c r="E150" s="37">
        <f t="shared" ref="E150" si="286">P150</f>
        <v>3.5236809153831724E-3</v>
      </c>
      <c r="F150">
        <f t="shared" si="167"/>
        <v>8.3697999999999997</v>
      </c>
      <c r="G150">
        <v>50000</v>
      </c>
      <c r="H150" s="38">
        <f t="shared" si="240"/>
        <v>8.748317631224764E-2</v>
      </c>
      <c r="I150" s="39">
        <v>0.17</v>
      </c>
      <c r="J150" s="83">
        <v>776.47058823529403</v>
      </c>
      <c r="K150">
        <v>0.02</v>
      </c>
      <c r="L150">
        <f t="shared" ref="L150" si="287">I150*0.001*K150</f>
        <v>3.4000000000000005E-6</v>
      </c>
      <c r="M150">
        <f t="shared" ref="M150" si="288">L150*J150*(0.000000001)/(1.6E-19)</f>
        <v>16500000.000000002</v>
      </c>
      <c r="N150" s="27">
        <f>N149</f>
        <v>2907036.7551911175</v>
      </c>
      <c r="O150" s="40">
        <f t="shared" ref="O150" si="289">M150/N150</f>
        <v>5.675882828290983</v>
      </c>
      <c r="P150" s="37">
        <f t="shared" ref="P150" si="290">K150/O150</f>
        <v>3.5236809153831724E-3</v>
      </c>
      <c r="Q150">
        <v>3300</v>
      </c>
      <c r="T150" s="39">
        <f t="shared" si="158"/>
        <v>3.5236809153831725</v>
      </c>
      <c r="U150" s="146">
        <f t="shared" si="159"/>
        <v>825000</v>
      </c>
      <c r="V150" s="39">
        <v>3.5236809153831721</v>
      </c>
      <c r="W150" s="149">
        <v>825000.00000000012</v>
      </c>
      <c r="X150" s="148">
        <f t="shared" si="160"/>
        <v>0</v>
      </c>
      <c r="Y150" s="148">
        <f t="shared" si="161"/>
        <v>0</v>
      </c>
      <c r="AB150"/>
      <c r="AC150"/>
      <c r="AD150"/>
    </row>
    <row r="151" spans="1:30" x14ac:dyDescent="0.25">
      <c r="A151" s="35">
        <f t="shared" si="262"/>
        <v>53</v>
      </c>
      <c r="B151" s="35">
        <v>0</v>
      </c>
      <c r="C151" s="36">
        <f t="shared" si="175"/>
        <v>5.5020000000000175</v>
      </c>
      <c r="D151" s="36">
        <f t="shared" si="176"/>
        <v>8.35</v>
      </c>
      <c r="E151" s="37">
        <f>P151</f>
        <v>3.3704773973230349E-3</v>
      </c>
      <c r="F151">
        <f t="shared" si="167"/>
        <v>8.3697999999999997</v>
      </c>
      <c r="G151">
        <v>50000</v>
      </c>
      <c r="H151" s="38">
        <f t="shared" si="240"/>
        <v>8.748317631224764E-2</v>
      </c>
      <c r="I151" s="39">
        <v>0.17</v>
      </c>
      <c r="J151" s="83">
        <v>811.76470588235281</v>
      </c>
      <c r="K151">
        <v>0.02</v>
      </c>
      <c r="L151">
        <f>I151*0.001*K151</f>
        <v>3.4000000000000005E-6</v>
      </c>
      <c r="M151">
        <f>L151*J151*(0.000000001)/(1.6E-19)</f>
        <v>17250000</v>
      </c>
      <c r="N151" s="27">
        <f>N150</f>
        <v>2907036.7551911175</v>
      </c>
      <c r="O151" s="40">
        <f>M151/N151</f>
        <v>5.9338775023042087</v>
      </c>
      <c r="P151" s="37">
        <f>K151/O151</f>
        <v>3.3704773973230349E-3</v>
      </c>
      <c r="Q151">
        <v>3450</v>
      </c>
      <c r="R151" s="40"/>
      <c r="T151" s="39">
        <f t="shared" si="158"/>
        <v>3.3704773973230351</v>
      </c>
      <c r="U151" s="146">
        <f t="shared" si="159"/>
        <v>862499.99999999988</v>
      </c>
      <c r="V151" s="39">
        <v>3.3704773973230346</v>
      </c>
      <c r="W151" s="149">
        <v>862500</v>
      </c>
      <c r="X151" s="148">
        <f t="shared" si="160"/>
        <v>0</v>
      </c>
      <c r="Y151" s="148">
        <f t="shared" si="161"/>
        <v>0</v>
      </c>
      <c r="AB151"/>
      <c r="AC151"/>
      <c r="AD151"/>
    </row>
    <row r="152" spans="1:30" x14ac:dyDescent="0.25">
      <c r="A152" s="35">
        <f>A151+1</f>
        <v>54</v>
      </c>
      <c r="B152" s="35">
        <v>0</v>
      </c>
      <c r="C152" s="36">
        <f t="shared" si="175"/>
        <v>5.5030000000000179</v>
      </c>
      <c r="D152" s="36">
        <f t="shared" si="176"/>
        <v>8.35</v>
      </c>
      <c r="E152" s="37">
        <f t="shared" ref="E152:E153" si="291">P152</f>
        <v>3.2300408391012416E-3</v>
      </c>
      <c r="F152">
        <f t="shared" si="167"/>
        <v>8.3697999999999997</v>
      </c>
      <c r="G152">
        <v>50000</v>
      </c>
      <c r="H152" s="38">
        <f t="shared" si="240"/>
        <v>8.748317631224764E-2</v>
      </c>
      <c r="I152" s="39">
        <v>0.17</v>
      </c>
      <c r="J152" s="83">
        <v>847.0588235294116</v>
      </c>
      <c r="K152">
        <v>0.02</v>
      </c>
      <c r="L152">
        <f t="shared" ref="L152:L153" si="292">I152*0.001*K152</f>
        <v>3.4000000000000005E-6</v>
      </c>
      <c r="M152">
        <f t="shared" ref="M152:M153" si="293">L152*J152*(0.000000001)/(1.6E-19)</f>
        <v>18000000</v>
      </c>
      <c r="N152" s="27">
        <f>N151</f>
        <v>2907036.7551911175</v>
      </c>
      <c r="O152" s="40">
        <f t="shared" ref="O152:O153" si="294">M152/N152</f>
        <v>6.1918721763174354</v>
      </c>
      <c r="P152" s="37">
        <f t="shared" ref="P152:P153" si="295">K152/O152</f>
        <v>3.2300408391012416E-3</v>
      </c>
      <c r="Q152">
        <v>3600</v>
      </c>
      <c r="T152" s="39">
        <f t="shared" si="158"/>
        <v>3.2300408391012416</v>
      </c>
      <c r="U152" s="146">
        <f t="shared" si="159"/>
        <v>900000</v>
      </c>
      <c r="V152" s="39">
        <v>3.2300408391012412</v>
      </c>
      <c r="W152" s="149">
        <v>900000.00000000012</v>
      </c>
      <c r="X152" s="148">
        <f t="shared" si="160"/>
        <v>0</v>
      </c>
      <c r="Y152" s="148">
        <f t="shared" si="161"/>
        <v>0</v>
      </c>
      <c r="AB152"/>
      <c r="AC152"/>
      <c r="AD152"/>
    </row>
    <row r="153" spans="1:30" x14ac:dyDescent="0.25">
      <c r="A153" s="35">
        <f t="shared" si="262"/>
        <v>55</v>
      </c>
      <c r="B153" s="35">
        <v>0</v>
      </c>
      <c r="C153" s="36">
        <f t="shared" si="175"/>
        <v>5.5040000000000182</v>
      </c>
      <c r="D153" s="36">
        <f t="shared" si="176"/>
        <v>8.35</v>
      </c>
      <c r="E153" s="37">
        <f t="shared" si="291"/>
        <v>3.1008392055371916E-3</v>
      </c>
      <c r="F153">
        <f t="shared" si="167"/>
        <v>8.3697999999999997</v>
      </c>
      <c r="G153">
        <v>50000</v>
      </c>
      <c r="H153" s="38">
        <f t="shared" si="240"/>
        <v>8.748317631224764E-2</v>
      </c>
      <c r="I153" s="39">
        <v>0.17</v>
      </c>
      <c r="J153" s="83">
        <v>882.35294117647049</v>
      </c>
      <c r="K153">
        <v>0.02</v>
      </c>
      <c r="L153">
        <f t="shared" si="292"/>
        <v>3.4000000000000005E-6</v>
      </c>
      <c r="M153">
        <f t="shared" si="293"/>
        <v>18750000.000000004</v>
      </c>
      <c r="N153" s="27">
        <f t="shared" ref="N153:N154" si="296">N152</f>
        <v>2907036.7551911175</v>
      </c>
      <c r="O153" s="40">
        <f t="shared" si="294"/>
        <v>6.4498668503306629</v>
      </c>
      <c r="P153" s="37">
        <f t="shared" si="295"/>
        <v>3.1008392055371916E-3</v>
      </c>
      <c r="Q153">
        <v>3750</v>
      </c>
      <c r="R153" s="40"/>
      <c r="T153" s="39">
        <f t="shared" si="158"/>
        <v>3.1008392055371918</v>
      </c>
      <c r="U153" s="146">
        <f t="shared" si="159"/>
        <v>937500.00000000012</v>
      </c>
      <c r="V153" s="39">
        <v>3.1008392055371918</v>
      </c>
      <c r="W153" s="149">
        <v>937500.00000000012</v>
      </c>
      <c r="X153" s="148">
        <f t="shared" si="160"/>
        <v>0</v>
      </c>
      <c r="Y153" s="148">
        <f t="shared" si="161"/>
        <v>0</v>
      </c>
      <c r="AB153"/>
      <c r="AC153"/>
      <c r="AD153"/>
    </row>
    <row r="154" spans="1:30" x14ac:dyDescent="0.25">
      <c r="A154" s="35">
        <f t="shared" si="262"/>
        <v>56</v>
      </c>
      <c r="B154" s="35">
        <v>0</v>
      </c>
      <c r="C154" s="36">
        <f t="shared" si="175"/>
        <v>5.5050000000000185</v>
      </c>
      <c r="D154" s="36">
        <f t="shared" si="176"/>
        <v>8.35</v>
      </c>
      <c r="E154" s="37">
        <f>P154</f>
        <v>2.9815761591703771E-3</v>
      </c>
      <c r="F154">
        <f t="shared" si="167"/>
        <v>8.3697999999999997</v>
      </c>
      <c r="G154">
        <v>50000</v>
      </c>
      <c r="H154" s="38">
        <f t="shared" si="240"/>
        <v>8.748317631224764E-2</v>
      </c>
      <c r="I154" s="39">
        <v>0.17</v>
      </c>
      <c r="J154" s="83">
        <v>917.64705882352928</v>
      </c>
      <c r="K154">
        <v>0.02</v>
      </c>
      <c r="L154">
        <f>I154*0.001*K154</f>
        <v>3.4000000000000005E-6</v>
      </c>
      <c r="M154">
        <f>L154*J154*(0.000000001)/(1.6E-19)</f>
        <v>19500000</v>
      </c>
      <c r="N154" s="27">
        <f t="shared" si="296"/>
        <v>2907036.7551911175</v>
      </c>
      <c r="O154" s="40">
        <f>M154/N154</f>
        <v>6.7078615243438877</v>
      </c>
      <c r="P154" s="37">
        <f>K154/O154</f>
        <v>2.9815761591703771E-3</v>
      </c>
      <c r="Q154">
        <v>3900</v>
      </c>
      <c r="R154" s="40"/>
      <c r="T154" s="39">
        <f t="shared" si="158"/>
        <v>2.9815761591703769</v>
      </c>
      <c r="U154" s="146">
        <f t="shared" si="159"/>
        <v>975000</v>
      </c>
      <c r="V154" s="39">
        <v>2.981576159170376</v>
      </c>
      <c r="W154" s="149">
        <v>975000.00000000035</v>
      </c>
      <c r="X154" s="148">
        <f t="shared" si="160"/>
        <v>0</v>
      </c>
      <c r="Y154" s="148">
        <f t="shared" si="161"/>
        <v>0</v>
      </c>
      <c r="AB154"/>
      <c r="AC154"/>
      <c r="AD154"/>
    </row>
    <row r="155" spans="1:30" x14ac:dyDescent="0.25">
      <c r="A155" s="35">
        <f t="shared" si="262"/>
        <v>57</v>
      </c>
      <c r="B155" s="35">
        <v>0</v>
      </c>
      <c r="C155" s="36">
        <f t="shared" si="175"/>
        <v>5.5060000000000189</v>
      </c>
      <c r="D155" s="36">
        <f t="shared" si="176"/>
        <v>8.35</v>
      </c>
      <c r="E155" s="37">
        <f t="shared" ref="E155" si="297">P155</f>
        <v>2.8711474125344373E-3</v>
      </c>
      <c r="F155">
        <f t="shared" si="167"/>
        <v>8.3697999999999997</v>
      </c>
      <c r="G155">
        <v>50000</v>
      </c>
      <c r="H155" s="38">
        <f t="shared" si="240"/>
        <v>8.748317631224764E-2</v>
      </c>
      <c r="I155" s="39">
        <v>0.17</v>
      </c>
      <c r="J155" s="83">
        <v>952.94117647058806</v>
      </c>
      <c r="K155">
        <v>0.02</v>
      </c>
      <c r="L155">
        <f t="shared" ref="L155" si="298">I155*0.001*K155</f>
        <v>3.4000000000000005E-6</v>
      </c>
      <c r="M155">
        <f t="shared" ref="M155" si="299">L155*J155*(0.000000001)/(1.6E-19)</f>
        <v>20250000</v>
      </c>
      <c r="N155" s="27">
        <f>N154</f>
        <v>2907036.7551911175</v>
      </c>
      <c r="O155" s="40">
        <f t="shared" ref="O155" si="300">M155/N155</f>
        <v>6.9658561983571143</v>
      </c>
      <c r="P155" s="37">
        <f t="shared" ref="P155" si="301">K155/O155</f>
        <v>2.8711474125344373E-3</v>
      </c>
      <c r="Q155">
        <v>4050</v>
      </c>
      <c r="T155" s="39">
        <f t="shared" si="158"/>
        <v>2.8711474125344374</v>
      </c>
      <c r="U155" s="146">
        <f t="shared" si="159"/>
        <v>1012499.9999999999</v>
      </c>
      <c r="V155" s="39">
        <v>2.8711474125344365</v>
      </c>
      <c r="W155" s="149">
        <v>1012500.0000000002</v>
      </c>
      <c r="X155" s="148">
        <f t="shared" si="160"/>
        <v>0</v>
      </c>
      <c r="Y155" s="148">
        <f t="shared" si="161"/>
        <v>0</v>
      </c>
      <c r="AB155"/>
      <c r="AC155"/>
      <c r="AD155"/>
    </row>
    <row r="156" spans="1:30" x14ac:dyDescent="0.25">
      <c r="A156" s="35">
        <f t="shared" si="262"/>
        <v>58</v>
      </c>
      <c r="B156" s="35">
        <v>0</v>
      </c>
      <c r="C156" s="36">
        <f t="shared" si="175"/>
        <v>5.5070000000000192</v>
      </c>
      <c r="D156" s="36">
        <f t="shared" si="176"/>
        <v>8.35</v>
      </c>
      <c r="E156" s="37">
        <f>P156</f>
        <v>2.7686064335153493E-3</v>
      </c>
      <c r="F156">
        <f t="shared" si="167"/>
        <v>8.3697999999999997</v>
      </c>
      <c r="G156">
        <v>50000</v>
      </c>
      <c r="H156" s="38">
        <f t="shared" si="240"/>
        <v>8.748317631224764E-2</v>
      </c>
      <c r="I156" s="39">
        <v>0.17</v>
      </c>
      <c r="J156" s="83">
        <v>988.23529411764696</v>
      </c>
      <c r="K156">
        <v>0.02</v>
      </c>
      <c r="L156">
        <f>I156*0.001*K156</f>
        <v>3.4000000000000005E-6</v>
      </c>
      <c r="M156">
        <f>L156*J156*(0.000000001)/(1.6E-19)</f>
        <v>21000000.000000004</v>
      </c>
      <c r="N156" s="27">
        <f>N155</f>
        <v>2907036.7551911175</v>
      </c>
      <c r="O156" s="40">
        <f>M156/N156</f>
        <v>7.2238508723703427</v>
      </c>
      <c r="P156" s="37">
        <f>K156/O156</f>
        <v>2.7686064335153493E-3</v>
      </c>
      <c r="Q156">
        <v>4200</v>
      </c>
      <c r="R156" s="40"/>
      <c r="T156" s="39">
        <f t="shared" si="158"/>
        <v>2.7686064335153495</v>
      </c>
      <c r="U156" s="146">
        <f t="shared" si="159"/>
        <v>1050000.0000000002</v>
      </c>
      <c r="V156" s="39">
        <v>2.7686064335153495</v>
      </c>
      <c r="W156" s="149">
        <v>1050000.0000000002</v>
      </c>
      <c r="X156" s="148">
        <f t="shared" si="160"/>
        <v>0</v>
      </c>
      <c r="Y156" s="148">
        <f t="shared" si="161"/>
        <v>0</v>
      </c>
      <c r="AB156"/>
      <c r="AC156"/>
      <c r="AD156"/>
    </row>
    <row r="157" spans="1:30" x14ac:dyDescent="0.25">
      <c r="A157" s="35">
        <f>A156+1</f>
        <v>59</v>
      </c>
      <c r="B157" s="35">
        <v>0</v>
      </c>
      <c r="C157" s="36">
        <f t="shared" si="175"/>
        <v>5.5080000000000195</v>
      </c>
      <c r="D157" s="36">
        <f t="shared" si="176"/>
        <v>8.35</v>
      </c>
      <c r="E157" s="37">
        <f t="shared" ref="E157:E158" si="302">P157</f>
        <v>2.6731372461527513E-3</v>
      </c>
      <c r="F157">
        <f t="shared" si="167"/>
        <v>8.3697999999999997</v>
      </c>
      <c r="G157">
        <v>50000</v>
      </c>
      <c r="H157" s="38">
        <f t="shared" si="240"/>
        <v>8.748317631224764E-2</v>
      </c>
      <c r="I157" s="39">
        <v>0.17</v>
      </c>
      <c r="J157" s="83">
        <v>1023.5294117647057</v>
      </c>
      <c r="K157">
        <v>0.02</v>
      </c>
      <c r="L157">
        <f t="shared" ref="L157:L158" si="303">I157*0.001*K157</f>
        <v>3.4000000000000005E-6</v>
      </c>
      <c r="M157">
        <f t="shared" ref="M157:M158" si="304">L157*J157*(0.000000001)/(1.6E-19)</f>
        <v>21750000.000000004</v>
      </c>
      <c r="N157" s="27">
        <f>N156</f>
        <v>2907036.7551911175</v>
      </c>
      <c r="O157" s="40">
        <f t="shared" ref="O157:O158" si="305">M157/N157</f>
        <v>7.4818455463835685</v>
      </c>
      <c r="P157" s="37">
        <f t="shared" ref="P157:P158" si="306">K157/O157</f>
        <v>2.6731372461527513E-3</v>
      </c>
      <c r="Q157">
        <v>4350</v>
      </c>
      <c r="T157" s="39">
        <f t="shared" si="158"/>
        <v>2.6731372461527512</v>
      </c>
      <c r="U157" s="146">
        <f t="shared" si="159"/>
        <v>1087500.0000000002</v>
      </c>
      <c r="V157" s="39">
        <v>2.6731372461527512</v>
      </c>
      <c r="W157" s="149">
        <v>1087500.0000000002</v>
      </c>
      <c r="X157" s="148">
        <f t="shared" si="160"/>
        <v>0</v>
      </c>
      <c r="Y157" s="148">
        <f t="shared" si="161"/>
        <v>0</v>
      </c>
      <c r="AB157"/>
      <c r="AC157"/>
      <c r="AD157"/>
    </row>
    <row r="158" spans="1:30" x14ac:dyDescent="0.25">
      <c r="A158" s="35">
        <f t="shared" si="262"/>
        <v>60</v>
      </c>
      <c r="B158" s="35">
        <v>0</v>
      </c>
      <c r="C158" s="36">
        <f t="shared" si="175"/>
        <v>5.5090000000000199</v>
      </c>
      <c r="D158" s="36">
        <f t="shared" si="176"/>
        <v>8.35</v>
      </c>
      <c r="E158" s="37">
        <f t="shared" si="302"/>
        <v>2.584032671280993E-3</v>
      </c>
      <c r="F158">
        <f t="shared" si="167"/>
        <v>8.3697999999999997</v>
      </c>
      <c r="G158">
        <v>50000</v>
      </c>
      <c r="H158" s="38">
        <f t="shared" si="240"/>
        <v>8.748317631224764E-2</v>
      </c>
      <c r="I158" s="39">
        <v>0.17</v>
      </c>
      <c r="J158" s="83">
        <v>1058.8235294117646</v>
      </c>
      <c r="K158">
        <v>0.02</v>
      </c>
      <c r="L158">
        <f t="shared" si="303"/>
        <v>3.4000000000000005E-6</v>
      </c>
      <c r="M158">
        <f t="shared" si="304"/>
        <v>22500000.000000004</v>
      </c>
      <c r="N158" s="27">
        <f t="shared" ref="N158" si="307">N157</f>
        <v>2907036.7551911175</v>
      </c>
      <c r="O158" s="40">
        <f t="shared" si="305"/>
        <v>7.7398402203967951</v>
      </c>
      <c r="P158" s="37">
        <f t="shared" si="306"/>
        <v>2.584032671280993E-3</v>
      </c>
      <c r="Q158">
        <v>4500</v>
      </c>
      <c r="R158" s="40"/>
      <c r="T158" s="39">
        <f t="shared" ref="T158:T165" si="308">P158*1000</f>
        <v>2.5840326712809931</v>
      </c>
      <c r="U158" s="146">
        <f t="shared" ref="U158:U165" si="309">N158/T158</f>
        <v>1125000</v>
      </c>
      <c r="V158" s="39">
        <v>2.5840326712809931</v>
      </c>
      <c r="W158" s="149">
        <v>1125000</v>
      </c>
      <c r="X158" s="148">
        <f t="shared" ref="X158:X165" si="310">T158-V158</f>
        <v>0</v>
      </c>
      <c r="Y158" s="148">
        <f t="shared" ref="Y158:Y165" si="311">U158-W158</f>
        <v>0</v>
      </c>
      <c r="AB158"/>
      <c r="AC158"/>
      <c r="AD158"/>
    </row>
    <row r="159" spans="1:30" x14ac:dyDescent="0.25">
      <c r="A159" s="40"/>
      <c r="B159" s="39"/>
      <c r="C159" s="39"/>
      <c r="D159"/>
      <c r="U159" s="27"/>
      <c r="V159" s="39"/>
      <c r="W159" s="149"/>
      <c r="AB159"/>
      <c r="AC159"/>
      <c r="AD159"/>
    </row>
    <row r="160" spans="1:30" ht="15.75" thickBot="1" x14ac:dyDescent="0.3">
      <c r="A160" s="26" t="s">
        <v>46</v>
      </c>
      <c r="U160" s="27"/>
      <c r="V160" s="39"/>
      <c r="W160" s="149"/>
      <c r="AB160"/>
      <c r="AC160"/>
      <c r="AD160"/>
    </row>
    <row r="161" spans="1:30" ht="15.75" thickBot="1" x14ac:dyDescent="0.3">
      <c r="A161" s="28"/>
      <c r="B161" s="28" t="s">
        <v>47</v>
      </c>
      <c r="C161" s="29" t="s">
        <v>48</v>
      </c>
      <c r="D161" s="30" t="s">
        <v>49</v>
      </c>
      <c r="E161" s="30" t="s">
        <v>50</v>
      </c>
      <c r="F161" s="30" t="s">
        <v>51</v>
      </c>
      <c r="G161" s="30" t="s">
        <v>3</v>
      </c>
      <c r="H161" s="31" t="s">
        <v>52</v>
      </c>
      <c r="I161" s="32" t="s">
        <v>53</v>
      </c>
      <c r="J161" s="33" t="s">
        <v>54</v>
      </c>
      <c r="K161" s="32" t="s">
        <v>55</v>
      </c>
      <c r="L161" s="32" t="s">
        <v>56</v>
      </c>
      <c r="M161" s="32" t="s">
        <v>57</v>
      </c>
      <c r="N161" s="32" t="s">
        <v>58</v>
      </c>
      <c r="O161" s="32" t="s">
        <v>59</v>
      </c>
      <c r="P161" s="34" t="s">
        <v>60</v>
      </c>
      <c r="R161" s="27" t="s">
        <v>142</v>
      </c>
      <c r="S161" s="27" t="s">
        <v>143</v>
      </c>
      <c r="U161" s="27"/>
      <c r="V161" s="39"/>
      <c r="W161" s="149"/>
      <c r="AB161"/>
      <c r="AC161"/>
      <c r="AD161"/>
    </row>
    <row r="162" spans="1:30" ht="15.75" thickTop="1" x14ac:dyDescent="0.25">
      <c r="A162" s="35">
        <v>1</v>
      </c>
      <c r="B162" s="35">
        <v>0</v>
      </c>
      <c r="C162" s="36">
        <f>T86-0.1</f>
        <v>2.6686064335153494</v>
      </c>
      <c r="D162">
        <f>$T$17+0.1-(K162/2)+($P$23/2000)</f>
        <v>3.4351000000000003</v>
      </c>
      <c r="E162" s="37">
        <f>P162</f>
        <v>3.8760490069214895E-4</v>
      </c>
      <c r="F162">
        <f>IF($B162,$C162,$D162)+$K162-IF($B162,$O$23/1000,$P$23/1000)</f>
        <v>3.4649000000000001</v>
      </c>
      <c r="G162">
        <v>50000</v>
      </c>
      <c r="H162" s="38">
        <f>(I162-IF(B162,$P$23,$O$23))/(IF(B162,$P$22,$O$22)-IF(B162,$P$23,$O$23))*10</f>
        <v>1.3189771197846567</v>
      </c>
      <c r="I162" s="39">
        <v>2</v>
      </c>
      <c r="J162">
        <v>600</v>
      </c>
      <c r="K162">
        <v>0.03</v>
      </c>
      <c r="L162">
        <f>I162*0.001*K162</f>
        <v>6.0000000000000002E-5</v>
      </c>
      <c r="M162">
        <f>L162*J162*(0.000000001)/(1.6E-19)</f>
        <v>225000000.00000003</v>
      </c>
      <c r="N162" s="27">
        <f>MAX($D$3:$D$15)*2</f>
        <v>2907036.7551911175</v>
      </c>
      <c r="O162" s="40">
        <f>M162/N162</f>
        <v>77.398402203967947</v>
      </c>
      <c r="P162" s="37">
        <f>K162/O162</f>
        <v>3.8760490069214895E-4</v>
      </c>
      <c r="R162" s="40">
        <f>SUM(O162:O259)</f>
        <v>309.59360881587179</v>
      </c>
      <c r="S162">
        <f>R162/60</f>
        <v>5.1598934802645298</v>
      </c>
      <c r="T162" s="39">
        <f t="shared" si="308"/>
        <v>0.38760490069214898</v>
      </c>
      <c r="U162" s="27">
        <f t="shared" si="309"/>
        <v>7500000.0000000009</v>
      </c>
      <c r="V162" s="39">
        <v>0.38760490069214898</v>
      </c>
      <c r="W162" s="149">
        <v>7500000.0000000009</v>
      </c>
      <c r="X162" s="148">
        <f t="shared" si="310"/>
        <v>0</v>
      </c>
      <c r="Y162" s="148">
        <f t="shared" si="311"/>
        <v>0</v>
      </c>
      <c r="AB162"/>
      <c r="AC162"/>
      <c r="AD162"/>
    </row>
    <row r="163" spans="1:30" x14ac:dyDescent="0.25">
      <c r="A163" s="35">
        <f>A162+1</f>
        <v>2</v>
      </c>
      <c r="B163" s="35">
        <v>1</v>
      </c>
      <c r="C163" s="36">
        <f>C162-(K163/2)+($O$23/2000)</f>
        <v>2.6536264335153494</v>
      </c>
      <c r="D163" s="37">
        <f>$T$17+0.1</f>
        <v>3.45</v>
      </c>
      <c r="E163" s="37">
        <f t="shared" ref="E163" si="312">P163</f>
        <v>3.8760490069214895E-4</v>
      </c>
      <c r="F163">
        <f>IF($B163,$C163,$D163)+$K163-IF($B163,$O$23/1000,$P$23/1000)</f>
        <v>2.6835864335153494</v>
      </c>
      <c r="G163">
        <v>50000</v>
      </c>
      <c r="H163" s="38">
        <f t="shared" ref="H163:H165" si="313">(I163-IF(B163,$P$23,$O$23))/(IF(B163,$P$22,$O$22)-IF(B163,$P$23,$O$23))*10</f>
        <v>1.1501597444089455</v>
      </c>
      <c r="I163" s="39">
        <v>2</v>
      </c>
      <c r="J163">
        <v>600</v>
      </c>
      <c r="K163">
        <v>0.03</v>
      </c>
      <c r="L163">
        <f t="shared" ref="L163" si="314">I163*0.001*K163</f>
        <v>6.0000000000000002E-5</v>
      </c>
      <c r="M163">
        <f t="shared" ref="M163" si="315">L163*J163*(0.000000001)/(1.6E-19)</f>
        <v>225000000.00000003</v>
      </c>
      <c r="N163" s="27">
        <f>N162</f>
        <v>2907036.7551911175</v>
      </c>
      <c r="O163" s="40">
        <f t="shared" ref="O163" si="316">M163/N163</f>
        <v>77.398402203967947</v>
      </c>
      <c r="P163" s="37">
        <f t="shared" ref="P163" si="317">K163/O163</f>
        <v>3.8760490069214895E-4</v>
      </c>
      <c r="T163" s="39">
        <f t="shared" si="308"/>
        <v>0.38760490069214898</v>
      </c>
      <c r="U163" s="27">
        <f t="shared" si="309"/>
        <v>7500000.0000000009</v>
      </c>
      <c r="V163" s="39">
        <v>0.38760490069214898</v>
      </c>
      <c r="W163" s="149">
        <v>7500000.0000000009</v>
      </c>
      <c r="X163" s="148">
        <f t="shared" si="310"/>
        <v>0</v>
      </c>
      <c r="Y163" s="148">
        <f t="shared" si="311"/>
        <v>0</v>
      </c>
      <c r="AB163"/>
      <c r="AC163"/>
      <c r="AD163"/>
    </row>
    <row r="164" spans="1:30" x14ac:dyDescent="0.25">
      <c r="A164" s="35">
        <f>A163+1</f>
        <v>3</v>
      </c>
      <c r="B164" s="35">
        <v>0</v>
      </c>
      <c r="C164" s="36">
        <f>C158+0.1</f>
        <v>5.6090000000000195</v>
      </c>
      <c r="D164">
        <f>D162</f>
        <v>3.4351000000000003</v>
      </c>
      <c r="E164" s="37">
        <f>P164</f>
        <v>3.8760490069214895E-4</v>
      </c>
      <c r="F164">
        <f>IF($B164,$C164,$D164)+$K164-IF($B164,$O$23/1000,$P$23/1000)</f>
        <v>3.4649000000000001</v>
      </c>
      <c r="G164">
        <v>50000</v>
      </c>
      <c r="H164" s="38">
        <f t="shared" si="313"/>
        <v>1.3189771197846567</v>
      </c>
      <c r="I164" s="39">
        <v>2</v>
      </c>
      <c r="J164">
        <v>600</v>
      </c>
      <c r="K164">
        <v>0.03</v>
      </c>
      <c r="L164">
        <f>I164*0.001*K164</f>
        <v>6.0000000000000002E-5</v>
      </c>
      <c r="M164">
        <f>L164*J164*(0.000000001)/(1.6E-19)</f>
        <v>225000000.00000003</v>
      </c>
      <c r="N164" s="27">
        <f>N163</f>
        <v>2907036.7551911175</v>
      </c>
      <c r="O164" s="40">
        <f>M164/N164</f>
        <v>77.398402203967947</v>
      </c>
      <c r="P164" s="37">
        <f>K164/O164</f>
        <v>3.8760490069214895E-4</v>
      </c>
      <c r="R164" s="40"/>
      <c r="T164" s="39">
        <f t="shared" si="308"/>
        <v>0.38760490069214898</v>
      </c>
      <c r="U164" s="27">
        <f t="shared" si="309"/>
        <v>7500000.0000000009</v>
      </c>
      <c r="V164" s="39">
        <v>0.38760490069214898</v>
      </c>
      <c r="W164" s="149">
        <v>7500000.0000000009</v>
      </c>
      <c r="X164" s="148">
        <f t="shared" si="310"/>
        <v>0</v>
      </c>
      <c r="Y164" s="148">
        <f t="shared" si="311"/>
        <v>0</v>
      </c>
      <c r="AB164"/>
      <c r="AC164"/>
      <c r="AD164"/>
    </row>
    <row r="165" spans="1:30" x14ac:dyDescent="0.25">
      <c r="A165" s="35">
        <f>A164+1</f>
        <v>4</v>
      </c>
      <c r="B165" s="35">
        <v>1</v>
      </c>
      <c r="C165">
        <f>C164-(K165/2)+($O$23/2000)</f>
        <v>5.59402000000002</v>
      </c>
      <c r="D165" s="37">
        <f>D163</f>
        <v>3.45</v>
      </c>
      <c r="E165" s="37">
        <f t="shared" ref="E165" si="318">P165</f>
        <v>3.8760490069214895E-4</v>
      </c>
      <c r="F165">
        <f>IF($B165,$C165,$D165)+$K165-IF($B165,$O$23/1000,$P$23/1000)</f>
        <v>5.62398000000002</v>
      </c>
      <c r="G165">
        <v>50000</v>
      </c>
      <c r="H165" s="38">
        <f t="shared" si="313"/>
        <v>1.1501597444089455</v>
      </c>
      <c r="I165" s="39">
        <v>2</v>
      </c>
      <c r="J165">
        <v>600</v>
      </c>
      <c r="K165">
        <v>0.03</v>
      </c>
      <c r="L165">
        <f t="shared" ref="L165" si="319">I165*0.001*K165</f>
        <v>6.0000000000000002E-5</v>
      </c>
      <c r="M165">
        <f t="shared" ref="M165" si="320">L165*J165*(0.000000001)/(1.6E-19)</f>
        <v>225000000.00000003</v>
      </c>
      <c r="N165" s="27">
        <f>N164</f>
        <v>2907036.7551911175</v>
      </c>
      <c r="O165" s="40">
        <f t="shared" ref="O165" si="321">M165/N165</f>
        <v>77.398402203967947</v>
      </c>
      <c r="P165" s="37">
        <f t="shared" ref="P165" si="322">K165/O165</f>
        <v>3.8760490069214895E-4</v>
      </c>
      <c r="T165" s="39">
        <f t="shared" si="308"/>
        <v>0.38760490069214898</v>
      </c>
      <c r="U165" s="27">
        <f t="shared" si="309"/>
        <v>7500000.0000000009</v>
      </c>
      <c r="V165" s="39">
        <v>0.38760490069214898</v>
      </c>
      <c r="W165" s="149">
        <v>7500000.0000000009</v>
      </c>
      <c r="X165" s="148">
        <f t="shared" si="310"/>
        <v>0</v>
      </c>
      <c r="Y165" s="148">
        <f t="shared" si="311"/>
        <v>0</v>
      </c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D297"/>
      <c r="AB297"/>
      <c r="AC297"/>
      <c r="AD297"/>
    </row>
    <row r="298" spans="1:30" x14ac:dyDescent="0.25">
      <c r="D298"/>
      <c r="AB298"/>
      <c r="AC298"/>
      <c r="AD298"/>
    </row>
    <row r="299" spans="1:30" x14ac:dyDescent="0.25">
      <c r="D299"/>
      <c r="AB299"/>
      <c r="AC299"/>
      <c r="AD299"/>
    </row>
    <row r="300" spans="1:30" x14ac:dyDescent="0.25">
      <c r="D300"/>
      <c r="AB300"/>
      <c r="AC300"/>
      <c r="AD300"/>
    </row>
    <row r="301" spans="1:30" x14ac:dyDescent="0.25">
      <c r="D301"/>
      <c r="AB301"/>
      <c r="AC301"/>
      <c r="AD301"/>
    </row>
    <row r="302" spans="1:30" x14ac:dyDescent="0.25">
      <c r="D302"/>
      <c r="AB302"/>
      <c r="AC302"/>
      <c r="AD302"/>
    </row>
    <row r="303" spans="1:30" x14ac:dyDescent="0.25">
      <c r="D303"/>
      <c r="AB303"/>
      <c r="AC303"/>
      <c r="AD303"/>
    </row>
    <row r="304" spans="1:30" x14ac:dyDescent="0.25">
      <c r="D304"/>
      <c r="AB304"/>
      <c r="AC304"/>
      <c r="AD304"/>
    </row>
    <row r="305" spans="20:25" customFormat="1" x14ac:dyDescent="0.25">
      <c r="T305" s="39"/>
      <c r="W305" s="27"/>
      <c r="X305" s="148"/>
      <c r="Y305" s="148"/>
    </row>
    <row r="306" spans="20:25" customFormat="1" x14ac:dyDescent="0.25">
      <c r="T306" s="39"/>
      <c r="W306" s="27"/>
      <c r="X306" s="148"/>
      <c r="Y306" s="148"/>
    </row>
    <row r="307" spans="20:25" customFormat="1" x14ac:dyDescent="0.25">
      <c r="T307" s="39"/>
      <c r="W307" s="27"/>
      <c r="X307" s="148"/>
      <c r="Y307" s="148"/>
    </row>
    <row r="308" spans="20:25" customFormat="1" x14ac:dyDescent="0.25">
      <c r="T308" s="39"/>
      <c r="W308" s="27"/>
      <c r="X308" s="148"/>
      <c r="Y308" s="148"/>
    </row>
    <row r="309" spans="20:25" customFormat="1" x14ac:dyDescent="0.25">
      <c r="T309" s="39"/>
      <c r="W309" s="27"/>
      <c r="X309" s="148"/>
      <c r="Y309" s="148"/>
    </row>
    <row r="310" spans="20:25" customFormat="1" x14ac:dyDescent="0.25">
      <c r="T310" s="39"/>
      <c r="W310" s="27"/>
      <c r="X310" s="148"/>
      <c r="Y310" s="148"/>
    </row>
    <row r="311" spans="20:25" customFormat="1" x14ac:dyDescent="0.25">
      <c r="T311" s="39"/>
      <c r="W311" s="27"/>
      <c r="X311" s="148"/>
      <c r="Y311" s="148"/>
    </row>
    <row r="312" spans="20:25" customFormat="1" x14ac:dyDescent="0.25">
      <c r="T312" s="39"/>
      <c r="W312" s="27"/>
      <c r="X312" s="148"/>
      <c r="Y312" s="148"/>
    </row>
    <row r="313" spans="20:25" customFormat="1" x14ac:dyDescent="0.25">
      <c r="T313" s="39"/>
      <c r="W313" s="27"/>
      <c r="X313" s="148"/>
      <c r="Y313" s="148"/>
    </row>
    <row r="314" spans="20:25" customFormat="1" x14ac:dyDescent="0.25">
      <c r="T314" s="39"/>
      <c r="W314" s="27"/>
      <c r="X314" s="148"/>
      <c r="Y314" s="148"/>
    </row>
    <row r="315" spans="20:25" customFormat="1" x14ac:dyDescent="0.25">
      <c r="T315" s="39"/>
      <c r="W315" s="27"/>
      <c r="X315" s="148"/>
      <c r="Y315" s="148"/>
    </row>
    <row r="316" spans="20:25" customFormat="1" x14ac:dyDescent="0.25">
      <c r="T316" s="39"/>
      <c r="W316" s="27"/>
      <c r="X316" s="148"/>
      <c r="Y316" s="148"/>
    </row>
    <row r="317" spans="20:25" customFormat="1" x14ac:dyDescent="0.25">
      <c r="T317" s="39"/>
      <c r="W317" s="27"/>
      <c r="X317" s="148"/>
      <c r="Y317" s="148"/>
    </row>
    <row r="318" spans="20:25" customFormat="1" x14ac:dyDescent="0.25">
      <c r="T318" s="39"/>
      <c r="W318" s="27"/>
      <c r="X318" s="148"/>
      <c r="Y318" s="148"/>
    </row>
    <row r="319" spans="20:25" customFormat="1" x14ac:dyDescent="0.25">
      <c r="T319" s="39"/>
      <c r="W319" s="27"/>
      <c r="X319" s="148"/>
      <c r="Y319" s="148"/>
    </row>
    <row r="320" spans="20:25" customFormat="1" x14ac:dyDescent="0.25">
      <c r="T320" s="39"/>
      <c r="W320" s="27"/>
      <c r="X320" s="148"/>
      <c r="Y320" s="148"/>
    </row>
    <row r="321" spans="20:25" customFormat="1" x14ac:dyDescent="0.25">
      <c r="T321" s="39"/>
      <c r="W321" s="27"/>
      <c r="X321" s="148"/>
      <c r="Y321" s="148"/>
    </row>
    <row r="322" spans="20:25" customFormat="1" x14ac:dyDescent="0.25">
      <c r="T322" s="39"/>
      <c r="W322" s="27"/>
      <c r="X322" s="148"/>
      <c r="Y322" s="148"/>
    </row>
    <row r="323" spans="20:25" customFormat="1" x14ac:dyDescent="0.25">
      <c r="T323" s="39"/>
      <c r="W323" s="27"/>
      <c r="X323" s="148"/>
      <c r="Y323" s="148"/>
    </row>
    <row r="324" spans="20:25" customFormat="1" x14ac:dyDescent="0.25">
      <c r="T324" s="39"/>
      <c r="W324" s="27"/>
      <c r="X324" s="148"/>
      <c r="Y324" s="148"/>
    </row>
    <row r="325" spans="20:25" customFormat="1" x14ac:dyDescent="0.25">
      <c r="T325" s="39"/>
      <c r="W325" s="27"/>
      <c r="X325" s="148"/>
      <c r="Y325" s="148"/>
    </row>
    <row r="326" spans="20:25" customFormat="1" x14ac:dyDescent="0.25">
      <c r="T326" s="39"/>
      <c r="W326" s="27"/>
      <c r="X326" s="148"/>
      <c r="Y326" s="148"/>
    </row>
    <row r="327" spans="20:25" customFormat="1" x14ac:dyDescent="0.25">
      <c r="T327" s="39"/>
      <c r="W327" s="27"/>
      <c r="X327" s="148"/>
      <c r="Y327" s="148"/>
    </row>
    <row r="328" spans="20:25" customFormat="1" x14ac:dyDescent="0.25">
      <c r="T328" s="39"/>
      <c r="W328" s="27"/>
      <c r="X328" s="148"/>
      <c r="Y328" s="148"/>
    </row>
    <row r="329" spans="20:25" customFormat="1" x14ac:dyDescent="0.25">
      <c r="T329" s="39"/>
      <c r="W329" s="27"/>
      <c r="X329" s="148"/>
      <c r="Y329" s="148"/>
    </row>
    <row r="330" spans="20:25" customFormat="1" x14ac:dyDescent="0.25">
      <c r="T330" s="39"/>
      <c r="W330" s="27"/>
      <c r="X330" s="148"/>
      <c r="Y330" s="148"/>
    </row>
    <row r="331" spans="20:25" customFormat="1" x14ac:dyDescent="0.25">
      <c r="T331" s="39"/>
      <c r="W331" s="27"/>
      <c r="X331" s="148"/>
      <c r="Y331" s="148"/>
    </row>
    <row r="332" spans="20:25" customFormat="1" x14ac:dyDescent="0.25">
      <c r="T332" s="39"/>
      <c r="W332" s="27"/>
      <c r="X332" s="148"/>
      <c r="Y332" s="148"/>
    </row>
    <row r="333" spans="20:25" customFormat="1" x14ac:dyDescent="0.25">
      <c r="T333" s="39"/>
      <c r="W333" s="27"/>
      <c r="X333" s="148"/>
      <c r="Y333" s="148"/>
    </row>
    <row r="334" spans="20:25" customFormat="1" x14ac:dyDescent="0.25">
      <c r="T334" s="39"/>
      <c r="W334" s="27"/>
      <c r="X334" s="148"/>
      <c r="Y334" s="148"/>
    </row>
    <row r="335" spans="20:25" customFormat="1" x14ac:dyDescent="0.25">
      <c r="T335" s="39"/>
      <c r="W335" s="27"/>
      <c r="X335" s="148"/>
      <c r="Y335" s="148"/>
    </row>
    <row r="336" spans="20:25" customFormat="1" x14ac:dyDescent="0.25">
      <c r="T336" s="39"/>
      <c r="W336" s="27"/>
      <c r="X336" s="148"/>
      <c r="Y336" s="148"/>
    </row>
    <row r="337" spans="20:25" customFormat="1" x14ac:dyDescent="0.25">
      <c r="T337" s="39"/>
      <c r="W337" s="27"/>
      <c r="X337" s="148"/>
      <c r="Y337" s="148"/>
    </row>
    <row r="338" spans="20:25" customFormat="1" x14ac:dyDescent="0.25">
      <c r="T338" s="39"/>
      <c r="W338" s="27"/>
      <c r="X338" s="148"/>
      <c r="Y338" s="148"/>
    </row>
    <row r="339" spans="20:25" customFormat="1" x14ac:dyDescent="0.25">
      <c r="T339" s="39"/>
      <c r="W339" s="27"/>
      <c r="X339" s="148"/>
      <c r="Y339" s="148"/>
    </row>
    <row r="340" spans="20:25" customFormat="1" x14ac:dyDescent="0.25">
      <c r="T340" s="39"/>
      <c r="W340" s="27"/>
      <c r="X340" s="148"/>
      <c r="Y340" s="148"/>
    </row>
    <row r="341" spans="20:25" customFormat="1" x14ac:dyDescent="0.25">
      <c r="T341" s="39"/>
      <c r="W341" s="27"/>
      <c r="X341" s="148"/>
      <c r="Y341" s="148"/>
    </row>
    <row r="342" spans="20:25" customFormat="1" x14ac:dyDescent="0.25">
      <c r="T342" s="39"/>
      <c r="W342" s="27"/>
      <c r="X342" s="148"/>
      <c r="Y342" s="148"/>
    </row>
    <row r="343" spans="20:25" customFormat="1" x14ac:dyDescent="0.25">
      <c r="T343" s="39"/>
      <c r="W343" s="27"/>
      <c r="X343" s="148"/>
      <c r="Y343" s="148"/>
    </row>
    <row r="344" spans="20:25" customFormat="1" x14ac:dyDescent="0.25">
      <c r="T344" s="39"/>
      <c r="W344" s="27"/>
      <c r="X344" s="148"/>
      <c r="Y344" s="148"/>
    </row>
    <row r="345" spans="20:25" customFormat="1" x14ac:dyDescent="0.25">
      <c r="T345" s="39"/>
      <c r="W345" s="27"/>
      <c r="X345" s="148"/>
      <c r="Y345" s="148"/>
    </row>
    <row r="346" spans="20:25" customFormat="1" x14ac:dyDescent="0.25">
      <c r="T346" s="39"/>
      <c r="W346" s="27"/>
      <c r="X346" s="148"/>
      <c r="Y346" s="148"/>
    </row>
    <row r="347" spans="20:25" customFormat="1" x14ac:dyDescent="0.25">
      <c r="T347" s="39"/>
      <c r="W347" s="27"/>
      <c r="X347" s="148"/>
      <c r="Y347" s="148"/>
    </row>
    <row r="348" spans="20:25" customFormat="1" x14ac:dyDescent="0.25">
      <c r="T348" s="39"/>
      <c r="W348" s="27"/>
      <c r="X348" s="148"/>
      <c r="Y348" s="148"/>
    </row>
    <row r="349" spans="20:25" customFormat="1" x14ac:dyDescent="0.25">
      <c r="T349" s="39"/>
      <c r="W349" s="27"/>
      <c r="X349" s="148"/>
      <c r="Y349" s="148"/>
    </row>
    <row r="350" spans="20:25" customFormat="1" x14ac:dyDescent="0.25">
      <c r="T350" s="39"/>
      <c r="W350" s="27"/>
      <c r="X350" s="148"/>
      <c r="Y350" s="148"/>
    </row>
    <row r="351" spans="20:25" customFormat="1" x14ac:dyDescent="0.25">
      <c r="T351" s="39"/>
      <c r="W351" s="27"/>
      <c r="X351" s="148"/>
      <c r="Y351" s="148"/>
    </row>
    <row r="352" spans="20:25" customFormat="1" x14ac:dyDescent="0.25">
      <c r="T352" s="39"/>
      <c r="W352" s="27"/>
      <c r="X352" s="148"/>
      <c r="Y352" s="148"/>
    </row>
    <row r="353" spans="20:25" customFormat="1" x14ac:dyDescent="0.25">
      <c r="T353" s="39"/>
      <c r="W353" s="27"/>
      <c r="X353" s="148"/>
      <c r="Y353" s="148"/>
    </row>
    <row r="354" spans="20:25" customFormat="1" x14ac:dyDescent="0.25">
      <c r="T354" s="39"/>
      <c r="W354" s="27"/>
      <c r="X354" s="148"/>
      <c r="Y354" s="148"/>
    </row>
    <row r="355" spans="20:25" customFormat="1" x14ac:dyDescent="0.25">
      <c r="T355" s="39"/>
      <c r="W355" s="27"/>
      <c r="X355" s="148"/>
      <c r="Y355" s="148"/>
    </row>
    <row r="356" spans="20:25" customFormat="1" x14ac:dyDescent="0.25">
      <c r="T356" s="39"/>
      <c r="W356" s="27"/>
      <c r="X356" s="148"/>
      <c r="Y356" s="148"/>
    </row>
    <row r="357" spans="20:25" customFormat="1" x14ac:dyDescent="0.25">
      <c r="T357" s="39"/>
      <c r="W357" s="27"/>
      <c r="X357" s="148"/>
      <c r="Y357" s="148"/>
    </row>
    <row r="358" spans="20:25" customFormat="1" x14ac:dyDescent="0.25">
      <c r="T358" s="39"/>
      <c r="W358" s="27"/>
      <c r="X358" s="148"/>
      <c r="Y358" s="148"/>
    </row>
    <row r="359" spans="20:25" customFormat="1" x14ac:dyDescent="0.25">
      <c r="T359" s="39"/>
      <c r="W359" s="27"/>
      <c r="X359" s="148"/>
      <c r="Y359" s="148"/>
    </row>
    <row r="360" spans="20:25" customFormat="1" x14ac:dyDescent="0.25">
      <c r="T360" s="39"/>
      <c r="W360" s="27"/>
      <c r="X360" s="148"/>
      <c r="Y360" s="148"/>
    </row>
    <row r="361" spans="20:25" customFormat="1" x14ac:dyDescent="0.25">
      <c r="T361" s="39"/>
      <c r="W361" s="27"/>
      <c r="X361" s="148"/>
      <c r="Y361" s="148"/>
    </row>
    <row r="362" spans="20:25" customFormat="1" x14ac:dyDescent="0.25">
      <c r="T362" s="39"/>
      <c r="W362" s="27"/>
      <c r="X362" s="148"/>
      <c r="Y362" s="148"/>
    </row>
    <row r="363" spans="20:25" customFormat="1" x14ac:dyDescent="0.25">
      <c r="T363" s="39"/>
      <c r="W363" s="27"/>
      <c r="X363" s="148"/>
      <c r="Y363" s="148"/>
    </row>
    <row r="364" spans="20:25" customFormat="1" x14ac:dyDescent="0.25">
      <c r="T364" s="39"/>
      <c r="W364" s="27"/>
      <c r="X364" s="148"/>
      <c r="Y364" s="148"/>
    </row>
    <row r="365" spans="20:25" customFormat="1" x14ac:dyDescent="0.25">
      <c r="T365" s="39"/>
      <c r="W365" s="27"/>
      <c r="X365" s="148"/>
      <c r="Y365" s="148"/>
    </row>
    <row r="366" spans="20:25" customFormat="1" x14ac:dyDescent="0.25">
      <c r="T366" s="39"/>
      <c r="W366" s="27"/>
      <c r="X366" s="148"/>
      <c r="Y366" s="148"/>
    </row>
    <row r="367" spans="20:25" customFormat="1" x14ac:dyDescent="0.25">
      <c r="T367" s="39"/>
      <c r="W367" s="27"/>
      <c r="X367" s="148"/>
      <c r="Y367" s="148"/>
    </row>
    <row r="368" spans="20:25" customFormat="1" x14ac:dyDescent="0.25">
      <c r="T368" s="39"/>
      <c r="W368" s="27"/>
      <c r="X368" s="148"/>
      <c r="Y368" s="148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U377" s="40"/>
      <c r="V377" s="39"/>
      <c r="AB377"/>
      <c r="AC377"/>
      <c r="AD377"/>
    </row>
    <row r="378" spans="4:30" x14ac:dyDescent="0.25">
      <c r="D378"/>
      <c r="U378" s="40"/>
      <c r="V378" s="39"/>
      <c r="AB378"/>
      <c r="AC378"/>
      <c r="AD378"/>
    </row>
    <row r="379" spans="4:30" x14ac:dyDescent="0.25">
      <c r="D379"/>
      <c r="U379" s="40"/>
      <c r="V379" s="39"/>
      <c r="AB379"/>
      <c r="AC379"/>
      <c r="AD379"/>
    </row>
    <row r="380" spans="4:30" x14ac:dyDescent="0.25">
      <c r="D380"/>
      <c r="U380" s="40"/>
      <c r="V380" s="39"/>
      <c r="AB380"/>
      <c r="AC380"/>
      <c r="AD380"/>
    </row>
    <row r="381" spans="4:30" x14ac:dyDescent="0.25">
      <c r="D381"/>
      <c r="U381" s="40"/>
      <c r="V381" s="39"/>
      <c r="AB381"/>
      <c r="AC381"/>
      <c r="AD381"/>
    </row>
    <row r="382" spans="4:30" x14ac:dyDescent="0.25">
      <c r="D382"/>
      <c r="U382" s="40"/>
      <c r="V382" s="39"/>
      <c r="AB382"/>
      <c r="AC382"/>
      <c r="AD382"/>
    </row>
    <row r="383" spans="4:30" x14ac:dyDescent="0.25">
      <c r="D383"/>
      <c r="U383" s="40"/>
      <c r="V383" s="39"/>
      <c r="AB383"/>
      <c r="AC383"/>
      <c r="AD383"/>
    </row>
    <row r="384" spans="4:30" x14ac:dyDescent="0.25">
      <c r="D384"/>
      <c r="U384" s="40"/>
      <c r="V384" s="39"/>
      <c r="AB384"/>
      <c r="AC384"/>
      <c r="AD384"/>
    </row>
    <row r="385" spans="4:30" x14ac:dyDescent="0.25">
      <c r="D385"/>
      <c r="U385" s="40"/>
      <c r="V385" s="39"/>
      <c r="AB385"/>
      <c r="AC385"/>
      <c r="AD385"/>
    </row>
    <row r="386" spans="4:30" x14ac:dyDescent="0.25">
      <c r="D386"/>
    </row>
    <row r="387" spans="4:30" x14ac:dyDescent="0.25">
      <c r="D387"/>
    </row>
    <row r="388" spans="4:30" x14ac:dyDescent="0.25">
      <c r="D388"/>
    </row>
    <row r="389" spans="4:30" x14ac:dyDescent="0.25">
      <c r="D389"/>
      <c r="AB389"/>
      <c r="AC389"/>
      <c r="AD389"/>
    </row>
    <row r="390" spans="4:30" x14ac:dyDescent="0.25">
      <c r="D390"/>
      <c r="AB390"/>
      <c r="AC390"/>
      <c r="AD390"/>
    </row>
    <row r="391" spans="4:30" x14ac:dyDescent="0.25">
      <c r="D391"/>
      <c r="AB391"/>
      <c r="AC391"/>
      <c r="AD391"/>
    </row>
    <row r="392" spans="4:30" x14ac:dyDescent="0.25">
      <c r="D392"/>
      <c r="AB392"/>
      <c r="AC392"/>
      <c r="AD392"/>
    </row>
    <row r="393" spans="4:30" x14ac:dyDescent="0.25">
      <c r="D393"/>
      <c r="AB393"/>
      <c r="AC393"/>
      <c r="AD393"/>
    </row>
    <row r="394" spans="4:30" x14ac:dyDescent="0.25">
      <c r="D394"/>
      <c r="AB394"/>
      <c r="AC394"/>
      <c r="AD394"/>
    </row>
    <row r="395" spans="4:30" x14ac:dyDescent="0.25">
      <c r="D395"/>
      <c r="AB395"/>
      <c r="AC395"/>
      <c r="AD395"/>
    </row>
    <row r="396" spans="4:30" x14ac:dyDescent="0.25">
      <c r="D396"/>
      <c r="AB396"/>
      <c r="AC396"/>
      <c r="AD396"/>
    </row>
    <row r="397" spans="4:30" x14ac:dyDescent="0.25">
      <c r="D397"/>
      <c r="AB397"/>
      <c r="AC397"/>
      <c r="AD397"/>
    </row>
    <row r="398" spans="4:30" x14ac:dyDescent="0.25">
      <c r="D398"/>
      <c r="AB398"/>
      <c r="AC398"/>
      <c r="A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spans="20:25" customFormat="1" x14ac:dyDescent="0.25">
      <c r="T401" s="39"/>
      <c r="W401" s="27"/>
      <c r="X401" s="148"/>
      <c r="Y401" s="148"/>
    </row>
    <row r="402" spans="20:25" customFormat="1" x14ac:dyDescent="0.25">
      <c r="T402" s="39"/>
      <c r="W402" s="27"/>
      <c r="X402" s="148"/>
      <c r="Y402" s="148"/>
    </row>
    <row r="403" spans="20:25" customFormat="1" x14ac:dyDescent="0.25">
      <c r="T403" s="39"/>
      <c r="W403" s="27"/>
      <c r="X403" s="148"/>
      <c r="Y403" s="148"/>
    </row>
    <row r="404" spans="20:25" customFormat="1" x14ac:dyDescent="0.25">
      <c r="T404" s="39"/>
      <c r="W404" s="27"/>
      <c r="X404" s="148"/>
      <c r="Y404" s="148"/>
    </row>
    <row r="405" spans="20:25" customFormat="1" x14ac:dyDescent="0.25">
      <c r="T405" s="39"/>
      <c r="W405" s="27"/>
      <c r="X405" s="148"/>
      <c r="Y405" s="148"/>
    </row>
    <row r="406" spans="20:25" customFormat="1" x14ac:dyDescent="0.25">
      <c r="T406" s="39"/>
      <c r="W406" s="27"/>
      <c r="X406" s="148"/>
      <c r="Y406" s="148"/>
    </row>
    <row r="407" spans="20:25" customFormat="1" x14ac:dyDescent="0.25">
      <c r="T407" s="39"/>
      <c r="W407" s="27"/>
      <c r="X407" s="148"/>
      <c r="Y407" s="148"/>
    </row>
    <row r="408" spans="20:25" customFormat="1" x14ac:dyDescent="0.25">
      <c r="T408" s="39"/>
      <c r="W408" s="27"/>
      <c r="X408" s="148"/>
      <c r="Y408" s="148"/>
    </row>
    <row r="409" spans="20:25" customFormat="1" x14ac:dyDescent="0.25">
      <c r="T409" s="39"/>
      <c r="W409" s="27"/>
      <c r="X409" s="148"/>
      <c r="Y409" s="148"/>
    </row>
    <row r="410" spans="20:25" customFormat="1" x14ac:dyDescent="0.25">
      <c r="T410" s="39"/>
      <c r="W410" s="27"/>
      <c r="X410" s="148"/>
      <c r="Y410" s="148"/>
    </row>
    <row r="411" spans="20:25" customFormat="1" x14ac:dyDescent="0.25">
      <c r="T411" s="39"/>
      <c r="W411" s="27"/>
      <c r="X411" s="148"/>
      <c r="Y411" s="148"/>
    </row>
    <row r="412" spans="20:25" customFormat="1" x14ac:dyDescent="0.25">
      <c r="T412" s="39"/>
      <c r="W412" s="27"/>
      <c r="X412" s="148"/>
      <c r="Y412" s="148"/>
    </row>
    <row r="413" spans="20:25" customFormat="1" x14ac:dyDescent="0.25">
      <c r="T413" s="39"/>
      <c r="W413" s="27"/>
      <c r="X413" s="148"/>
      <c r="Y413" s="148"/>
    </row>
    <row r="414" spans="20:25" customFormat="1" x14ac:dyDescent="0.25">
      <c r="T414" s="39"/>
      <c r="W414" s="27"/>
      <c r="X414" s="148"/>
      <c r="Y414" s="148"/>
    </row>
    <row r="415" spans="20:25" customFormat="1" x14ac:dyDescent="0.25">
      <c r="T415" s="39"/>
      <c r="W415" s="27"/>
      <c r="X415" s="148"/>
      <c r="Y415" s="148"/>
    </row>
    <row r="416" spans="20:25" customFormat="1" x14ac:dyDescent="0.25">
      <c r="T416" s="39"/>
      <c r="W416" s="27"/>
      <c r="X416" s="148"/>
      <c r="Y416" s="148"/>
    </row>
    <row r="417" spans="20:25" customFormat="1" x14ac:dyDescent="0.25">
      <c r="T417" s="39"/>
      <c r="W417" s="27"/>
      <c r="X417" s="148"/>
      <c r="Y417" s="148"/>
    </row>
    <row r="418" spans="20:25" customFormat="1" x14ac:dyDescent="0.25">
      <c r="T418" s="39"/>
      <c r="W418" s="27"/>
      <c r="X418" s="148"/>
      <c r="Y418" s="148"/>
    </row>
    <row r="419" spans="20:25" customFormat="1" x14ac:dyDescent="0.25">
      <c r="T419" s="39"/>
      <c r="W419" s="27"/>
      <c r="X419" s="148"/>
      <c r="Y419" s="148"/>
    </row>
    <row r="420" spans="20:25" customFormat="1" x14ac:dyDescent="0.25">
      <c r="T420" s="39"/>
      <c r="W420" s="27"/>
      <c r="X420" s="148"/>
      <c r="Y420" s="148"/>
    </row>
    <row r="421" spans="20:25" customFormat="1" x14ac:dyDescent="0.25">
      <c r="T421" s="39"/>
      <c r="W421" s="27"/>
      <c r="X421" s="148"/>
      <c r="Y421" s="148"/>
    </row>
    <row r="422" spans="20:25" customFormat="1" x14ac:dyDescent="0.25">
      <c r="T422" s="39"/>
      <c r="W422" s="27"/>
      <c r="X422" s="148"/>
      <c r="Y422" s="148"/>
    </row>
    <row r="423" spans="20:25" customFormat="1" x14ac:dyDescent="0.25">
      <c r="T423" s="39"/>
      <c r="W423" s="27"/>
      <c r="X423" s="148"/>
      <c r="Y423" s="148"/>
    </row>
    <row r="424" spans="20:25" customFormat="1" x14ac:dyDescent="0.25">
      <c r="T424" s="39"/>
      <c r="W424" s="27"/>
      <c r="X424" s="148"/>
      <c r="Y424" s="148"/>
    </row>
    <row r="425" spans="20:25" customFormat="1" x14ac:dyDescent="0.25">
      <c r="T425" s="39"/>
      <c r="W425" s="27"/>
      <c r="X425" s="148"/>
      <c r="Y425" s="148"/>
    </row>
    <row r="426" spans="20:25" customFormat="1" x14ac:dyDescent="0.25">
      <c r="T426" s="39"/>
      <c r="W426" s="27"/>
      <c r="X426" s="148"/>
      <c r="Y426" s="148"/>
    </row>
    <row r="427" spans="20:25" customFormat="1" x14ac:dyDescent="0.25">
      <c r="T427" s="39"/>
      <c r="W427" s="27"/>
      <c r="X427" s="148"/>
      <c r="Y427" s="148"/>
    </row>
    <row r="428" spans="20:25" customFormat="1" x14ac:dyDescent="0.25">
      <c r="T428" s="39"/>
      <c r="W428" s="27"/>
      <c r="X428" s="148"/>
      <c r="Y428" s="148"/>
    </row>
    <row r="429" spans="20:25" customFormat="1" x14ac:dyDescent="0.25">
      <c r="T429" s="39"/>
      <c r="W429" s="27"/>
      <c r="X429" s="148"/>
      <c r="Y429" s="148"/>
    </row>
    <row r="430" spans="20:25" customFormat="1" x14ac:dyDescent="0.25">
      <c r="T430" s="39"/>
      <c r="W430" s="27"/>
      <c r="X430" s="148"/>
      <c r="Y430" s="148"/>
    </row>
    <row r="431" spans="20:25" customFormat="1" x14ac:dyDescent="0.25">
      <c r="T431" s="39"/>
      <c r="W431" s="27"/>
      <c r="X431" s="148"/>
      <c r="Y431" s="148"/>
    </row>
    <row r="432" spans="20:25" customFormat="1" x14ac:dyDescent="0.25">
      <c r="T432" s="39"/>
      <c r="W432" s="27"/>
      <c r="X432" s="148"/>
      <c r="Y432" s="148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AB440"/>
      <c r="AC440"/>
      <c r="AD440"/>
    </row>
    <row r="441" spans="4:30" x14ac:dyDescent="0.25">
      <c r="AB441"/>
      <c r="AC441"/>
      <c r="AD441"/>
    </row>
    <row r="442" spans="4:30" x14ac:dyDescent="0.25">
      <c r="AB442"/>
      <c r="AC442"/>
      <c r="AD442"/>
    </row>
    <row r="443" spans="4:30" x14ac:dyDescent="0.25">
      <c r="AB443"/>
      <c r="AC443"/>
      <c r="AD443"/>
    </row>
    <row r="444" spans="4:30" x14ac:dyDescent="0.25">
      <c r="AB444"/>
      <c r="AC444"/>
      <c r="AD444"/>
    </row>
    <row r="445" spans="4:30" x14ac:dyDescent="0.25">
      <c r="AB445"/>
      <c r="AC445"/>
      <c r="AD445"/>
    </row>
    <row r="446" spans="4:30" x14ac:dyDescent="0.25">
      <c r="AB446"/>
      <c r="AC446"/>
      <c r="AD446"/>
    </row>
    <row r="447" spans="4:30" x14ac:dyDescent="0.25">
      <c r="AB447"/>
      <c r="AC447"/>
      <c r="AD447"/>
    </row>
    <row r="448" spans="4:30" x14ac:dyDescent="0.25">
      <c r="AB448"/>
      <c r="AC448"/>
      <c r="AD448"/>
    </row>
    <row r="449" spans="4:30" x14ac:dyDescent="0.25"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D455"/>
      <c r="AB455"/>
      <c r="AC455"/>
      <c r="AD455"/>
    </row>
    <row r="456" spans="4:30" x14ac:dyDescent="0.25">
      <c r="D456"/>
      <c r="AB456"/>
      <c r="AC456"/>
      <c r="AD456"/>
    </row>
    <row r="457" spans="4:30" x14ac:dyDescent="0.25">
      <c r="D457"/>
      <c r="AB457"/>
      <c r="AC457"/>
      <c r="AD457"/>
    </row>
    <row r="458" spans="4:30" x14ac:dyDescent="0.25">
      <c r="D458"/>
      <c r="AB458"/>
      <c r="AC458"/>
      <c r="AD458"/>
    </row>
    <row r="459" spans="4:30" x14ac:dyDescent="0.25">
      <c r="D459"/>
      <c r="AB459"/>
      <c r="AC459"/>
      <c r="AD459"/>
    </row>
    <row r="460" spans="4:30" x14ac:dyDescent="0.25">
      <c r="D460"/>
      <c r="AB460"/>
      <c r="AC460"/>
      <c r="AD460"/>
    </row>
    <row r="461" spans="4:30" x14ac:dyDescent="0.25">
      <c r="D461"/>
      <c r="AB461"/>
      <c r="AC461"/>
      <c r="AD461"/>
    </row>
    <row r="462" spans="4:30" x14ac:dyDescent="0.25">
      <c r="D462"/>
      <c r="AB462"/>
      <c r="AC462"/>
      <c r="AD462"/>
    </row>
    <row r="463" spans="4:30" x14ac:dyDescent="0.25">
      <c r="D463"/>
      <c r="AB463"/>
      <c r="AC463"/>
      <c r="AD463"/>
    </row>
    <row r="464" spans="4:30" x14ac:dyDescent="0.25">
      <c r="D464"/>
      <c r="AB464"/>
      <c r="AC464"/>
      <c r="AD464"/>
    </row>
    <row r="465" spans="20:25" customFormat="1" x14ac:dyDescent="0.25">
      <c r="T465" s="39"/>
      <c r="W465" s="27"/>
      <c r="X465" s="148"/>
      <c r="Y465" s="148"/>
    </row>
    <row r="466" spans="20:25" customFormat="1" x14ac:dyDescent="0.25">
      <c r="T466" s="39"/>
      <c r="W466" s="27"/>
      <c r="X466" s="148"/>
      <c r="Y466" s="148"/>
    </row>
    <row r="467" spans="20:25" customFormat="1" x14ac:dyDescent="0.25">
      <c r="T467" s="39"/>
      <c r="W467" s="27"/>
      <c r="X467" s="148"/>
      <c r="Y467" s="148"/>
    </row>
    <row r="468" spans="20:25" customFormat="1" x14ac:dyDescent="0.25">
      <c r="T468" s="39"/>
      <c r="W468" s="27"/>
      <c r="X468" s="148"/>
      <c r="Y468" s="148"/>
    </row>
    <row r="469" spans="20:25" customFormat="1" x14ac:dyDescent="0.25">
      <c r="T469" s="39"/>
      <c r="W469" s="27"/>
      <c r="X469" s="148"/>
      <c r="Y469" s="148"/>
    </row>
    <row r="470" spans="20:25" customFormat="1" x14ac:dyDescent="0.25">
      <c r="T470" s="39"/>
      <c r="W470" s="27"/>
      <c r="X470" s="148"/>
      <c r="Y470" s="148"/>
    </row>
    <row r="471" spans="20:25" customFormat="1" x14ac:dyDescent="0.25">
      <c r="T471" s="39"/>
      <c r="W471" s="27"/>
      <c r="X471" s="148"/>
      <c r="Y471" s="148"/>
    </row>
    <row r="472" spans="20:25" customFormat="1" x14ac:dyDescent="0.25">
      <c r="T472" s="39"/>
      <c r="W472" s="27"/>
      <c r="X472" s="148"/>
      <c r="Y472" s="148"/>
    </row>
    <row r="473" spans="20:25" customFormat="1" x14ac:dyDescent="0.25">
      <c r="T473" s="39"/>
      <c r="W473" s="27"/>
      <c r="X473" s="148"/>
      <c r="Y473" s="148"/>
    </row>
    <row r="474" spans="20:25" customFormat="1" x14ac:dyDescent="0.25">
      <c r="T474" s="39"/>
      <c r="W474" s="27"/>
      <c r="X474" s="148"/>
      <c r="Y474" s="148"/>
    </row>
    <row r="475" spans="20:25" customFormat="1" x14ac:dyDescent="0.25">
      <c r="T475" s="39"/>
      <c r="W475" s="27"/>
      <c r="X475" s="148"/>
      <c r="Y475" s="148"/>
    </row>
    <row r="476" spans="20:25" customFormat="1" x14ac:dyDescent="0.25">
      <c r="T476" s="39"/>
      <c r="W476" s="27"/>
      <c r="X476" s="148"/>
      <c r="Y476" s="148"/>
    </row>
    <row r="477" spans="20:25" customFormat="1" x14ac:dyDescent="0.25">
      <c r="T477" s="39"/>
      <c r="W477" s="27"/>
      <c r="X477" s="148"/>
      <c r="Y477" s="148"/>
    </row>
    <row r="478" spans="20:25" customFormat="1" x14ac:dyDescent="0.25">
      <c r="T478" s="39"/>
      <c r="W478" s="27"/>
      <c r="X478" s="148"/>
      <c r="Y478" s="148"/>
    </row>
    <row r="479" spans="20:25" customFormat="1" x14ac:dyDescent="0.25">
      <c r="T479" s="39"/>
      <c r="W479" s="27"/>
      <c r="X479" s="148"/>
      <c r="Y479" s="148"/>
    </row>
    <row r="480" spans="20:25" customFormat="1" x14ac:dyDescent="0.25">
      <c r="T480" s="39"/>
      <c r="W480" s="27"/>
      <c r="X480" s="148"/>
      <c r="Y480" s="148"/>
    </row>
    <row r="481" spans="20:25" customFormat="1" x14ac:dyDescent="0.25">
      <c r="T481" s="39"/>
      <c r="W481" s="27"/>
      <c r="X481" s="148"/>
      <c r="Y481" s="148"/>
    </row>
    <row r="482" spans="20:25" customFormat="1" x14ac:dyDescent="0.25">
      <c r="T482" s="39"/>
      <c r="W482" s="27"/>
      <c r="X482" s="148"/>
      <c r="Y482" s="148"/>
    </row>
    <row r="483" spans="20:25" customFormat="1" x14ac:dyDescent="0.25">
      <c r="T483" s="39"/>
      <c r="W483" s="27"/>
      <c r="X483" s="148"/>
      <c r="Y483" s="148"/>
    </row>
    <row r="484" spans="20:25" customFormat="1" x14ac:dyDescent="0.25">
      <c r="T484" s="39"/>
      <c r="W484" s="27"/>
      <c r="X484" s="148"/>
      <c r="Y484" s="148"/>
    </row>
    <row r="485" spans="20:25" customFormat="1" x14ac:dyDescent="0.25">
      <c r="T485" s="39"/>
      <c r="W485" s="27"/>
      <c r="X485" s="148"/>
      <c r="Y485" s="148"/>
    </row>
    <row r="486" spans="20:25" customFormat="1" x14ac:dyDescent="0.25">
      <c r="T486" s="39"/>
      <c r="W486" s="27"/>
      <c r="X486" s="148"/>
      <c r="Y486" s="148"/>
    </row>
    <row r="487" spans="20:25" customFormat="1" x14ac:dyDescent="0.25">
      <c r="T487" s="39"/>
      <c r="W487" s="27"/>
      <c r="X487" s="148"/>
      <c r="Y487" s="148"/>
    </row>
    <row r="488" spans="20:25" customFormat="1" x14ac:dyDescent="0.25">
      <c r="T488" s="39"/>
      <c r="W488" s="27"/>
      <c r="X488" s="148"/>
      <c r="Y488" s="148"/>
    </row>
    <row r="489" spans="20:25" customFormat="1" x14ac:dyDescent="0.25">
      <c r="T489" s="39"/>
      <c r="W489" s="27"/>
      <c r="X489" s="148"/>
      <c r="Y489" s="148"/>
    </row>
    <row r="490" spans="20:25" customFormat="1" x14ac:dyDescent="0.25">
      <c r="T490" s="39"/>
      <c r="W490" s="27"/>
      <c r="X490" s="148"/>
      <c r="Y490" s="148"/>
    </row>
    <row r="491" spans="20:25" customFormat="1" x14ac:dyDescent="0.25">
      <c r="T491" s="39"/>
      <c r="W491" s="27"/>
      <c r="X491" s="148"/>
      <c r="Y491" s="148"/>
    </row>
    <row r="492" spans="20:25" customFormat="1" x14ac:dyDescent="0.25">
      <c r="T492" s="39"/>
      <c r="W492" s="27"/>
      <c r="X492" s="148"/>
      <c r="Y492" s="148"/>
    </row>
    <row r="493" spans="20:25" customFormat="1" x14ac:dyDescent="0.25">
      <c r="T493" s="39"/>
      <c r="W493" s="27"/>
      <c r="X493" s="148"/>
      <c r="Y493" s="148"/>
    </row>
    <row r="494" spans="20:25" customFormat="1" x14ac:dyDescent="0.25">
      <c r="T494" s="39"/>
      <c r="W494" s="27"/>
      <c r="X494" s="148"/>
      <c r="Y494" s="148"/>
    </row>
    <row r="495" spans="20:25" customFormat="1" x14ac:dyDescent="0.25">
      <c r="T495" s="39"/>
      <c r="W495" s="27"/>
      <c r="X495" s="148"/>
      <c r="Y495" s="148"/>
    </row>
    <row r="496" spans="20:25" customFormat="1" x14ac:dyDescent="0.25">
      <c r="T496" s="39"/>
      <c r="W496" s="27"/>
      <c r="X496" s="148"/>
      <c r="Y496" s="148"/>
    </row>
    <row r="497" spans="20:25" customFormat="1" x14ac:dyDescent="0.25">
      <c r="T497" s="39"/>
      <c r="W497" s="27"/>
      <c r="X497" s="148"/>
      <c r="Y497" s="148"/>
    </row>
    <row r="498" spans="20:25" customFormat="1" x14ac:dyDescent="0.25">
      <c r="T498" s="39"/>
      <c r="W498" s="27"/>
      <c r="X498" s="148"/>
      <c r="Y498" s="148"/>
    </row>
    <row r="499" spans="20:25" customFormat="1" x14ac:dyDescent="0.25">
      <c r="T499" s="39"/>
      <c r="W499" s="27"/>
      <c r="X499" s="148"/>
      <c r="Y499" s="148"/>
    </row>
    <row r="500" spans="20:25" customFormat="1" x14ac:dyDescent="0.25">
      <c r="T500" s="39"/>
      <c r="W500" s="27"/>
      <c r="X500" s="148"/>
      <c r="Y500" s="148"/>
    </row>
    <row r="501" spans="20:25" customFormat="1" x14ac:dyDescent="0.25">
      <c r="T501" s="39"/>
      <c r="W501" s="27"/>
      <c r="X501" s="148"/>
      <c r="Y501" s="148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1"/>
  <sheetViews>
    <sheetView topLeftCell="A52" zoomScale="70" zoomScaleNormal="70" workbookViewId="0">
      <selection activeCell="K30" sqref="K30"/>
    </sheetView>
  </sheetViews>
  <sheetFormatPr defaultColWidth="9.140625" defaultRowHeight="15" x14ac:dyDescent="0.25"/>
  <cols>
    <col min="1" max="1" width="24.5703125" customWidth="1"/>
    <col min="2" max="2" width="21.28515625" customWidth="1"/>
    <col min="3" max="3" width="22.7109375" customWidth="1"/>
    <col min="4" max="4" width="22.5703125" style="27" customWidth="1"/>
    <col min="5" max="5" width="25.28515625" customWidth="1"/>
    <col min="6" max="6" width="22.28515625" customWidth="1"/>
    <col min="7" max="7" width="24.28515625" customWidth="1"/>
    <col min="8" max="8" width="28.7109375" customWidth="1"/>
    <col min="9" max="9" width="20" customWidth="1"/>
    <col min="10" max="10" width="18.7109375" customWidth="1"/>
    <col min="11" max="11" width="21.42578125" customWidth="1"/>
    <col min="12" max="13" width="21.140625" customWidth="1"/>
    <col min="14" max="14" width="25.140625" customWidth="1"/>
    <col min="15" max="15" width="26" customWidth="1"/>
    <col min="16" max="16" width="25.42578125" customWidth="1"/>
    <col min="17" max="17" width="23.7109375" customWidth="1"/>
    <col min="18" max="18" width="21.7109375" customWidth="1"/>
    <col min="19" max="19" width="19.7109375" customWidth="1"/>
    <col min="20" max="20" width="22" customWidth="1"/>
    <col min="21" max="21" width="21.140625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thickBot="1" x14ac:dyDescent="0.35">
      <c r="A1" s="57" t="s">
        <v>94</v>
      </c>
      <c r="B1" s="58"/>
    </row>
    <row r="2" spans="1:30" ht="14.45" x14ac:dyDescent="0.3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60" t="s">
        <v>0</v>
      </c>
      <c r="L2" s="60" t="s">
        <v>1</v>
      </c>
      <c r="M2" s="62" t="s">
        <v>2</v>
      </c>
      <c r="N2" s="62" t="s">
        <v>105</v>
      </c>
    </row>
    <row r="3" spans="1:30" ht="14.45" x14ac:dyDescent="0.3">
      <c r="A3" s="35">
        <v>0</v>
      </c>
      <c r="B3" s="86">
        <v>17</v>
      </c>
      <c r="C3" s="87">
        <v>3400</v>
      </c>
      <c r="D3" s="88">
        <f>C3</f>
        <v>3400</v>
      </c>
      <c r="E3" s="1">
        <v>4</v>
      </c>
      <c r="F3" s="1">
        <v>4</v>
      </c>
      <c r="G3" s="1">
        <v>5</v>
      </c>
      <c r="H3" s="1">
        <v>5</v>
      </c>
      <c r="I3" s="63">
        <f>D3*0.16*6.38^2/(E3*F3*G3*H3*M3)</f>
        <v>36.905322666666663</v>
      </c>
      <c r="K3" s="63">
        <f t="shared" ref="K3:K15" si="0">E3/857*1000</f>
        <v>4.6674445740956818</v>
      </c>
      <c r="L3" s="63">
        <f t="shared" ref="L3:L15" si="1">F3/130*1000</f>
        <v>30.76923076923077</v>
      </c>
      <c r="M3" s="38">
        <v>1.5</v>
      </c>
      <c r="N3" s="38"/>
    </row>
    <row r="4" spans="1:30" ht="14.45" x14ac:dyDescent="0.3">
      <c r="A4" s="35">
        <f>B4-$B$3</f>
        <v>0</v>
      </c>
      <c r="B4" s="89">
        <v>17</v>
      </c>
      <c r="C4" s="90">
        <v>700</v>
      </c>
      <c r="D4" s="91">
        <f>D3</f>
        <v>3400</v>
      </c>
      <c r="E4" s="1">
        <f>E3</f>
        <v>4</v>
      </c>
      <c r="F4" s="1">
        <f t="shared" ref="F4:H4" si="2">F3</f>
        <v>4</v>
      </c>
      <c r="G4" s="1">
        <f t="shared" si="2"/>
        <v>5</v>
      </c>
      <c r="H4" s="1">
        <f t="shared" si="2"/>
        <v>5</v>
      </c>
      <c r="I4" s="63">
        <f>D4*0.16*6.38^2/(E4*F4*G4*H4*M4)</f>
        <v>36.905322666666663</v>
      </c>
      <c r="K4" s="63">
        <f t="shared" si="0"/>
        <v>4.6674445740956818</v>
      </c>
      <c r="L4" s="63">
        <f t="shared" si="1"/>
        <v>30.76923076923077</v>
      </c>
      <c r="M4" s="38">
        <v>1.5</v>
      </c>
      <c r="N4" s="38"/>
    </row>
    <row r="5" spans="1:30" thickBot="1" x14ac:dyDescent="0.35">
      <c r="A5" s="35">
        <f>B5-$B$3</f>
        <v>0</v>
      </c>
      <c r="B5" s="92">
        <f>B4</f>
        <v>17</v>
      </c>
      <c r="C5" s="1">
        <v>5000</v>
      </c>
      <c r="D5" s="93">
        <f>IFERROR(C5*D4/C4,0)</f>
        <v>24285.714285714286</v>
      </c>
      <c r="E5" s="94">
        <v>4</v>
      </c>
      <c r="F5" s="94">
        <v>4</v>
      </c>
      <c r="G5" s="94">
        <v>15</v>
      </c>
      <c r="H5" s="95">
        <v>15</v>
      </c>
      <c r="I5" s="63">
        <f t="shared" ref="I5:I15" si="3">D5*0.16*6.38^2/(E5*F5*G5*H5*M5)</f>
        <v>29.289938624338625</v>
      </c>
      <c r="K5" s="63">
        <f t="shared" si="0"/>
        <v>4.6674445740956818</v>
      </c>
      <c r="L5" s="63">
        <f t="shared" si="1"/>
        <v>30.76923076923077</v>
      </c>
      <c r="M5" s="38">
        <v>1.5</v>
      </c>
      <c r="N5" s="38"/>
      <c r="P5" t="s">
        <v>106</v>
      </c>
    </row>
    <row r="6" spans="1:30" ht="14.45" x14ac:dyDescent="0.3">
      <c r="A6" s="35">
        <f t="shared" ref="A6:A15" si="4">B6-$B$3</f>
        <v>12</v>
      </c>
      <c r="B6" s="96">
        <v>29</v>
      </c>
      <c r="C6" s="1">
        <v>275</v>
      </c>
      <c r="D6" s="97">
        <f>D5</f>
        <v>24285.714285714286</v>
      </c>
      <c r="E6" s="98">
        <f>E5</f>
        <v>4</v>
      </c>
      <c r="F6" s="98">
        <f t="shared" ref="F6:H6" si="5">F5</f>
        <v>4</v>
      </c>
      <c r="G6" s="98">
        <f t="shared" si="5"/>
        <v>15</v>
      </c>
      <c r="H6" s="99">
        <f t="shared" si="5"/>
        <v>15</v>
      </c>
      <c r="I6" s="63">
        <f>D6*0.16*6.38^2/(E6*F6*G6*H6*M6)</f>
        <v>29.289938624338625</v>
      </c>
      <c r="K6" s="63">
        <f>E6/857*1000</f>
        <v>4.6674445740956818</v>
      </c>
      <c r="L6" s="63">
        <f>F6/130*1000</f>
        <v>30.76923076923077</v>
      </c>
      <c r="M6" s="38">
        <v>1.5</v>
      </c>
      <c r="N6" s="38"/>
      <c r="O6" s="60" t="s">
        <v>107</v>
      </c>
      <c r="P6" s="62">
        <v>5.2999999999999999E-2</v>
      </c>
      <c r="Q6" s="62">
        <v>0.05</v>
      </c>
      <c r="R6" s="62">
        <v>0.05</v>
      </c>
    </row>
    <row r="7" spans="1:30" ht="14.45" x14ac:dyDescent="0.3">
      <c r="A7" s="35">
        <f t="shared" si="4"/>
        <v>12</v>
      </c>
      <c r="B7" s="92">
        <v>29</v>
      </c>
      <c r="C7" s="1">
        <v>4000</v>
      </c>
      <c r="D7" s="100">
        <f>IFERROR(C7*D6/C6,0)</f>
        <v>353246.75324675324</v>
      </c>
      <c r="E7" s="101">
        <v>4</v>
      </c>
      <c r="F7" s="101">
        <v>4</v>
      </c>
      <c r="G7" s="101">
        <v>60</v>
      </c>
      <c r="H7" s="102">
        <v>60</v>
      </c>
      <c r="I7" s="63">
        <f t="shared" si="3"/>
        <v>26.627216931216935</v>
      </c>
      <c r="K7" s="63">
        <f>E7/857*1000</f>
        <v>4.6674445740956818</v>
      </c>
      <c r="L7" s="63">
        <f>F7/130*1000</f>
        <v>30.76923076923077</v>
      </c>
      <c r="M7" s="38">
        <v>1.5</v>
      </c>
      <c r="N7" s="38"/>
      <c r="O7" t="s">
        <v>108</v>
      </c>
      <c r="P7" s="38">
        <v>5.2999999999999999E-2</v>
      </c>
      <c r="Q7" s="38">
        <v>5.1999999999999998E-2</v>
      </c>
      <c r="R7" s="38">
        <v>5.0999999999999997E-2</v>
      </c>
    </row>
    <row r="8" spans="1:30" ht="14.45" x14ac:dyDescent="0.3">
      <c r="A8" s="35">
        <f t="shared" si="4"/>
        <v>21</v>
      </c>
      <c r="B8" s="96">
        <v>38</v>
      </c>
      <c r="C8" s="1">
        <v>250</v>
      </c>
      <c r="D8" s="103">
        <f>D7</f>
        <v>353246.75324675324</v>
      </c>
      <c r="E8" s="104">
        <f>E7</f>
        <v>4</v>
      </c>
      <c r="F8" s="104">
        <f t="shared" ref="F8:H14" si="6">F7</f>
        <v>4</v>
      </c>
      <c r="G8" s="104">
        <f t="shared" si="6"/>
        <v>60</v>
      </c>
      <c r="H8" s="105">
        <f t="shared" si="6"/>
        <v>60</v>
      </c>
      <c r="I8" s="63">
        <f t="shared" si="3"/>
        <v>26.627216931216935</v>
      </c>
      <c r="K8" s="63">
        <f t="shared" si="0"/>
        <v>4.6674445740956818</v>
      </c>
      <c r="L8" s="63">
        <f t="shared" si="1"/>
        <v>30.76923076923077</v>
      </c>
      <c r="M8" s="38">
        <v>1.5</v>
      </c>
      <c r="N8" s="38"/>
      <c r="O8" t="s">
        <v>109</v>
      </c>
      <c r="P8" s="38">
        <v>9.9</v>
      </c>
      <c r="Q8" s="38">
        <v>9.9</v>
      </c>
      <c r="R8" s="38">
        <v>9.9</v>
      </c>
    </row>
    <row r="9" spans="1:30" ht="14.45" x14ac:dyDescent="0.3">
      <c r="A9" s="35">
        <f t="shared" si="4"/>
        <v>21</v>
      </c>
      <c r="B9" s="92">
        <v>38</v>
      </c>
      <c r="C9" s="1">
        <v>4600</v>
      </c>
      <c r="D9" s="100">
        <f>IFERROR(C9*D8/C8,0)</f>
        <v>6499740.2597402604</v>
      </c>
      <c r="E9" s="101">
        <v>10</v>
      </c>
      <c r="F9" s="101">
        <v>20</v>
      </c>
      <c r="G9" s="101">
        <v>80</v>
      </c>
      <c r="H9" s="102">
        <v>90</v>
      </c>
      <c r="I9" s="63">
        <f t="shared" si="3"/>
        <v>19.597631661375665</v>
      </c>
      <c r="K9" s="63">
        <f t="shared" si="0"/>
        <v>11.668611435239207</v>
      </c>
      <c r="L9" s="63">
        <f t="shared" si="1"/>
        <v>153.84615384615387</v>
      </c>
      <c r="M9" s="38">
        <v>1.5</v>
      </c>
      <c r="N9" s="38"/>
      <c r="O9" t="s">
        <v>110</v>
      </c>
      <c r="P9" s="38">
        <v>4096</v>
      </c>
      <c r="Q9" s="38">
        <v>4096</v>
      </c>
      <c r="R9" s="38">
        <v>4096</v>
      </c>
    </row>
    <row r="10" spans="1:30" ht="14.45" x14ac:dyDescent="0.3">
      <c r="A10" s="35">
        <f t="shared" si="4"/>
        <v>27</v>
      </c>
      <c r="B10" s="96">
        <v>44</v>
      </c>
      <c r="C10" s="1">
        <v>475</v>
      </c>
      <c r="D10" s="103">
        <f>D9</f>
        <v>6499740.2597402604</v>
      </c>
      <c r="E10" s="104">
        <f>E9</f>
        <v>10</v>
      </c>
      <c r="F10" s="104">
        <f t="shared" si="6"/>
        <v>20</v>
      </c>
      <c r="G10" s="104">
        <f t="shared" si="6"/>
        <v>80</v>
      </c>
      <c r="H10" s="105">
        <f t="shared" si="6"/>
        <v>90</v>
      </c>
      <c r="I10" s="63">
        <f t="shared" si="3"/>
        <v>19.597631661375665</v>
      </c>
      <c r="K10" s="63">
        <f t="shared" si="0"/>
        <v>11.668611435239207</v>
      </c>
      <c r="L10" s="63">
        <f t="shared" si="1"/>
        <v>153.84615384615387</v>
      </c>
      <c r="M10" s="38">
        <v>1.5</v>
      </c>
      <c r="N10" s="38"/>
      <c r="O10" t="s">
        <v>111</v>
      </c>
      <c r="P10" s="38">
        <f>(P8-P7)/P9</f>
        <v>2.4040527343749999E-3</v>
      </c>
      <c r="Q10" s="38">
        <f>(Q8-Q7)/Q9</f>
        <v>2.4042968750000002E-3</v>
      </c>
      <c r="R10" s="38">
        <f>(R8-R7)/R9</f>
        <v>2.404541015625E-3</v>
      </c>
    </row>
    <row r="11" spans="1:30" ht="14.45" x14ac:dyDescent="0.3">
      <c r="A11" s="35">
        <f t="shared" si="4"/>
        <v>27</v>
      </c>
      <c r="B11" s="96">
        <v>44</v>
      </c>
      <c r="C11" s="1">
        <v>850</v>
      </c>
      <c r="D11" s="100">
        <f>IFERROR(C11*D10/C10,0)</f>
        <v>11631114.149008887</v>
      </c>
      <c r="E11" s="101">
        <v>10</v>
      </c>
      <c r="F11" s="101">
        <v>40</v>
      </c>
      <c r="G11" s="101">
        <v>80</v>
      </c>
      <c r="H11" s="102">
        <v>90</v>
      </c>
      <c r="I11" s="63">
        <f t="shared" si="3"/>
        <v>17.534723065441383</v>
      </c>
      <c r="K11" s="63">
        <f t="shared" si="0"/>
        <v>11.668611435239207</v>
      </c>
      <c r="L11" s="63">
        <f t="shared" si="1"/>
        <v>307.69230769230774</v>
      </c>
      <c r="M11" s="38">
        <v>1.5</v>
      </c>
      <c r="N11" s="38"/>
      <c r="O11" t="s">
        <v>112</v>
      </c>
      <c r="P11" s="38">
        <v>100</v>
      </c>
      <c r="Q11" s="38">
        <v>650</v>
      </c>
      <c r="R11" s="38">
        <v>35</v>
      </c>
    </row>
    <row r="12" spans="1:30" thickBot="1" x14ac:dyDescent="0.35">
      <c r="A12" s="35">
        <f t="shared" si="4"/>
        <v>25.5</v>
      </c>
      <c r="B12" s="96">
        <v>42.5</v>
      </c>
      <c r="C12" s="1">
        <v>2350</v>
      </c>
      <c r="D12" s="103">
        <f>D11</f>
        <v>11631114.149008887</v>
      </c>
      <c r="E12" s="104">
        <f>E11</f>
        <v>10</v>
      </c>
      <c r="F12" s="104">
        <f t="shared" si="6"/>
        <v>40</v>
      </c>
      <c r="G12" s="104">
        <f t="shared" si="6"/>
        <v>80</v>
      </c>
      <c r="H12" s="105">
        <f t="shared" si="6"/>
        <v>90</v>
      </c>
      <c r="I12" s="63">
        <f t="shared" si="3"/>
        <v>17.534723065441383</v>
      </c>
      <c r="K12" s="63">
        <f t="shared" si="0"/>
        <v>11.668611435239207</v>
      </c>
      <c r="L12" s="63">
        <f t="shared" si="1"/>
        <v>307.69230769230774</v>
      </c>
      <c r="M12" s="38">
        <v>1.5</v>
      </c>
      <c r="N12" s="38"/>
      <c r="O12" s="46" t="s">
        <v>113</v>
      </c>
      <c r="P12" s="47">
        <f>P7+P10*P11</f>
        <v>0.2934052734375</v>
      </c>
      <c r="Q12" s="47">
        <f>Q7+Q10*Q11</f>
        <v>1.6147929687500002</v>
      </c>
      <c r="R12" s="47">
        <f>R7+R10*R11</f>
        <v>0.135158935546875</v>
      </c>
    </row>
    <row r="13" spans="1:30" thickBot="1" x14ac:dyDescent="0.35">
      <c r="A13" s="35">
        <f t="shared" si="4"/>
        <v>27</v>
      </c>
      <c r="B13" s="92">
        <v>44</v>
      </c>
      <c r="C13" s="1"/>
      <c r="D13" s="106">
        <f>IFERROR(C13*D12/C12,0)</f>
        <v>0</v>
      </c>
      <c r="E13" s="101">
        <v>10</v>
      </c>
      <c r="F13" s="101">
        <v>40</v>
      </c>
      <c r="G13" s="101">
        <v>80</v>
      </c>
      <c r="H13" s="102">
        <v>90</v>
      </c>
      <c r="I13" s="63">
        <f t="shared" si="3"/>
        <v>0</v>
      </c>
      <c r="K13" s="107">
        <f t="shared" si="0"/>
        <v>11.668611435239207</v>
      </c>
      <c r="L13" s="107">
        <f t="shared" si="1"/>
        <v>307.69230769230774</v>
      </c>
      <c r="M13" s="38">
        <v>1.5</v>
      </c>
      <c r="N13" s="38"/>
    </row>
    <row r="14" spans="1:30" thickBot="1" x14ac:dyDescent="0.35">
      <c r="A14" s="35">
        <f t="shared" si="4"/>
        <v>27</v>
      </c>
      <c r="B14" s="96">
        <v>44</v>
      </c>
      <c r="C14" s="1"/>
      <c r="D14" s="103">
        <f>D13</f>
        <v>0</v>
      </c>
      <c r="E14" s="104">
        <f>E13</f>
        <v>10</v>
      </c>
      <c r="F14" s="104">
        <f t="shared" si="6"/>
        <v>40</v>
      </c>
      <c r="G14" s="104">
        <f t="shared" si="6"/>
        <v>80</v>
      </c>
      <c r="H14" s="105">
        <f t="shared" si="6"/>
        <v>90</v>
      </c>
      <c r="I14" s="63">
        <f t="shared" si="3"/>
        <v>0</v>
      </c>
      <c r="K14" s="63">
        <f t="shared" si="0"/>
        <v>11.668611435239207</v>
      </c>
      <c r="L14" s="63">
        <f t="shared" si="1"/>
        <v>307.69230769230774</v>
      </c>
      <c r="M14" s="38">
        <v>1.5</v>
      </c>
      <c r="N14" s="38"/>
      <c r="O14" s="64" t="s">
        <v>115</v>
      </c>
    </row>
    <row r="15" spans="1:30" thickBot="1" x14ac:dyDescent="0.35">
      <c r="A15" s="35">
        <f t="shared" si="4"/>
        <v>27</v>
      </c>
      <c r="B15" s="92">
        <v>44</v>
      </c>
      <c r="C15" s="1"/>
      <c r="D15" s="108">
        <f>IFERROR(C15*D14/C14,0)</f>
        <v>0</v>
      </c>
      <c r="E15" s="6">
        <v>60</v>
      </c>
      <c r="F15" s="6">
        <v>40</v>
      </c>
      <c r="G15" s="6">
        <v>80</v>
      </c>
      <c r="H15" s="6">
        <v>80</v>
      </c>
      <c r="I15" s="65">
        <f t="shared" si="3"/>
        <v>0</v>
      </c>
      <c r="J15" s="46"/>
      <c r="K15" s="109">
        <f t="shared" si="0"/>
        <v>70.01166861143524</v>
      </c>
      <c r="L15" s="109">
        <f t="shared" si="1"/>
        <v>307.69230769230774</v>
      </c>
      <c r="M15" s="38">
        <v>1.5</v>
      </c>
      <c r="N15" s="47"/>
      <c r="O15" s="59"/>
      <c r="P15" s="66" t="s">
        <v>117</v>
      </c>
      <c r="Q15" s="67" t="s">
        <v>118</v>
      </c>
      <c r="R15" s="68" t="s">
        <v>119</v>
      </c>
      <c r="S15" s="68" t="s">
        <v>120</v>
      </c>
      <c r="T15" s="69" t="s">
        <v>121</v>
      </c>
      <c r="AA15" s="40"/>
      <c r="AB15" s="39"/>
      <c r="AD15"/>
    </row>
    <row r="16" spans="1:30" ht="14.45" x14ac:dyDescent="0.3">
      <c r="O16" s="35" t="s">
        <v>122</v>
      </c>
      <c r="P16">
        <v>6.4</v>
      </c>
      <c r="Q16" s="70"/>
      <c r="R16" s="70"/>
      <c r="S16" s="70"/>
      <c r="T16" s="71">
        <f>-1.4-7</f>
        <v>-8.4</v>
      </c>
      <c r="AA16" s="40"/>
      <c r="AB16" s="39"/>
      <c r="AD16"/>
    </row>
    <row r="17" spans="1:31" thickBot="1" x14ac:dyDescent="0.35">
      <c r="O17" s="35" t="s">
        <v>123</v>
      </c>
      <c r="P17">
        <v>-8.1999999999999993</v>
      </c>
      <c r="Q17" s="70"/>
      <c r="R17" s="70"/>
      <c r="S17" s="70"/>
      <c r="T17" s="71">
        <f>2+6.5</f>
        <v>8.5</v>
      </c>
      <c r="AA17" s="40"/>
      <c r="AB17" s="39"/>
      <c r="AD17"/>
    </row>
    <row r="18" spans="1:31" thickBot="1" x14ac:dyDescent="0.35">
      <c r="A18" s="59" t="s">
        <v>124</v>
      </c>
      <c r="B18" s="60" t="s">
        <v>125</v>
      </c>
      <c r="C18" s="60" t="s">
        <v>126</v>
      </c>
      <c r="D18" s="61" t="s">
        <v>127</v>
      </c>
      <c r="E18" s="60" t="s">
        <v>128</v>
      </c>
      <c r="F18" s="60" t="s">
        <v>129</v>
      </c>
      <c r="G18" s="60" t="s">
        <v>130</v>
      </c>
      <c r="H18" s="60" t="s">
        <v>3</v>
      </c>
      <c r="I18" s="61" t="s">
        <v>4</v>
      </c>
      <c r="J18" s="60" t="s">
        <v>5</v>
      </c>
      <c r="K18" s="60" t="s">
        <v>131</v>
      </c>
      <c r="L18" s="61" t="s">
        <v>132</v>
      </c>
      <c r="O18" s="45" t="s">
        <v>133</v>
      </c>
      <c r="P18" s="46">
        <f>-7.5</f>
        <v>-7.5</v>
      </c>
      <c r="Q18" s="72"/>
      <c r="R18" s="72"/>
      <c r="S18" s="72"/>
      <c r="T18" s="73">
        <f>P18+0.449</f>
        <v>-7.0510000000000002</v>
      </c>
      <c r="AA18" s="40"/>
      <c r="AB18" s="39"/>
      <c r="AD18"/>
    </row>
    <row r="19" spans="1:31" thickBot="1" x14ac:dyDescent="0.35">
      <c r="A19" s="70">
        <f t="shared" ref="A19" si="7">B19*C19</f>
        <v>9.7656249999999996E-10</v>
      </c>
      <c r="B19" s="70">
        <f>0.016/512</f>
        <v>3.1250000000000001E-5</v>
      </c>
      <c r="C19" s="70">
        <f>0.016/512</f>
        <v>3.1250000000000001E-5</v>
      </c>
      <c r="D19" s="70">
        <v>300</v>
      </c>
      <c r="E19" s="74">
        <f>D11</f>
        <v>11631114.149008887</v>
      </c>
      <c r="F19" s="75">
        <f t="shared" ref="F19" si="8">E19*0.00000000016</f>
        <v>1.8609782638414217E-3</v>
      </c>
      <c r="G19" s="75">
        <f t="shared" ref="G19" si="9">D19*A19/F19</f>
        <v>1.5742728203351253E-4</v>
      </c>
      <c r="H19" s="76">
        <f t="shared" ref="H19" si="10">1/G19</f>
        <v>6352.1391405787199</v>
      </c>
      <c r="I19" s="70">
        <v>262144</v>
      </c>
      <c r="J19" s="70">
        <v>511</v>
      </c>
      <c r="K19" s="70">
        <f>J19+I19</f>
        <v>262655</v>
      </c>
      <c r="L19" s="76">
        <f t="shared" ref="L19" si="11">K19*G19</f>
        <v>41.349062762512233</v>
      </c>
      <c r="M19" s="3" t="s">
        <v>134</v>
      </c>
      <c r="Y19" s="77"/>
    </row>
    <row r="20" spans="1:31" thickBot="1" x14ac:dyDescent="0.35">
      <c r="A20" s="70"/>
      <c r="B20" s="70"/>
      <c r="C20" s="70"/>
      <c r="D20" s="70"/>
      <c r="E20" s="74"/>
      <c r="F20" s="70"/>
      <c r="G20" s="70"/>
      <c r="H20" s="76"/>
      <c r="I20" s="70"/>
      <c r="J20" s="70"/>
      <c r="K20" s="70"/>
      <c r="L20" s="76"/>
      <c r="N20" s="41" t="s">
        <v>61</v>
      </c>
      <c r="O20" s="42"/>
      <c r="P20" s="43"/>
      <c r="AB20"/>
      <c r="AC20"/>
      <c r="AD20"/>
    </row>
    <row r="21" spans="1:31" thickTop="1" x14ac:dyDescent="0.3">
      <c r="A21" s="70"/>
      <c r="B21" s="70"/>
      <c r="C21" s="70"/>
      <c r="D21" s="70"/>
      <c r="E21" s="74"/>
      <c r="F21" s="70"/>
      <c r="G21" s="70"/>
      <c r="H21" s="76"/>
      <c r="I21" s="70"/>
      <c r="J21" s="70"/>
      <c r="K21" s="70"/>
      <c r="L21" s="76"/>
      <c r="N21" s="35"/>
      <c r="O21" s="27" t="s">
        <v>62</v>
      </c>
      <c r="P21" s="44" t="s">
        <v>63</v>
      </c>
      <c r="AB21"/>
      <c r="AC21"/>
      <c r="AD21"/>
    </row>
    <row r="22" spans="1:31" ht="14.45" x14ac:dyDescent="0.3">
      <c r="A22" s="70"/>
      <c r="B22" s="70"/>
      <c r="C22" s="70"/>
      <c r="D22" s="70"/>
      <c r="E22" s="74"/>
      <c r="F22" s="70"/>
      <c r="G22" s="70"/>
      <c r="H22" s="76"/>
      <c r="I22" s="70"/>
      <c r="J22" s="70"/>
      <c r="K22" s="70"/>
      <c r="L22" s="76"/>
      <c r="N22" s="35" t="s">
        <v>64</v>
      </c>
      <c r="O22" s="110">
        <v>6</v>
      </c>
      <c r="P22" s="111">
        <v>5.86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thickBot="1" x14ac:dyDescent="0.35">
      <c r="D23"/>
      <c r="L23" s="40"/>
      <c r="N23" s="45" t="s">
        <v>65</v>
      </c>
      <c r="O23" s="112">
        <v>4.4999999999999998E-2</v>
      </c>
      <c r="P23" s="113">
        <v>0.16</v>
      </c>
      <c r="AB23"/>
      <c r="AC23"/>
      <c r="AD23"/>
    </row>
    <row r="24" spans="1:31" ht="14.45" x14ac:dyDescent="0.3">
      <c r="H24" t="s">
        <v>135</v>
      </c>
      <c r="I24" t="s">
        <v>69</v>
      </c>
      <c r="J24" t="s">
        <v>145</v>
      </c>
      <c r="L24" s="40"/>
      <c r="N24" t="s">
        <v>146</v>
      </c>
      <c r="O24" s="81">
        <f>O23*1000</f>
        <v>45</v>
      </c>
      <c r="P24" s="81">
        <f>P23*1000</f>
        <v>160</v>
      </c>
    </row>
    <row r="25" spans="1:31" ht="14.45" x14ac:dyDescent="0.3">
      <c r="A25" s="26" t="s">
        <v>136</v>
      </c>
      <c r="C25" t="s">
        <v>137</v>
      </c>
      <c r="D25" s="27" t="s">
        <v>138</v>
      </c>
      <c r="H25" s="114">
        <f>D12*1.6E-19</f>
        <v>1.8609782638414218E-12</v>
      </c>
      <c r="I25" s="115">
        <f>H25*1000000000</f>
        <v>1.8609782638414219E-3</v>
      </c>
      <c r="J25" s="115">
        <f>I25*2</f>
        <v>3.7219565276828438E-3</v>
      </c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J26" t="s">
        <v>147</v>
      </c>
      <c r="AB26"/>
      <c r="AC26"/>
      <c r="AD26"/>
    </row>
    <row r="27" spans="1:31" thickBot="1" x14ac:dyDescent="0.35">
      <c r="A27" s="26" t="s">
        <v>139</v>
      </c>
      <c r="AB27"/>
      <c r="AC27"/>
      <c r="AD27"/>
    </row>
    <row r="28" spans="1:31" thickBot="1" x14ac:dyDescent="0.35">
      <c r="A28" s="28"/>
      <c r="B28" s="116" t="s">
        <v>47</v>
      </c>
      <c r="C28" s="117" t="s">
        <v>48</v>
      </c>
      <c r="D28" s="118" t="s">
        <v>49</v>
      </c>
      <c r="E28" s="119" t="s">
        <v>50</v>
      </c>
      <c r="F28" s="119" t="s">
        <v>51</v>
      </c>
      <c r="G28" s="119" t="s">
        <v>3</v>
      </c>
      <c r="H28" s="120" t="s">
        <v>52</v>
      </c>
      <c r="I28" s="121" t="s">
        <v>53</v>
      </c>
      <c r="J28" s="122" t="s">
        <v>54</v>
      </c>
      <c r="K28" s="123" t="s">
        <v>55</v>
      </c>
      <c r="L28" s="32" t="s">
        <v>56</v>
      </c>
      <c r="M28" s="32" t="s">
        <v>57</v>
      </c>
      <c r="N28" s="32" t="s">
        <v>58</v>
      </c>
      <c r="O28" s="32" t="s">
        <v>148</v>
      </c>
      <c r="P28" s="34" t="s">
        <v>60</v>
      </c>
      <c r="R28" s="27" t="s">
        <v>142</v>
      </c>
      <c r="S28" s="27" t="s">
        <v>143</v>
      </c>
      <c r="T28" s="39" t="s">
        <v>162</v>
      </c>
      <c r="U28" s="1" t="s">
        <v>156</v>
      </c>
      <c r="AB28"/>
      <c r="AC28"/>
      <c r="AD28"/>
    </row>
    <row r="29" spans="1:31" thickTop="1" x14ac:dyDescent="0.3">
      <c r="A29" s="35">
        <v>1</v>
      </c>
      <c r="B29" s="124">
        <v>0</v>
      </c>
      <c r="C29" s="125">
        <f>$T$16</f>
        <v>-8.4</v>
      </c>
      <c r="D29" s="126">
        <f>$T$17</f>
        <v>8.5</v>
      </c>
      <c r="E29" s="37">
        <f>P29</f>
        <v>2.0677536264904685E-2</v>
      </c>
      <c r="F29">
        <f t="shared" ref="F29:F92" si="12">IF($B29,$C29,$D29)+$K29-IF($B29,$O$23/1000,$P$23/1000)</f>
        <v>8.69984</v>
      </c>
      <c r="G29">
        <v>50000</v>
      </c>
      <c r="H29">
        <f>(I29-IF(B29,$P$23,$O$23))/(IF(B29,$P$22,$O$22)-IF(B29,$P$23,$O$23))*10</f>
        <v>0</v>
      </c>
      <c r="I29" s="127">
        <f>$O$23</f>
        <v>4.4999999999999998E-2</v>
      </c>
      <c r="J29" s="128">
        <v>4000</v>
      </c>
      <c r="K29" s="129">
        <v>0.2</v>
      </c>
      <c r="L29">
        <f>I29*0.001*K29</f>
        <v>9.0000000000000002E-6</v>
      </c>
      <c r="M29">
        <f>L29*J29*(0.000000001)/(1.6E-19)</f>
        <v>225000000.00000003</v>
      </c>
      <c r="N29" s="27">
        <f>MAX($D$3:$D$15)*2</f>
        <v>23262228.298017774</v>
      </c>
      <c r="O29" s="40">
        <f>M29/N29</f>
        <v>9.6723322081390108</v>
      </c>
      <c r="P29" s="37">
        <f>K29/O29</f>
        <v>2.0677536264904685E-2</v>
      </c>
      <c r="R29" s="83">
        <f>SUM(O29:O198)</f>
        <v>1289.6442944185324</v>
      </c>
      <c r="S29" s="81">
        <f>R29/60</f>
        <v>21.494071573642206</v>
      </c>
      <c r="T29" s="39">
        <f>P29*1000</f>
        <v>20.677536264904685</v>
      </c>
      <c r="U29" s="149">
        <f>N29/T29</f>
        <v>1125000.0000000002</v>
      </c>
      <c r="AB29"/>
      <c r="AC29"/>
      <c r="AD29"/>
    </row>
    <row r="30" spans="1:31" ht="14.45" x14ac:dyDescent="0.3">
      <c r="A30" s="35">
        <f t="shared" ref="A30:A31" si="13">A29+1</f>
        <v>2</v>
      </c>
      <c r="B30" s="124">
        <v>0</v>
      </c>
      <c r="C30" s="125">
        <f>C29+0.001</f>
        <v>-8.3990000000000009</v>
      </c>
      <c r="D30" s="126">
        <f>D29</f>
        <v>8.5</v>
      </c>
      <c r="E30" s="37">
        <f t="shared" ref="E30" si="14">P30</f>
        <v>2.0677536264904685E-2</v>
      </c>
      <c r="F30">
        <f t="shared" si="12"/>
        <v>8.69984</v>
      </c>
      <c r="G30">
        <v>50000</v>
      </c>
      <c r="H30">
        <f t="shared" ref="H30:H93" si="15">(I30-IF(B30,$P$23,$O$23))/(IF(B30,$P$22,$O$22)-IF(B30,$P$23,$O$23))*10</f>
        <v>0</v>
      </c>
      <c r="I30" s="127">
        <f t="shared" ref="I30:I93" si="16">$O$23</f>
        <v>4.4999999999999998E-2</v>
      </c>
      <c r="J30" s="128">
        <v>4000</v>
      </c>
      <c r="K30" s="129">
        <v>0.2</v>
      </c>
      <c r="L30">
        <f t="shared" ref="L30" si="17">I30*0.001*K30</f>
        <v>9.0000000000000002E-6</v>
      </c>
      <c r="M30">
        <f t="shared" ref="M30" si="18">L30*J30*(0.000000001)/(1.6E-19)</f>
        <v>225000000.00000003</v>
      </c>
      <c r="N30" s="27">
        <f>N29</f>
        <v>23262228.298017774</v>
      </c>
      <c r="O30" s="40">
        <f>M30/N30</f>
        <v>9.6723322081390108</v>
      </c>
      <c r="P30" s="37">
        <f t="shared" ref="P30" si="19">K30/O30</f>
        <v>2.0677536264904685E-2</v>
      </c>
      <c r="T30" s="39">
        <f t="shared" ref="T30:T93" si="20">P30*1000</f>
        <v>20.677536264904685</v>
      </c>
      <c r="U30" s="149">
        <f t="shared" ref="U30:U93" si="21">N30/T30</f>
        <v>1125000.0000000002</v>
      </c>
      <c r="AB30"/>
      <c r="AC30"/>
      <c r="AD30"/>
    </row>
    <row r="31" spans="1:31" ht="14.45" x14ac:dyDescent="0.3">
      <c r="A31" s="35">
        <f t="shared" si="13"/>
        <v>3</v>
      </c>
      <c r="B31" s="124">
        <v>0</v>
      </c>
      <c r="C31" s="125">
        <f>C30+0.001</f>
        <v>-8.3980000000000015</v>
      </c>
      <c r="D31" s="126">
        <f t="shared" ref="D31:D94" si="22">D30</f>
        <v>8.5</v>
      </c>
      <c r="E31" s="37">
        <f>P31</f>
        <v>2.0677536264904685E-2</v>
      </c>
      <c r="F31">
        <f t="shared" si="12"/>
        <v>8.69984</v>
      </c>
      <c r="G31">
        <v>50000</v>
      </c>
      <c r="H31">
        <f t="shared" si="15"/>
        <v>0</v>
      </c>
      <c r="I31" s="127">
        <f t="shared" si="16"/>
        <v>4.4999999999999998E-2</v>
      </c>
      <c r="J31" s="128">
        <v>4000</v>
      </c>
      <c r="K31" s="129">
        <v>0.2</v>
      </c>
      <c r="L31">
        <f>I31*0.001*K31</f>
        <v>9.0000000000000002E-6</v>
      </c>
      <c r="M31">
        <f>L31*J31*(0.000000001)/(1.6E-19)</f>
        <v>225000000.00000003</v>
      </c>
      <c r="N31" s="27">
        <f>N30</f>
        <v>23262228.298017774</v>
      </c>
      <c r="O31" s="40">
        <f>M31/N31</f>
        <v>9.6723322081390108</v>
      </c>
      <c r="P31" s="37">
        <f>K31/O31</f>
        <v>2.0677536264904685E-2</v>
      </c>
      <c r="R31" s="40"/>
      <c r="T31" s="39">
        <f t="shared" si="20"/>
        <v>20.677536264904685</v>
      </c>
      <c r="U31" s="149">
        <f t="shared" si="21"/>
        <v>1125000.0000000002</v>
      </c>
      <c r="AB31"/>
      <c r="AC31"/>
      <c r="AD31"/>
    </row>
    <row r="32" spans="1:31" ht="14.45" x14ac:dyDescent="0.3">
      <c r="A32" s="35">
        <f>A31+1</f>
        <v>4</v>
      </c>
      <c r="B32" s="124">
        <v>0</v>
      </c>
      <c r="C32" s="125">
        <f t="shared" ref="C32:C95" si="23">C31+0.001</f>
        <v>-8.397000000000002</v>
      </c>
      <c r="D32" s="126">
        <f t="shared" si="22"/>
        <v>8.5</v>
      </c>
      <c r="E32" s="37">
        <f t="shared" ref="E32:E33" si="24">P32</f>
        <v>2.0677536264904685E-2</v>
      </c>
      <c r="F32">
        <f t="shared" si="12"/>
        <v>8.69984</v>
      </c>
      <c r="G32">
        <v>50000</v>
      </c>
      <c r="H32">
        <f t="shared" si="15"/>
        <v>0</v>
      </c>
      <c r="I32" s="127">
        <f t="shared" si="16"/>
        <v>4.4999999999999998E-2</v>
      </c>
      <c r="J32" s="128">
        <v>4000</v>
      </c>
      <c r="K32" s="129">
        <v>0.2</v>
      </c>
      <c r="L32">
        <f t="shared" ref="L32:L33" si="25">I32*0.001*K32</f>
        <v>9.0000000000000002E-6</v>
      </c>
      <c r="M32">
        <f t="shared" ref="M32:M33" si="26">L32*J32*(0.000000001)/(1.6E-19)</f>
        <v>225000000.00000003</v>
      </c>
      <c r="N32" s="27">
        <f>N31</f>
        <v>23262228.298017774</v>
      </c>
      <c r="O32" s="40">
        <f t="shared" ref="O32:O33" si="27">M32/N32</f>
        <v>9.6723322081390108</v>
      </c>
      <c r="P32" s="37">
        <f t="shared" ref="P32:P33" si="28">K32/O32</f>
        <v>2.0677536264904685E-2</v>
      </c>
      <c r="T32" s="39">
        <f t="shared" si="20"/>
        <v>20.677536264904685</v>
      </c>
      <c r="U32" s="149">
        <f t="shared" si="21"/>
        <v>1125000.0000000002</v>
      </c>
      <c r="AB32"/>
      <c r="AC32"/>
      <c r="AD32"/>
    </row>
    <row r="33" spans="1:30" ht="14.45" x14ac:dyDescent="0.3">
      <c r="A33" s="35">
        <f t="shared" ref="A33:A36" si="29">A32+1</f>
        <v>5</v>
      </c>
      <c r="B33" s="124">
        <v>0</v>
      </c>
      <c r="C33" s="125">
        <f t="shared" si="23"/>
        <v>-8.3960000000000026</v>
      </c>
      <c r="D33" s="126">
        <f t="shared" si="22"/>
        <v>8.5</v>
      </c>
      <c r="E33" s="37">
        <f t="shared" si="24"/>
        <v>2.0677536264904685E-2</v>
      </c>
      <c r="F33">
        <f t="shared" si="12"/>
        <v>8.69984</v>
      </c>
      <c r="G33">
        <v>50000</v>
      </c>
      <c r="H33">
        <f t="shared" si="15"/>
        <v>0</v>
      </c>
      <c r="I33" s="127">
        <f t="shared" si="16"/>
        <v>4.4999999999999998E-2</v>
      </c>
      <c r="J33" s="128">
        <v>4000</v>
      </c>
      <c r="K33" s="129">
        <v>0.2</v>
      </c>
      <c r="L33">
        <f t="shared" si="25"/>
        <v>9.0000000000000002E-6</v>
      </c>
      <c r="M33">
        <f t="shared" si="26"/>
        <v>225000000.00000003</v>
      </c>
      <c r="N33" s="27">
        <f t="shared" ref="N33:N34" si="30">N32</f>
        <v>23262228.298017774</v>
      </c>
      <c r="O33" s="40">
        <f t="shared" si="27"/>
        <v>9.6723322081390108</v>
      </c>
      <c r="P33" s="37">
        <f t="shared" si="28"/>
        <v>2.0677536264904685E-2</v>
      </c>
      <c r="R33" s="40"/>
      <c r="T33" s="39">
        <f t="shared" si="20"/>
        <v>20.677536264904685</v>
      </c>
      <c r="U33" s="149">
        <f t="shared" si="21"/>
        <v>1125000.0000000002</v>
      </c>
      <c r="AB33"/>
      <c r="AC33"/>
      <c r="AD33"/>
    </row>
    <row r="34" spans="1:30" ht="14.45" x14ac:dyDescent="0.3">
      <c r="A34" s="35">
        <f t="shared" si="29"/>
        <v>6</v>
      </c>
      <c r="B34" s="124">
        <v>0</v>
      </c>
      <c r="C34" s="125">
        <f t="shared" si="23"/>
        <v>-8.3950000000000031</v>
      </c>
      <c r="D34" s="126">
        <f t="shared" si="22"/>
        <v>8.5</v>
      </c>
      <c r="E34" s="37">
        <f>P34</f>
        <v>2.0677536264904685E-2</v>
      </c>
      <c r="F34">
        <f t="shared" si="12"/>
        <v>8.69984</v>
      </c>
      <c r="G34">
        <v>50000</v>
      </c>
      <c r="H34">
        <f t="shared" si="15"/>
        <v>0</v>
      </c>
      <c r="I34" s="127">
        <f t="shared" si="16"/>
        <v>4.4999999999999998E-2</v>
      </c>
      <c r="J34" s="128">
        <v>4000</v>
      </c>
      <c r="K34" s="129">
        <v>0.2</v>
      </c>
      <c r="L34">
        <f>I34*0.001*K34</f>
        <v>9.0000000000000002E-6</v>
      </c>
      <c r="M34">
        <f>L34*J34*(0.000000001)/(1.6E-19)</f>
        <v>225000000.00000003</v>
      </c>
      <c r="N34" s="27">
        <f t="shared" si="30"/>
        <v>23262228.298017774</v>
      </c>
      <c r="O34" s="40">
        <f>M34/N34</f>
        <v>9.6723322081390108</v>
      </c>
      <c r="P34" s="37">
        <f>K34/O34</f>
        <v>2.0677536264904685E-2</v>
      </c>
      <c r="R34" s="40"/>
      <c r="T34" s="39">
        <f t="shared" si="20"/>
        <v>20.677536264904685</v>
      </c>
      <c r="U34" s="149">
        <f t="shared" si="21"/>
        <v>1125000.0000000002</v>
      </c>
      <c r="AB34"/>
      <c r="AC34"/>
      <c r="AD34"/>
    </row>
    <row r="35" spans="1:30" ht="14.45" x14ac:dyDescent="0.3">
      <c r="A35" s="35">
        <f t="shared" si="29"/>
        <v>7</v>
      </c>
      <c r="B35" s="124">
        <v>0</v>
      </c>
      <c r="C35" s="125">
        <f t="shared" si="23"/>
        <v>-8.3940000000000037</v>
      </c>
      <c r="D35" s="126">
        <f t="shared" si="22"/>
        <v>8.5</v>
      </c>
      <c r="E35" s="37">
        <f t="shared" ref="E35" si="31">P35</f>
        <v>2.0677536264904685E-2</v>
      </c>
      <c r="F35">
        <f t="shared" si="12"/>
        <v>8.69984</v>
      </c>
      <c r="G35">
        <v>50000</v>
      </c>
      <c r="H35">
        <f t="shared" si="15"/>
        <v>0</v>
      </c>
      <c r="I35" s="127">
        <f t="shared" si="16"/>
        <v>4.4999999999999998E-2</v>
      </c>
      <c r="J35" s="128">
        <v>4000</v>
      </c>
      <c r="K35" s="129">
        <v>0.2</v>
      </c>
      <c r="L35">
        <f t="shared" ref="L35" si="32">I35*0.001*K35</f>
        <v>9.0000000000000002E-6</v>
      </c>
      <c r="M35">
        <f t="shared" ref="M35" si="33">L35*J35*(0.000000001)/(1.6E-19)</f>
        <v>225000000.00000003</v>
      </c>
      <c r="N35" s="27">
        <f>N34</f>
        <v>23262228.298017774</v>
      </c>
      <c r="O35" s="40">
        <f t="shared" ref="O35" si="34">M35/N35</f>
        <v>9.6723322081390108</v>
      </c>
      <c r="P35" s="37">
        <f t="shared" ref="P35" si="35">K35/O35</f>
        <v>2.0677536264904685E-2</v>
      </c>
      <c r="T35" s="39">
        <f t="shared" si="20"/>
        <v>20.677536264904685</v>
      </c>
      <c r="U35" s="149">
        <f t="shared" si="21"/>
        <v>1125000.0000000002</v>
      </c>
      <c r="AB35"/>
      <c r="AC35"/>
      <c r="AD35"/>
    </row>
    <row r="36" spans="1:30" ht="14.45" x14ac:dyDescent="0.3">
      <c r="A36" s="35">
        <f t="shared" si="29"/>
        <v>8</v>
      </c>
      <c r="B36" s="124">
        <v>0</v>
      </c>
      <c r="C36" s="125">
        <f t="shared" si="23"/>
        <v>-8.3930000000000042</v>
      </c>
      <c r="D36" s="126">
        <f t="shared" si="22"/>
        <v>8.5</v>
      </c>
      <c r="E36" s="37">
        <f>P36</f>
        <v>2.0677536264904685E-2</v>
      </c>
      <c r="F36">
        <f t="shared" si="12"/>
        <v>8.69984</v>
      </c>
      <c r="G36">
        <v>50000</v>
      </c>
      <c r="H36">
        <f t="shared" si="15"/>
        <v>0</v>
      </c>
      <c r="I36" s="127">
        <f t="shared" si="16"/>
        <v>4.4999999999999998E-2</v>
      </c>
      <c r="J36" s="128">
        <v>4000</v>
      </c>
      <c r="K36" s="129">
        <v>0.2</v>
      </c>
      <c r="L36">
        <f>I36*0.001*K36</f>
        <v>9.0000000000000002E-6</v>
      </c>
      <c r="M36">
        <f>L36*J36*(0.000000001)/(1.6E-19)</f>
        <v>225000000.00000003</v>
      </c>
      <c r="N36" s="27">
        <f>N35</f>
        <v>23262228.298017774</v>
      </c>
      <c r="O36" s="40">
        <f>M36/N36</f>
        <v>9.6723322081390108</v>
      </c>
      <c r="P36" s="37">
        <f>K36/O36</f>
        <v>2.0677536264904685E-2</v>
      </c>
      <c r="R36" s="40"/>
      <c r="T36" s="39">
        <f t="shared" si="20"/>
        <v>20.677536264904685</v>
      </c>
      <c r="U36" s="149">
        <f t="shared" si="21"/>
        <v>1125000.0000000002</v>
      </c>
      <c r="AB36"/>
      <c r="AC36"/>
      <c r="AD36"/>
    </row>
    <row r="37" spans="1:30" ht="14.45" x14ac:dyDescent="0.3">
      <c r="A37" s="35">
        <f>A36+1</f>
        <v>9</v>
      </c>
      <c r="B37" s="124">
        <v>0</v>
      </c>
      <c r="C37" s="125">
        <f t="shared" si="23"/>
        <v>-8.3920000000000048</v>
      </c>
      <c r="D37" s="126">
        <f t="shared" si="22"/>
        <v>8.5</v>
      </c>
      <c r="E37" s="37">
        <f t="shared" ref="E37:E38" si="36">P37</f>
        <v>2.0677536264904685E-2</v>
      </c>
      <c r="F37">
        <f t="shared" si="12"/>
        <v>8.69984</v>
      </c>
      <c r="G37">
        <v>50000</v>
      </c>
      <c r="H37">
        <f t="shared" si="15"/>
        <v>0</v>
      </c>
      <c r="I37" s="127">
        <f t="shared" si="16"/>
        <v>4.4999999999999998E-2</v>
      </c>
      <c r="J37" s="128">
        <v>4000</v>
      </c>
      <c r="K37" s="129">
        <v>0.2</v>
      </c>
      <c r="L37">
        <f t="shared" ref="L37:L38" si="37">I37*0.001*K37</f>
        <v>9.0000000000000002E-6</v>
      </c>
      <c r="M37">
        <f t="shared" ref="M37:M38" si="38">L37*J37*(0.000000001)/(1.6E-19)</f>
        <v>225000000.00000003</v>
      </c>
      <c r="N37" s="27">
        <f>N36</f>
        <v>23262228.298017774</v>
      </c>
      <c r="O37" s="40">
        <f t="shared" ref="O37:O38" si="39">M37/N37</f>
        <v>9.6723322081390108</v>
      </c>
      <c r="P37" s="37">
        <f t="shared" ref="P37:P38" si="40">K37/O37</f>
        <v>2.0677536264904685E-2</v>
      </c>
      <c r="T37" s="39">
        <f t="shared" si="20"/>
        <v>20.677536264904685</v>
      </c>
      <c r="U37" s="149">
        <f t="shared" si="21"/>
        <v>1125000.0000000002</v>
      </c>
      <c r="AB37"/>
      <c r="AC37"/>
      <c r="AD37"/>
    </row>
    <row r="38" spans="1:30" ht="14.45" x14ac:dyDescent="0.3">
      <c r="A38" s="35">
        <f t="shared" ref="A38:A101" si="41">A37+1</f>
        <v>10</v>
      </c>
      <c r="B38" s="124">
        <v>0</v>
      </c>
      <c r="C38" s="125">
        <f t="shared" si="23"/>
        <v>-8.3910000000000053</v>
      </c>
      <c r="D38" s="126">
        <f t="shared" si="22"/>
        <v>8.5</v>
      </c>
      <c r="E38" s="37">
        <f t="shared" si="36"/>
        <v>2.0677536264904685E-2</v>
      </c>
      <c r="F38">
        <f t="shared" si="12"/>
        <v>8.69984</v>
      </c>
      <c r="G38">
        <v>50000</v>
      </c>
      <c r="H38">
        <f t="shared" si="15"/>
        <v>0</v>
      </c>
      <c r="I38" s="127">
        <f t="shared" si="16"/>
        <v>4.4999999999999998E-2</v>
      </c>
      <c r="J38" s="128">
        <v>4000</v>
      </c>
      <c r="K38" s="129">
        <v>0.2</v>
      </c>
      <c r="L38">
        <f t="shared" si="37"/>
        <v>9.0000000000000002E-6</v>
      </c>
      <c r="M38">
        <f t="shared" si="38"/>
        <v>225000000.00000003</v>
      </c>
      <c r="N38" s="27">
        <f t="shared" ref="N38:N39" si="42">N37</f>
        <v>23262228.298017774</v>
      </c>
      <c r="O38" s="40">
        <f t="shared" si="39"/>
        <v>9.6723322081390108</v>
      </c>
      <c r="P38" s="37">
        <f t="shared" si="40"/>
        <v>2.0677536264904685E-2</v>
      </c>
      <c r="R38" s="40"/>
      <c r="T38" s="39">
        <f t="shared" si="20"/>
        <v>20.677536264904685</v>
      </c>
      <c r="U38" s="149">
        <f t="shared" si="21"/>
        <v>1125000.0000000002</v>
      </c>
      <c r="AB38"/>
      <c r="AC38"/>
      <c r="AD38"/>
    </row>
    <row r="39" spans="1:30" ht="14.45" x14ac:dyDescent="0.3">
      <c r="A39" s="35">
        <f t="shared" si="41"/>
        <v>11</v>
      </c>
      <c r="B39" s="124">
        <v>0</v>
      </c>
      <c r="C39" s="125">
        <f t="shared" si="23"/>
        <v>-8.3900000000000059</v>
      </c>
      <c r="D39" s="126">
        <f t="shared" si="22"/>
        <v>8.5</v>
      </c>
      <c r="E39" s="37">
        <f>P39</f>
        <v>2.0677536264904685E-2</v>
      </c>
      <c r="F39">
        <f t="shared" si="12"/>
        <v>8.69984</v>
      </c>
      <c r="G39">
        <v>50000</v>
      </c>
      <c r="H39">
        <f t="shared" si="15"/>
        <v>0</v>
      </c>
      <c r="I39" s="127">
        <f t="shared" si="16"/>
        <v>4.4999999999999998E-2</v>
      </c>
      <c r="J39" s="128">
        <v>4000</v>
      </c>
      <c r="K39" s="129">
        <v>0.2</v>
      </c>
      <c r="L39">
        <f>I39*0.001*K39</f>
        <v>9.0000000000000002E-6</v>
      </c>
      <c r="M39">
        <f>L39*J39*(0.000000001)/(1.6E-19)</f>
        <v>225000000.00000003</v>
      </c>
      <c r="N39" s="27">
        <f t="shared" si="42"/>
        <v>23262228.298017774</v>
      </c>
      <c r="O39" s="40">
        <f>M39/N39</f>
        <v>9.6723322081390108</v>
      </c>
      <c r="P39" s="37">
        <f>K39/O39</f>
        <v>2.0677536264904685E-2</v>
      </c>
      <c r="R39" s="40"/>
      <c r="T39" s="39">
        <f t="shared" si="20"/>
        <v>20.677536264904685</v>
      </c>
      <c r="U39" s="149">
        <f t="shared" si="21"/>
        <v>1125000.0000000002</v>
      </c>
      <c r="AB39"/>
      <c r="AC39"/>
      <c r="AD39"/>
    </row>
    <row r="40" spans="1:30" ht="14.45" x14ac:dyDescent="0.3">
      <c r="A40" s="35">
        <f t="shared" si="41"/>
        <v>12</v>
      </c>
      <c r="B40" s="124">
        <v>0</v>
      </c>
      <c r="C40" s="125">
        <f t="shared" si="23"/>
        <v>-8.3890000000000065</v>
      </c>
      <c r="D40" s="126">
        <f t="shared" si="22"/>
        <v>8.5</v>
      </c>
      <c r="E40" s="37">
        <f t="shared" ref="E40" si="43">P40</f>
        <v>2.0677536264904685E-2</v>
      </c>
      <c r="F40">
        <f t="shared" si="12"/>
        <v>8.69984</v>
      </c>
      <c r="G40">
        <v>50000</v>
      </c>
      <c r="H40">
        <f t="shared" si="15"/>
        <v>0</v>
      </c>
      <c r="I40" s="127">
        <f t="shared" si="16"/>
        <v>4.4999999999999998E-2</v>
      </c>
      <c r="J40" s="128">
        <v>4000</v>
      </c>
      <c r="K40" s="129">
        <v>0.2</v>
      </c>
      <c r="L40">
        <f t="shared" ref="L40" si="44">I40*0.001*K40</f>
        <v>9.0000000000000002E-6</v>
      </c>
      <c r="M40">
        <f t="shared" ref="M40" si="45">L40*J40*(0.000000001)/(1.6E-19)</f>
        <v>225000000.00000003</v>
      </c>
      <c r="N40" s="27">
        <f>N39</f>
        <v>23262228.298017774</v>
      </c>
      <c r="O40" s="40">
        <f t="shared" ref="O40" si="46">M40/N40</f>
        <v>9.6723322081390108</v>
      </c>
      <c r="P40" s="37">
        <f t="shared" ref="P40" si="47">K40/O40</f>
        <v>2.0677536264904685E-2</v>
      </c>
      <c r="T40" s="39">
        <f t="shared" si="20"/>
        <v>20.677536264904685</v>
      </c>
      <c r="U40" s="149">
        <f t="shared" si="21"/>
        <v>1125000.0000000002</v>
      </c>
      <c r="AB40"/>
      <c r="AC40"/>
      <c r="AD40"/>
    </row>
    <row r="41" spans="1:30" ht="14.45" x14ac:dyDescent="0.3">
      <c r="A41" s="35">
        <f t="shared" si="41"/>
        <v>13</v>
      </c>
      <c r="B41" s="124">
        <v>0</v>
      </c>
      <c r="C41" s="125">
        <f t="shared" si="23"/>
        <v>-8.388000000000007</v>
      </c>
      <c r="D41" s="126">
        <f t="shared" si="22"/>
        <v>8.5</v>
      </c>
      <c r="E41" s="37">
        <f>P41</f>
        <v>2.0677536264904685E-2</v>
      </c>
      <c r="F41">
        <f t="shared" si="12"/>
        <v>8.69984</v>
      </c>
      <c r="G41">
        <v>50000</v>
      </c>
      <c r="H41">
        <f t="shared" si="15"/>
        <v>0</v>
      </c>
      <c r="I41" s="127">
        <f t="shared" si="16"/>
        <v>4.4999999999999998E-2</v>
      </c>
      <c r="J41" s="128">
        <v>4000</v>
      </c>
      <c r="K41" s="129">
        <v>0.2</v>
      </c>
      <c r="L41">
        <f>I41*0.001*K41</f>
        <v>9.0000000000000002E-6</v>
      </c>
      <c r="M41">
        <f>L41*J41*(0.000000001)/(1.6E-19)</f>
        <v>225000000.00000003</v>
      </c>
      <c r="N41" s="27">
        <f>N40</f>
        <v>23262228.298017774</v>
      </c>
      <c r="O41" s="40">
        <f>M41/N41</f>
        <v>9.6723322081390108</v>
      </c>
      <c r="P41" s="37">
        <f>K41/O41</f>
        <v>2.0677536264904685E-2</v>
      </c>
      <c r="R41" s="40"/>
      <c r="T41" s="39">
        <f t="shared" si="20"/>
        <v>20.677536264904685</v>
      </c>
      <c r="U41" s="149">
        <f t="shared" si="21"/>
        <v>1125000.0000000002</v>
      </c>
      <c r="AB41"/>
      <c r="AC41"/>
      <c r="AD41"/>
    </row>
    <row r="42" spans="1:30" ht="14.45" x14ac:dyDescent="0.3">
      <c r="A42" s="35">
        <f>A41+1</f>
        <v>14</v>
      </c>
      <c r="B42" s="124">
        <v>0</v>
      </c>
      <c r="C42" s="125">
        <f t="shared" si="23"/>
        <v>-8.3870000000000076</v>
      </c>
      <c r="D42" s="126">
        <f t="shared" si="22"/>
        <v>8.5</v>
      </c>
      <c r="E42" s="37">
        <f t="shared" ref="E42:E43" si="48">P42</f>
        <v>2.0677536264904685E-2</v>
      </c>
      <c r="F42">
        <f t="shared" si="12"/>
        <v>8.69984</v>
      </c>
      <c r="G42">
        <v>50000</v>
      </c>
      <c r="H42">
        <f t="shared" si="15"/>
        <v>0</v>
      </c>
      <c r="I42" s="127">
        <f t="shared" si="16"/>
        <v>4.4999999999999998E-2</v>
      </c>
      <c r="J42" s="128">
        <v>4000</v>
      </c>
      <c r="K42" s="129">
        <v>0.2</v>
      </c>
      <c r="L42">
        <f t="shared" ref="L42:L43" si="49">I42*0.001*K42</f>
        <v>9.0000000000000002E-6</v>
      </c>
      <c r="M42">
        <f t="shared" ref="M42:M43" si="50">L42*J42*(0.000000001)/(1.6E-19)</f>
        <v>225000000.00000003</v>
      </c>
      <c r="N42" s="27">
        <f>N41</f>
        <v>23262228.298017774</v>
      </c>
      <c r="O42" s="40">
        <f t="shared" ref="O42:O43" si="51">M42/N42</f>
        <v>9.6723322081390108</v>
      </c>
      <c r="P42" s="37">
        <f t="shared" ref="P42:P43" si="52">K42/O42</f>
        <v>2.0677536264904685E-2</v>
      </c>
      <c r="T42" s="39">
        <f t="shared" si="20"/>
        <v>20.677536264904685</v>
      </c>
      <c r="U42" s="149">
        <f t="shared" si="21"/>
        <v>1125000.0000000002</v>
      </c>
      <c r="AB42"/>
      <c r="AC42"/>
      <c r="AD42"/>
    </row>
    <row r="43" spans="1:30" ht="14.45" x14ac:dyDescent="0.3">
      <c r="A43" s="35">
        <f t="shared" si="41"/>
        <v>15</v>
      </c>
      <c r="B43" s="124">
        <v>0</v>
      </c>
      <c r="C43" s="125">
        <f t="shared" si="23"/>
        <v>-8.3860000000000081</v>
      </c>
      <c r="D43" s="126">
        <f t="shared" si="22"/>
        <v>8.5</v>
      </c>
      <c r="E43" s="37">
        <f t="shared" si="48"/>
        <v>2.0677536264904685E-2</v>
      </c>
      <c r="F43">
        <f t="shared" si="12"/>
        <v>8.69984</v>
      </c>
      <c r="G43">
        <v>50000</v>
      </c>
      <c r="H43">
        <f t="shared" si="15"/>
        <v>0</v>
      </c>
      <c r="I43" s="127">
        <f t="shared" si="16"/>
        <v>4.4999999999999998E-2</v>
      </c>
      <c r="J43" s="128">
        <v>4000</v>
      </c>
      <c r="K43" s="129">
        <v>0.2</v>
      </c>
      <c r="L43">
        <f t="shared" si="49"/>
        <v>9.0000000000000002E-6</v>
      </c>
      <c r="M43">
        <f t="shared" si="50"/>
        <v>225000000.00000003</v>
      </c>
      <c r="N43" s="27">
        <f t="shared" ref="N43:N44" si="53">N42</f>
        <v>23262228.298017774</v>
      </c>
      <c r="O43" s="40">
        <f t="shared" si="51"/>
        <v>9.6723322081390108</v>
      </c>
      <c r="P43" s="37">
        <f t="shared" si="52"/>
        <v>2.0677536264904685E-2</v>
      </c>
      <c r="R43" s="40"/>
      <c r="T43" s="39">
        <f t="shared" si="20"/>
        <v>20.677536264904685</v>
      </c>
      <c r="U43" s="149">
        <f t="shared" si="21"/>
        <v>1125000.0000000002</v>
      </c>
      <c r="AB43"/>
      <c r="AC43"/>
      <c r="AD43"/>
    </row>
    <row r="44" spans="1:30" ht="14.45" x14ac:dyDescent="0.3">
      <c r="A44" s="35">
        <f t="shared" si="41"/>
        <v>16</v>
      </c>
      <c r="B44" s="124">
        <v>0</v>
      </c>
      <c r="C44" s="125">
        <f t="shared" si="23"/>
        <v>-8.3850000000000087</v>
      </c>
      <c r="D44" s="126">
        <f t="shared" si="22"/>
        <v>8.5</v>
      </c>
      <c r="E44" s="37">
        <f>P44</f>
        <v>2.0677536264904685E-2</v>
      </c>
      <c r="F44">
        <f t="shared" si="12"/>
        <v>8.69984</v>
      </c>
      <c r="G44">
        <v>50000</v>
      </c>
      <c r="H44">
        <f t="shared" si="15"/>
        <v>0</v>
      </c>
      <c r="I44" s="127">
        <f t="shared" si="16"/>
        <v>4.4999999999999998E-2</v>
      </c>
      <c r="J44" s="128">
        <v>4000</v>
      </c>
      <c r="K44" s="129">
        <v>0.2</v>
      </c>
      <c r="L44">
        <f>I44*0.001*K44</f>
        <v>9.0000000000000002E-6</v>
      </c>
      <c r="M44">
        <f>L44*J44*(0.000000001)/(1.6E-19)</f>
        <v>225000000.00000003</v>
      </c>
      <c r="N44" s="27">
        <f t="shared" si="53"/>
        <v>23262228.298017774</v>
      </c>
      <c r="O44" s="40">
        <f>M44/N44</f>
        <v>9.6723322081390108</v>
      </c>
      <c r="P44" s="37">
        <f>K44/O44</f>
        <v>2.0677536264904685E-2</v>
      </c>
      <c r="R44" s="40"/>
      <c r="T44" s="39">
        <f t="shared" si="20"/>
        <v>20.677536264904685</v>
      </c>
      <c r="U44" s="149">
        <f t="shared" si="21"/>
        <v>1125000.0000000002</v>
      </c>
      <c r="AB44"/>
      <c r="AC44"/>
      <c r="AD44"/>
    </row>
    <row r="45" spans="1:30" ht="14.45" x14ac:dyDescent="0.3">
      <c r="A45" s="35">
        <f t="shared" si="41"/>
        <v>17</v>
      </c>
      <c r="B45" s="124">
        <v>0</v>
      </c>
      <c r="C45" s="125">
        <f t="shared" si="23"/>
        <v>-8.3840000000000092</v>
      </c>
      <c r="D45" s="126">
        <f t="shared" si="22"/>
        <v>8.5</v>
      </c>
      <c r="E45" s="37">
        <f t="shared" ref="E45" si="54">P45</f>
        <v>2.0677536264904685E-2</v>
      </c>
      <c r="F45">
        <f t="shared" si="12"/>
        <v>8.69984</v>
      </c>
      <c r="G45">
        <v>50000</v>
      </c>
      <c r="H45">
        <f t="shared" si="15"/>
        <v>0</v>
      </c>
      <c r="I45" s="127">
        <f t="shared" si="16"/>
        <v>4.4999999999999998E-2</v>
      </c>
      <c r="J45" s="128">
        <v>4000</v>
      </c>
      <c r="K45" s="129">
        <v>0.2</v>
      </c>
      <c r="L45">
        <f t="shared" ref="L45" si="55">I45*0.001*K45</f>
        <v>9.0000000000000002E-6</v>
      </c>
      <c r="M45">
        <f t="shared" ref="M45" si="56">L45*J45*(0.000000001)/(1.6E-19)</f>
        <v>225000000.00000003</v>
      </c>
      <c r="N45" s="27">
        <f>N44</f>
        <v>23262228.298017774</v>
      </c>
      <c r="O45" s="40">
        <f t="shared" ref="O45" si="57">M45/N45</f>
        <v>9.6723322081390108</v>
      </c>
      <c r="P45" s="37">
        <f t="shared" ref="P45" si="58">K45/O45</f>
        <v>2.0677536264904685E-2</v>
      </c>
      <c r="T45" s="39">
        <f t="shared" si="20"/>
        <v>20.677536264904685</v>
      </c>
      <c r="U45" s="149">
        <f t="shared" si="21"/>
        <v>1125000.0000000002</v>
      </c>
      <c r="AB45"/>
      <c r="AC45"/>
      <c r="AD45"/>
    </row>
    <row r="46" spans="1:30" ht="14.45" x14ac:dyDescent="0.3">
      <c r="A46" s="35">
        <f t="shared" si="41"/>
        <v>18</v>
      </c>
      <c r="B46" s="124">
        <v>0</v>
      </c>
      <c r="C46" s="125">
        <f t="shared" si="23"/>
        <v>-8.3830000000000098</v>
      </c>
      <c r="D46" s="126">
        <f t="shared" si="22"/>
        <v>8.5</v>
      </c>
      <c r="E46" s="37">
        <f>P46</f>
        <v>2.0677536264904685E-2</v>
      </c>
      <c r="F46">
        <f t="shared" si="12"/>
        <v>8.69984</v>
      </c>
      <c r="G46">
        <v>50000</v>
      </c>
      <c r="H46">
        <f t="shared" si="15"/>
        <v>0</v>
      </c>
      <c r="I46" s="127">
        <f t="shared" si="16"/>
        <v>4.4999999999999998E-2</v>
      </c>
      <c r="J46" s="128">
        <v>4000</v>
      </c>
      <c r="K46" s="129">
        <v>0.2</v>
      </c>
      <c r="L46">
        <f>I46*0.001*K46</f>
        <v>9.0000000000000002E-6</v>
      </c>
      <c r="M46">
        <f>L46*J46*(0.000000001)/(1.6E-19)</f>
        <v>225000000.00000003</v>
      </c>
      <c r="N46" s="27">
        <f>N45</f>
        <v>23262228.298017774</v>
      </c>
      <c r="O46" s="40">
        <f>M46/N46</f>
        <v>9.6723322081390108</v>
      </c>
      <c r="P46" s="37">
        <f>K46/O46</f>
        <v>2.0677536264904685E-2</v>
      </c>
      <c r="R46" s="40"/>
      <c r="T46" s="39">
        <f t="shared" si="20"/>
        <v>20.677536264904685</v>
      </c>
      <c r="U46" s="149">
        <f t="shared" si="21"/>
        <v>1125000.0000000002</v>
      </c>
      <c r="AB46"/>
      <c r="AC46"/>
      <c r="AD46"/>
    </row>
    <row r="47" spans="1:30" ht="14.45" x14ac:dyDescent="0.3">
      <c r="A47" s="35">
        <f>A46+1</f>
        <v>19</v>
      </c>
      <c r="B47" s="124">
        <v>0</v>
      </c>
      <c r="C47" s="125">
        <f t="shared" si="23"/>
        <v>-8.3820000000000103</v>
      </c>
      <c r="D47" s="126">
        <f t="shared" si="22"/>
        <v>8.5</v>
      </c>
      <c r="E47" s="37">
        <f t="shared" ref="E47:E48" si="59">P47</f>
        <v>2.0677536264904685E-2</v>
      </c>
      <c r="F47">
        <f t="shared" si="12"/>
        <v>8.69984</v>
      </c>
      <c r="G47">
        <v>50000</v>
      </c>
      <c r="H47">
        <f t="shared" si="15"/>
        <v>0</v>
      </c>
      <c r="I47" s="127">
        <f t="shared" si="16"/>
        <v>4.4999999999999998E-2</v>
      </c>
      <c r="J47" s="128">
        <v>4000</v>
      </c>
      <c r="K47" s="129">
        <v>0.2</v>
      </c>
      <c r="L47">
        <f t="shared" ref="L47:L48" si="60">I47*0.001*K47</f>
        <v>9.0000000000000002E-6</v>
      </c>
      <c r="M47">
        <f t="shared" ref="M47:M48" si="61">L47*J47*(0.000000001)/(1.6E-19)</f>
        <v>225000000.00000003</v>
      </c>
      <c r="N47" s="27">
        <f>N46</f>
        <v>23262228.298017774</v>
      </c>
      <c r="O47" s="40">
        <f t="shared" ref="O47:O48" si="62">M47/N47</f>
        <v>9.6723322081390108</v>
      </c>
      <c r="P47" s="37">
        <f t="shared" ref="P47:P48" si="63">K47/O47</f>
        <v>2.0677536264904685E-2</v>
      </c>
      <c r="T47" s="39">
        <f t="shared" si="20"/>
        <v>20.677536264904685</v>
      </c>
      <c r="U47" s="149">
        <f t="shared" si="21"/>
        <v>1125000.0000000002</v>
      </c>
      <c r="AB47"/>
      <c r="AC47"/>
      <c r="AD47"/>
    </row>
    <row r="48" spans="1:30" ht="14.45" x14ac:dyDescent="0.3">
      <c r="A48" s="35">
        <f t="shared" si="41"/>
        <v>20</v>
      </c>
      <c r="B48" s="124">
        <v>0</v>
      </c>
      <c r="C48" s="125">
        <f t="shared" si="23"/>
        <v>-8.3810000000000109</v>
      </c>
      <c r="D48" s="126">
        <f t="shared" si="22"/>
        <v>8.5</v>
      </c>
      <c r="E48" s="37">
        <f t="shared" si="59"/>
        <v>2.0677536264904685E-2</v>
      </c>
      <c r="F48">
        <f t="shared" si="12"/>
        <v>8.69984</v>
      </c>
      <c r="G48">
        <v>50000</v>
      </c>
      <c r="H48">
        <f t="shared" si="15"/>
        <v>0</v>
      </c>
      <c r="I48" s="127">
        <f t="shared" si="16"/>
        <v>4.4999999999999998E-2</v>
      </c>
      <c r="J48" s="128">
        <v>4000</v>
      </c>
      <c r="K48" s="129">
        <v>0.2</v>
      </c>
      <c r="L48">
        <f t="shared" si="60"/>
        <v>9.0000000000000002E-6</v>
      </c>
      <c r="M48">
        <f t="shared" si="61"/>
        <v>225000000.00000003</v>
      </c>
      <c r="N48" s="27">
        <f t="shared" ref="N48:N49" si="64">N47</f>
        <v>23262228.298017774</v>
      </c>
      <c r="O48" s="40">
        <f t="shared" si="62"/>
        <v>9.6723322081390108</v>
      </c>
      <c r="P48" s="37">
        <f t="shared" si="63"/>
        <v>2.0677536264904685E-2</v>
      </c>
      <c r="R48" s="40"/>
      <c r="T48" s="39">
        <f t="shared" si="20"/>
        <v>20.677536264904685</v>
      </c>
      <c r="U48" s="149">
        <f t="shared" si="21"/>
        <v>1125000.0000000002</v>
      </c>
      <c r="AB48"/>
      <c r="AC48"/>
      <c r="AD48"/>
    </row>
    <row r="49" spans="1:30" ht="14.45" x14ac:dyDescent="0.3">
      <c r="A49" s="35">
        <f t="shared" si="41"/>
        <v>21</v>
      </c>
      <c r="B49" s="124">
        <v>0</v>
      </c>
      <c r="C49" s="125">
        <f t="shared" si="23"/>
        <v>-8.3800000000000114</v>
      </c>
      <c r="D49" s="126">
        <f t="shared" si="22"/>
        <v>8.5</v>
      </c>
      <c r="E49" s="37">
        <f>P49</f>
        <v>2.0677536264904685E-2</v>
      </c>
      <c r="F49">
        <f t="shared" si="12"/>
        <v>8.69984</v>
      </c>
      <c r="G49">
        <v>50000</v>
      </c>
      <c r="H49">
        <f t="shared" si="15"/>
        <v>0</v>
      </c>
      <c r="I49" s="127">
        <f t="shared" si="16"/>
        <v>4.4999999999999998E-2</v>
      </c>
      <c r="J49" s="128">
        <v>4000</v>
      </c>
      <c r="K49" s="129">
        <v>0.2</v>
      </c>
      <c r="L49">
        <f>I49*0.001*K49</f>
        <v>9.0000000000000002E-6</v>
      </c>
      <c r="M49">
        <f>L49*J49*(0.000000001)/(1.6E-19)</f>
        <v>225000000.00000003</v>
      </c>
      <c r="N49" s="27">
        <f t="shared" si="64"/>
        <v>23262228.298017774</v>
      </c>
      <c r="O49" s="40">
        <f>M49/N49</f>
        <v>9.6723322081390108</v>
      </c>
      <c r="P49" s="37">
        <f>K49/O49</f>
        <v>2.0677536264904685E-2</v>
      </c>
      <c r="R49" s="40"/>
      <c r="T49" s="39">
        <f t="shared" si="20"/>
        <v>20.677536264904685</v>
      </c>
      <c r="U49" s="149">
        <f t="shared" si="21"/>
        <v>1125000.0000000002</v>
      </c>
      <c r="AB49"/>
      <c r="AC49"/>
      <c r="AD49"/>
    </row>
    <row r="50" spans="1:30" ht="14.45" x14ac:dyDescent="0.3">
      <c r="A50" s="35">
        <f t="shared" si="41"/>
        <v>22</v>
      </c>
      <c r="B50" s="124">
        <v>0</v>
      </c>
      <c r="C50" s="125">
        <f t="shared" si="23"/>
        <v>-8.379000000000012</v>
      </c>
      <c r="D50" s="126">
        <f t="shared" si="22"/>
        <v>8.5</v>
      </c>
      <c r="E50" s="37">
        <f t="shared" ref="E50" si="65">P50</f>
        <v>2.0677536264904685E-2</v>
      </c>
      <c r="F50">
        <f t="shared" si="12"/>
        <v>8.69984</v>
      </c>
      <c r="G50">
        <v>50000</v>
      </c>
      <c r="H50">
        <f t="shared" si="15"/>
        <v>0</v>
      </c>
      <c r="I50" s="127">
        <f t="shared" si="16"/>
        <v>4.4999999999999998E-2</v>
      </c>
      <c r="J50" s="128">
        <v>4000</v>
      </c>
      <c r="K50" s="129">
        <v>0.2</v>
      </c>
      <c r="L50">
        <f t="shared" ref="L50" si="66">I50*0.001*K50</f>
        <v>9.0000000000000002E-6</v>
      </c>
      <c r="M50">
        <f t="shared" ref="M50" si="67">L50*J50*(0.000000001)/(1.6E-19)</f>
        <v>225000000.00000003</v>
      </c>
      <c r="N50" s="27">
        <f>N49</f>
        <v>23262228.298017774</v>
      </c>
      <c r="O50" s="40">
        <f t="shared" ref="O50" si="68">M50/N50</f>
        <v>9.6723322081390108</v>
      </c>
      <c r="P50" s="37">
        <f t="shared" ref="P50" si="69">K50/O50</f>
        <v>2.0677536264904685E-2</v>
      </c>
      <c r="T50" s="39">
        <f t="shared" si="20"/>
        <v>20.677536264904685</v>
      </c>
      <c r="U50" s="149">
        <f t="shared" si="21"/>
        <v>1125000.0000000002</v>
      </c>
      <c r="AB50"/>
      <c r="AC50"/>
      <c r="AD50"/>
    </row>
    <row r="51" spans="1:30" ht="14.45" x14ac:dyDescent="0.3">
      <c r="A51" s="35">
        <f t="shared" si="41"/>
        <v>23</v>
      </c>
      <c r="B51" s="124">
        <v>0</v>
      </c>
      <c r="C51" s="125">
        <f t="shared" si="23"/>
        <v>-8.3780000000000125</v>
      </c>
      <c r="D51" s="126">
        <f t="shared" si="22"/>
        <v>8.5</v>
      </c>
      <c r="E51" s="37">
        <f>P51</f>
        <v>2.0677536264904685E-2</v>
      </c>
      <c r="F51">
        <f t="shared" si="12"/>
        <v>8.69984</v>
      </c>
      <c r="G51">
        <v>50000</v>
      </c>
      <c r="H51">
        <f t="shared" si="15"/>
        <v>0</v>
      </c>
      <c r="I51" s="127">
        <f t="shared" si="16"/>
        <v>4.4999999999999998E-2</v>
      </c>
      <c r="J51" s="128">
        <v>4000</v>
      </c>
      <c r="K51" s="129">
        <v>0.2</v>
      </c>
      <c r="L51">
        <f>I51*0.001*K51</f>
        <v>9.0000000000000002E-6</v>
      </c>
      <c r="M51">
        <f>L51*J51*(0.000000001)/(1.6E-19)</f>
        <v>225000000.00000003</v>
      </c>
      <c r="N51" s="27">
        <f>N50</f>
        <v>23262228.298017774</v>
      </c>
      <c r="O51" s="40">
        <f>M51/N51</f>
        <v>9.6723322081390108</v>
      </c>
      <c r="P51" s="37">
        <f>K51/O51</f>
        <v>2.0677536264904685E-2</v>
      </c>
      <c r="R51" s="40"/>
      <c r="T51" s="39">
        <f t="shared" si="20"/>
        <v>20.677536264904685</v>
      </c>
      <c r="U51" s="149">
        <f t="shared" si="21"/>
        <v>1125000.0000000002</v>
      </c>
      <c r="AB51"/>
      <c r="AC51"/>
      <c r="AD51"/>
    </row>
    <row r="52" spans="1:30" ht="14.45" x14ac:dyDescent="0.3">
      <c r="A52" s="35">
        <f>A51+1</f>
        <v>24</v>
      </c>
      <c r="B52" s="124">
        <v>0</v>
      </c>
      <c r="C52" s="125">
        <f t="shared" si="23"/>
        <v>-8.3770000000000131</v>
      </c>
      <c r="D52" s="126">
        <f t="shared" si="22"/>
        <v>8.5</v>
      </c>
      <c r="E52" s="37">
        <f t="shared" ref="E52:E53" si="70">P52</f>
        <v>2.0677536264904685E-2</v>
      </c>
      <c r="F52">
        <f t="shared" si="12"/>
        <v>8.69984</v>
      </c>
      <c r="G52">
        <v>50000</v>
      </c>
      <c r="H52">
        <f t="shared" si="15"/>
        <v>0</v>
      </c>
      <c r="I52" s="127">
        <f t="shared" si="16"/>
        <v>4.4999999999999998E-2</v>
      </c>
      <c r="J52" s="128">
        <v>4000</v>
      </c>
      <c r="K52" s="129">
        <v>0.2</v>
      </c>
      <c r="L52">
        <f t="shared" ref="L52:L53" si="71">I52*0.001*K52</f>
        <v>9.0000000000000002E-6</v>
      </c>
      <c r="M52">
        <f t="shared" ref="M52:M53" si="72">L52*J52*(0.000000001)/(1.6E-19)</f>
        <v>225000000.00000003</v>
      </c>
      <c r="N52" s="27">
        <f>N51</f>
        <v>23262228.298017774</v>
      </c>
      <c r="O52" s="40">
        <f t="shared" ref="O52:O53" si="73">M52/N52</f>
        <v>9.6723322081390108</v>
      </c>
      <c r="P52" s="37">
        <f t="shared" ref="P52:P53" si="74">K52/O52</f>
        <v>2.0677536264904685E-2</v>
      </c>
      <c r="T52" s="39">
        <f t="shared" si="20"/>
        <v>20.677536264904685</v>
      </c>
      <c r="U52" s="149">
        <f t="shared" si="21"/>
        <v>1125000.0000000002</v>
      </c>
      <c r="AB52"/>
      <c r="AC52"/>
      <c r="AD52"/>
    </row>
    <row r="53" spans="1:30" ht="14.45" x14ac:dyDescent="0.3">
      <c r="A53" s="35">
        <f t="shared" si="41"/>
        <v>25</v>
      </c>
      <c r="B53" s="124">
        <v>0</v>
      </c>
      <c r="C53" s="125">
        <f t="shared" si="23"/>
        <v>-8.3760000000000137</v>
      </c>
      <c r="D53" s="126">
        <f t="shared" si="22"/>
        <v>8.5</v>
      </c>
      <c r="E53" s="37">
        <f t="shared" si="70"/>
        <v>2.0677536264904685E-2</v>
      </c>
      <c r="F53">
        <f t="shared" si="12"/>
        <v>8.69984</v>
      </c>
      <c r="G53">
        <v>50000</v>
      </c>
      <c r="H53">
        <f t="shared" si="15"/>
        <v>0</v>
      </c>
      <c r="I53" s="127">
        <f t="shared" si="16"/>
        <v>4.4999999999999998E-2</v>
      </c>
      <c r="J53" s="128">
        <v>4000</v>
      </c>
      <c r="K53" s="129">
        <v>0.2</v>
      </c>
      <c r="L53">
        <f t="shared" si="71"/>
        <v>9.0000000000000002E-6</v>
      </c>
      <c r="M53">
        <f t="shared" si="72"/>
        <v>225000000.00000003</v>
      </c>
      <c r="N53" s="27">
        <f t="shared" ref="N53:N54" si="75">N52</f>
        <v>23262228.298017774</v>
      </c>
      <c r="O53" s="40">
        <f t="shared" si="73"/>
        <v>9.6723322081390108</v>
      </c>
      <c r="P53" s="37">
        <f t="shared" si="74"/>
        <v>2.0677536264904685E-2</v>
      </c>
      <c r="R53" s="40"/>
      <c r="T53" s="39">
        <f t="shared" si="20"/>
        <v>20.677536264904685</v>
      </c>
      <c r="U53" s="149">
        <f t="shared" si="21"/>
        <v>1125000.0000000002</v>
      </c>
      <c r="AB53"/>
      <c r="AC53"/>
      <c r="AD53"/>
    </row>
    <row r="54" spans="1:30" ht="14.45" x14ac:dyDescent="0.3">
      <c r="A54" s="35">
        <f t="shared" si="41"/>
        <v>26</v>
      </c>
      <c r="B54" s="124">
        <v>0</v>
      </c>
      <c r="C54" s="125">
        <f t="shared" si="23"/>
        <v>-8.3750000000000142</v>
      </c>
      <c r="D54" s="126">
        <f t="shared" si="22"/>
        <v>8.5</v>
      </c>
      <c r="E54" s="37">
        <f>P54</f>
        <v>2.0677536264904685E-2</v>
      </c>
      <c r="F54">
        <f t="shared" si="12"/>
        <v>8.69984</v>
      </c>
      <c r="G54">
        <v>50000</v>
      </c>
      <c r="H54">
        <f t="shared" si="15"/>
        <v>0</v>
      </c>
      <c r="I54" s="127">
        <f t="shared" si="16"/>
        <v>4.4999999999999998E-2</v>
      </c>
      <c r="J54" s="128">
        <v>4000</v>
      </c>
      <c r="K54" s="129">
        <v>0.2</v>
      </c>
      <c r="L54">
        <f>I54*0.001*K54</f>
        <v>9.0000000000000002E-6</v>
      </c>
      <c r="M54">
        <f>L54*J54*(0.000000001)/(1.6E-19)</f>
        <v>225000000.00000003</v>
      </c>
      <c r="N54" s="27">
        <f t="shared" si="75"/>
        <v>23262228.298017774</v>
      </c>
      <c r="O54" s="40">
        <f>M54/N54</f>
        <v>9.6723322081390108</v>
      </c>
      <c r="P54" s="37">
        <f>K54/O54</f>
        <v>2.0677536264904685E-2</v>
      </c>
      <c r="R54" s="40"/>
      <c r="T54" s="39">
        <f t="shared" si="20"/>
        <v>20.677536264904685</v>
      </c>
      <c r="U54" s="149">
        <f t="shared" si="21"/>
        <v>1125000.0000000002</v>
      </c>
      <c r="AB54"/>
      <c r="AC54"/>
      <c r="AD54"/>
    </row>
    <row r="55" spans="1:30" ht="14.45" x14ac:dyDescent="0.3">
      <c r="A55" s="35">
        <f t="shared" si="41"/>
        <v>27</v>
      </c>
      <c r="B55" s="124">
        <v>0</v>
      </c>
      <c r="C55" s="125">
        <f t="shared" si="23"/>
        <v>-8.3740000000000148</v>
      </c>
      <c r="D55" s="126">
        <f t="shared" si="22"/>
        <v>8.5</v>
      </c>
      <c r="E55" s="37">
        <f t="shared" ref="E55" si="76">P55</f>
        <v>2.0677536264904685E-2</v>
      </c>
      <c r="F55">
        <f t="shared" si="12"/>
        <v>8.69984</v>
      </c>
      <c r="G55">
        <v>50000</v>
      </c>
      <c r="H55">
        <f t="shared" si="15"/>
        <v>0</v>
      </c>
      <c r="I55" s="127">
        <f t="shared" si="16"/>
        <v>4.4999999999999998E-2</v>
      </c>
      <c r="J55" s="128">
        <v>4000</v>
      </c>
      <c r="K55" s="129">
        <v>0.2</v>
      </c>
      <c r="L55">
        <f t="shared" ref="L55" si="77">I55*0.001*K55</f>
        <v>9.0000000000000002E-6</v>
      </c>
      <c r="M55">
        <f t="shared" ref="M55" si="78">L55*J55*(0.000000001)/(1.6E-19)</f>
        <v>225000000.00000003</v>
      </c>
      <c r="N55" s="27">
        <f>N54</f>
        <v>23262228.298017774</v>
      </c>
      <c r="O55" s="40">
        <f t="shared" ref="O55" si="79">M55/N55</f>
        <v>9.6723322081390108</v>
      </c>
      <c r="P55" s="37">
        <f t="shared" ref="P55" si="80">K55/O55</f>
        <v>2.0677536264904685E-2</v>
      </c>
      <c r="T55" s="39">
        <f t="shared" si="20"/>
        <v>20.677536264904685</v>
      </c>
      <c r="U55" s="149">
        <f t="shared" si="21"/>
        <v>1125000.0000000002</v>
      </c>
      <c r="AB55"/>
      <c r="AC55"/>
      <c r="AD55"/>
    </row>
    <row r="56" spans="1:30" ht="14.45" x14ac:dyDescent="0.3">
      <c r="A56" s="35">
        <f t="shared" si="41"/>
        <v>28</v>
      </c>
      <c r="B56" s="124">
        <v>0</v>
      </c>
      <c r="C56" s="125">
        <f t="shared" si="23"/>
        <v>-8.3730000000000153</v>
      </c>
      <c r="D56" s="126">
        <f t="shared" si="22"/>
        <v>8.5</v>
      </c>
      <c r="E56" s="37">
        <f>P56</f>
        <v>2.0677536264904685E-2</v>
      </c>
      <c r="F56">
        <f t="shared" si="12"/>
        <v>8.69984</v>
      </c>
      <c r="G56">
        <v>50000</v>
      </c>
      <c r="H56">
        <f t="shared" si="15"/>
        <v>0</v>
      </c>
      <c r="I56" s="127">
        <f t="shared" si="16"/>
        <v>4.4999999999999998E-2</v>
      </c>
      <c r="J56" s="128">
        <v>4000</v>
      </c>
      <c r="K56" s="129">
        <v>0.2</v>
      </c>
      <c r="L56">
        <f>I56*0.001*K56</f>
        <v>9.0000000000000002E-6</v>
      </c>
      <c r="M56">
        <f>L56*J56*(0.000000001)/(1.6E-19)</f>
        <v>225000000.00000003</v>
      </c>
      <c r="N56" s="27">
        <f>N55</f>
        <v>23262228.298017774</v>
      </c>
      <c r="O56" s="40">
        <f>M56/N56</f>
        <v>9.6723322081390108</v>
      </c>
      <c r="P56" s="37">
        <f>K56/O56</f>
        <v>2.0677536264904685E-2</v>
      </c>
      <c r="R56" s="40"/>
      <c r="T56" s="39">
        <f t="shared" si="20"/>
        <v>20.677536264904685</v>
      </c>
      <c r="U56" s="149">
        <f t="shared" si="21"/>
        <v>1125000.0000000002</v>
      </c>
      <c r="AB56"/>
      <c r="AC56"/>
      <c r="AD56"/>
    </row>
    <row r="57" spans="1:30" ht="14.45" x14ac:dyDescent="0.3">
      <c r="A57" s="35">
        <f>A56+1</f>
        <v>29</v>
      </c>
      <c r="B57" s="124">
        <v>0</v>
      </c>
      <c r="C57" s="125">
        <f t="shared" si="23"/>
        <v>-8.3720000000000159</v>
      </c>
      <c r="D57" s="126">
        <f t="shared" si="22"/>
        <v>8.5</v>
      </c>
      <c r="E57" s="37">
        <f t="shared" ref="E57:E58" si="81">P57</f>
        <v>2.0677536264904685E-2</v>
      </c>
      <c r="F57">
        <f t="shared" si="12"/>
        <v>8.69984</v>
      </c>
      <c r="G57">
        <v>50000</v>
      </c>
      <c r="H57">
        <f t="shared" si="15"/>
        <v>0</v>
      </c>
      <c r="I57" s="127">
        <f t="shared" si="16"/>
        <v>4.4999999999999998E-2</v>
      </c>
      <c r="J57" s="128">
        <v>4000</v>
      </c>
      <c r="K57" s="129">
        <v>0.2</v>
      </c>
      <c r="L57">
        <f t="shared" ref="L57:L58" si="82">I57*0.001*K57</f>
        <v>9.0000000000000002E-6</v>
      </c>
      <c r="M57">
        <f t="shared" ref="M57:M58" si="83">L57*J57*(0.000000001)/(1.6E-19)</f>
        <v>225000000.00000003</v>
      </c>
      <c r="N57" s="27">
        <f>N56</f>
        <v>23262228.298017774</v>
      </c>
      <c r="O57" s="40">
        <f t="shared" ref="O57:O58" si="84">M57/N57</f>
        <v>9.6723322081390108</v>
      </c>
      <c r="P57" s="37">
        <f t="shared" ref="P57:P58" si="85">K57/O57</f>
        <v>2.0677536264904685E-2</v>
      </c>
      <c r="T57" s="39">
        <f t="shared" si="20"/>
        <v>20.677536264904685</v>
      </c>
      <c r="U57" s="149">
        <f t="shared" si="21"/>
        <v>1125000.0000000002</v>
      </c>
      <c r="AB57"/>
      <c r="AC57"/>
      <c r="AD57"/>
    </row>
    <row r="58" spans="1:30" ht="14.45" x14ac:dyDescent="0.3">
      <c r="A58" s="35">
        <f t="shared" si="41"/>
        <v>30</v>
      </c>
      <c r="B58" s="124">
        <v>0</v>
      </c>
      <c r="C58" s="125">
        <f t="shared" si="23"/>
        <v>-8.3710000000000164</v>
      </c>
      <c r="D58" s="126">
        <f t="shared" si="22"/>
        <v>8.5</v>
      </c>
      <c r="E58" s="37">
        <f t="shared" si="81"/>
        <v>2.0677536264904685E-2</v>
      </c>
      <c r="F58">
        <f t="shared" si="12"/>
        <v>8.69984</v>
      </c>
      <c r="G58">
        <v>50000</v>
      </c>
      <c r="H58">
        <f t="shared" si="15"/>
        <v>0</v>
      </c>
      <c r="I58" s="127">
        <f t="shared" si="16"/>
        <v>4.4999999999999998E-2</v>
      </c>
      <c r="J58" s="128">
        <v>4000</v>
      </c>
      <c r="K58" s="129">
        <v>0.2</v>
      </c>
      <c r="L58">
        <f t="shared" si="82"/>
        <v>9.0000000000000002E-6</v>
      </c>
      <c r="M58">
        <f t="shared" si="83"/>
        <v>225000000.00000003</v>
      </c>
      <c r="N58" s="27">
        <f t="shared" ref="N58:N59" si="86">N57</f>
        <v>23262228.298017774</v>
      </c>
      <c r="O58" s="40">
        <f t="shared" si="84"/>
        <v>9.6723322081390108</v>
      </c>
      <c r="P58" s="37">
        <f t="shared" si="85"/>
        <v>2.0677536264904685E-2</v>
      </c>
      <c r="R58" s="40"/>
      <c r="T58" s="39">
        <f t="shared" si="20"/>
        <v>20.677536264904685</v>
      </c>
      <c r="U58" s="149">
        <f t="shared" si="21"/>
        <v>1125000.0000000002</v>
      </c>
      <c r="AB58"/>
      <c r="AC58"/>
      <c r="AD58"/>
    </row>
    <row r="59" spans="1:30" ht="14.45" x14ac:dyDescent="0.3">
      <c r="A59" s="35">
        <f t="shared" si="41"/>
        <v>31</v>
      </c>
      <c r="B59" s="124">
        <v>0</v>
      </c>
      <c r="C59" s="125">
        <f t="shared" si="23"/>
        <v>-8.370000000000017</v>
      </c>
      <c r="D59" s="126">
        <f t="shared" si="22"/>
        <v>8.5</v>
      </c>
      <c r="E59" s="37">
        <f>P59</f>
        <v>2.0677536264904685E-2</v>
      </c>
      <c r="F59">
        <f t="shared" si="12"/>
        <v>8.69984</v>
      </c>
      <c r="G59">
        <v>50000</v>
      </c>
      <c r="H59">
        <f t="shared" si="15"/>
        <v>0</v>
      </c>
      <c r="I59" s="127">
        <f t="shared" si="16"/>
        <v>4.4999999999999998E-2</v>
      </c>
      <c r="J59" s="128">
        <v>4000</v>
      </c>
      <c r="K59" s="129">
        <v>0.2</v>
      </c>
      <c r="L59">
        <f>I59*0.001*K59</f>
        <v>9.0000000000000002E-6</v>
      </c>
      <c r="M59">
        <f>L59*J59*(0.000000001)/(1.6E-19)</f>
        <v>225000000.00000003</v>
      </c>
      <c r="N59" s="27">
        <f t="shared" si="86"/>
        <v>23262228.298017774</v>
      </c>
      <c r="O59" s="40">
        <f>M59/N59</f>
        <v>9.6723322081390108</v>
      </c>
      <c r="P59" s="37">
        <f>K59/O59</f>
        <v>2.0677536264904685E-2</v>
      </c>
      <c r="R59" s="40"/>
      <c r="T59" s="39">
        <f t="shared" si="20"/>
        <v>20.677536264904685</v>
      </c>
      <c r="U59" s="149">
        <f t="shared" si="21"/>
        <v>1125000.0000000002</v>
      </c>
      <c r="AB59"/>
      <c r="AC59"/>
      <c r="AD59"/>
    </row>
    <row r="60" spans="1:30" ht="14.45" x14ac:dyDescent="0.3">
      <c r="A60" s="35">
        <f t="shared" si="41"/>
        <v>32</v>
      </c>
      <c r="B60" s="124">
        <v>0</v>
      </c>
      <c r="C60" s="125">
        <f t="shared" si="23"/>
        <v>-8.3690000000000175</v>
      </c>
      <c r="D60" s="126">
        <f t="shared" si="22"/>
        <v>8.5</v>
      </c>
      <c r="E60" s="37">
        <f t="shared" ref="E60" si="87">P60</f>
        <v>2.0677536264904685E-2</v>
      </c>
      <c r="F60">
        <f t="shared" si="12"/>
        <v>8.69984</v>
      </c>
      <c r="G60">
        <v>50000</v>
      </c>
      <c r="H60">
        <f t="shared" si="15"/>
        <v>0</v>
      </c>
      <c r="I60" s="127">
        <f t="shared" si="16"/>
        <v>4.4999999999999998E-2</v>
      </c>
      <c r="J60" s="128">
        <v>4000</v>
      </c>
      <c r="K60" s="129">
        <v>0.2</v>
      </c>
      <c r="L60">
        <f t="shared" ref="L60" si="88">I60*0.001*K60</f>
        <v>9.0000000000000002E-6</v>
      </c>
      <c r="M60">
        <f t="shared" ref="M60" si="89">L60*J60*(0.000000001)/(1.6E-19)</f>
        <v>225000000.00000003</v>
      </c>
      <c r="N60" s="27">
        <f>N59</f>
        <v>23262228.298017774</v>
      </c>
      <c r="O60" s="40">
        <f t="shared" ref="O60" si="90">M60/N60</f>
        <v>9.6723322081390108</v>
      </c>
      <c r="P60" s="37">
        <f t="shared" ref="P60" si="91">K60/O60</f>
        <v>2.0677536264904685E-2</v>
      </c>
      <c r="T60" s="39">
        <f t="shared" si="20"/>
        <v>20.677536264904685</v>
      </c>
      <c r="U60" s="149">
        <f t="shared" si="21"/>
        <v>1125000.0000000002</v>
      </c>
      <c r="AB60"/>
      <c r="AC60"/>
      <c r="AD60"/>
    </row>
    <row r="61" spans="1:30" ht="14.45" x14ac:dyDescent="0.3">
      <c r="A61" s="35">
        <f t="shared" si="41"/>
        <v>33</v>
      </c>
      <c r="B61" s="124">
        <v>0</v>
      </c>
      <c r="C61" s="125">
        <f t="shared" si="23"/>
        <v>-8.3680000000000181</v>
      </c>
      <c r="D61" s="126">
        <f t="shared" si="22"/>
        <v>8.5</v>
      </c>
      <c r="E61" s="37">
        <f>P61</f>
        <v>2.0677536264904685E-2</v>
      </c>
      <c r="F61">
        <f t="shared" si="12"/>
        <v>8.69984</v>
      </c>
      <c r="G61">
        <v>50000</v>
      </c>
      <c r="H61">
        <f t="shared" si="15"/>
        <v>0</v>
      </c>
      <c r="I61" s="127">
        <f t="shared" si="16"/>
        <v>4.4999999999999998E-2</v>
      </c>
      <c r="J61" s="128">
        <v>4000</v>
      </c>
      <c r="K61" s="129">
        <v>0.2</v>
      </c>
      <c r="L61">
        <f>I61*0.001*K61</f>
        <v>9.0000000000000002E-6</v>
      </c>
      <c r="M61">
        <f>L61*J61*(0.000000001)/(1.6E-19)</f>
        <v>225000000.00000003</v>
      </c>
      <c r="N61" s="27">
        <f>N60</f>
        <v>23262228.298017774</v>
      </c>
      <c r="O61" s="40">
        <f>M61/N61</f>
        <v>9.6723322081390108</v>
      </c>
      <c r="P61" s="37">
        <f>K61/O61</f>
        <v>2.0677536264904685E-2</v>
      </c>
      <c r="R61" s="40"/>
      <c r="T61" s="39">
        <f t="shared" si="20"/>
        <v>20.677536264904685</v>
      </c>
      <c r="U61" s="149">
        <f t="shared" si="21"/>
        <v>1125000.0000000002</v>
      </c>
      <c r="AB61"/>
      <c r="AC61"/>
      <c r="AD61"/>
    </row>
    <row r="62" spans="1:30" ht="14.45" x14ac:dyDescent="0.3">
      <c r="A62" s="35">
        <f>A61+1</f>
        <v>34</v>
      </c>
      <c r="B62" s="124">
        <v>0</v>
      </c>
      <c r="C62" s="125">
        <f t="shared" si="23"/>
        <v>-8.3670000000000186</v>
      </c>
      <c r="D62" s="126">
        <f t="shared" si="22"/>
        <v>8.5</v>
      </c>
      <c r="E62" s="37">
        <f t="shared" ref="E62:E63" si="92">P62</f>
        <v>2.0677536264904685E-2</v>
      </c>
      <c r="F62">
        <f t="shared" si="12"/>
        <v>8.69984</v>
      </c>
      <c r="G62">
        <v>50000</v>
      </c>
      <c r="H62">
        <f t="shared" si="15"/>
        <v>0</v>
      </c>
      <c r="I62" s="127">
        <f t="shared" si="16"/>
        <v>4.4999999999999998E-2</v>
      </c>
      <c r="J62" s="128">
        <v>4000</v>
      </c>
      <c r="K62" s="129">
        <v>0.2</v>
      </c>
      <c r="L62">
        <f t="shared" ref="L62:L63" si="93">I62*0.001*K62</f>
        <v>9.0000000000000002E-6</v>
      </c>
      <c r="M62">
        <f t="shared" ref="M62:M63" si="94">L62*J62*(0.000000001)/(1.6E-19)</f>
        <v>225000000.00000003</v>
      </c>
      <c r="N62" s="27">
        <f>N61</f>
        <v>23262228.298017774</v>
      </c>
      <c r="O62" s="40">
        <f t="shared" ref="O62:O63" si="95">M62/N62</f>
        <v>9.6723322081390108</v>
      </c>
      <c r="P62" s="37">
        <f t="shared" ref="P62:P63" si="96">K62/O62</f>
        <v>2.0677536264904685E-2</v>
      </c>
      <c r="T62" s="39">
        <f t="shared" si="20"/>
        <v>20.677536264904685</v>
      </c>
      <c r="U62" s="149">
        <f t="shared" si="21"/>
        <v>1125000.0000000002</v>
      </c>
      <c r="AB62"/>
      <c r="AC62"/>
      <c r="AD62"/>
    </row>
    <row r="63" spans="1:30" ht="14.45" x14ac:dyDescent="0.3">
      <c r="A63" s="35">
        <f t="shared" si="41"/>
        <v>35</v>
      </c>
      <c r="B63" s="124">
        <v>0</v>
      </c>
      <c r="C63" s="125">
        <f t="shared" si="23"/>
        <v>-8.3660000000000192</v>
      </c>
      <c r="D63" s="126">
        <f t="shared" si="22"/>
        <v>8.5</v>
      </c>
      <c r="E63" s="37">
        <f t="shared" si="92"/>
        <v>2.0677536264904685E-2</v>
      </c>
      <c r="F63">
        <f t="shared" si="12"/>
        <v>8.69984</v>
      </c>
      <c r="G63">
        <v>50000</v>
      </c>
      <c r="H63">
        <f t="shared" si="15"/>
        <v>0</v>
      </c>
      <c r="I63" s="127">
        <f t="shared" si="16"/>
        <v>4.4999999999999998E-2</v>
      </c>
      <c r="J63" s="128">
        <v>4000</v>
      </c>
      <c r="K63" s="129">
        <v>0.2</v>
      </c>
      <c r="L63">
        <f t="shared" si="93"/>
        <v>9.0000000000000002E-6</v>
      </c>
      <c r="M63">
        <f t="shared" si="94"/>
        <v>225000000.00000003</v>
      </c>
      <c r="N63" s="27">
        <f t="shared" ref="N63:N64" si="97">N62</f>
        <v>23262228.298017774</v>
      </c>
      <c r="O63" s="40">
        <f t="shared" si="95"/>
        <v>9.6723322081390108</v>
      </c>
      <c r="P63" s="37">
        <f t="shared" si="96"/>
        <v>2.0677536264904685E-2</v>
      </c>
      <c r="R63" s="40"/>
      <c r="T63" s="39">
        <f t="shared" si="20"/>
        <v>20.677536264904685</v>
      </c>
      <c r="U63" s="149">
        <f t="shared" si="21"/>
        <v>1125000.0000000002</v>
      </c>
      <c r="AB63"/>
      <c r="AC63"/>
      <c r="AD63"/>
    </row>
    <row r="64" spans="1:30" ht="14.45" x14ac:dyDescent="0.3">
      <c r="A64" s="35">
        <f t="shared" si="41"/>
        <v>36</v>
      </c>
      <c r="B64" s="124">
        <v>0</v>
      </c>
      <c r="C64" s="125">
        <f t="shared" si="23"/>
        <v>-8.3650000000000198</v>
      </c>
      <c r="D64" s="126">
        <f t="shared" si="22"/>
        <v>8.5</v>
      </c>
      <c r="E64" s="37">
        <f>P64</f>
        <v>2.0677536264904685E-2</v>
      </c>
      <c r="F64">
        <f t="shared" si="12"/>
        <v>8.69984</v>
      </c>
      <c r="G64">
        <v>50000</v>
      </c>
      <c r="H64">
        <f t="shared" si="15"/>
        <v>0</v>
      </c>
      <c r="I64" s="127">
        <f t="shared" si="16"/>
        <v>4.4999999999999998E-2</v>
      </c>
      <c r="J64" s="128">
        <v>4000</v>
      </c>
      <c r="K64" s="129">
        <v>0.2</v>
      </c>
      <c r="L64">
        <f>I64*0.001*K64</f>
        <v>9.0000000000000002E-6</v>
      </c>
      <c r="M64">
        <f>L64*J64*(0.000000001)/(1.6E-19)</f>
        <v>225000000.00000003</v>
      </c>
      <c r="N64" s="27">
        <f t="shared" si="97"/>
        <v>23262228.298017774</v>
      </c>
      <c r="O64" s="40">
        <f>M64/N64</f>
        <v>9.6723322081390108</v>
      </c>
      <c r="P64" s="37">
        <f>K64/O64</f>
        <v>2.0677536264904685E-2</v>
      </c>
      <c r="R64" s="40"/>
      <c r="T64" s="39">
        <f t="shared" si="20"/>
        <v>20.677536264904685</v>
      </c>
      <c r="U64" s="149">
        <f t="shared" si="21"/>
        <v>1125000.0000000002</v>
      </c>
      <c r="AB64"/>
      <c r="AC64"/>
      <c r="AD64"/>
    </row>
    <row r="65" spans="1:30" ht="14.45" x14ac:dyDescent="0.3">
      <c r="A65" s="35">
        <f t="shared" si="41"/>
        <v>37</v>
      </c>
      <c r="B65" s="124">
        <v>0</v>
      </c>
      <c r="C65" s="125">
        <f t="shared" si="23"/>
        <v>-8.3640000000000203</v>
      </c>
      <c r="D65" s="126">
        <f t="shared" si="22"/>
        <v>8.5</v>
      </c>
      <c r="E65" s="37">
        <f t="shared" ref="E65" si="98">P65</f>
        <v>2.0677536264904685E-2</v>
      </c>
      <c r="F65">
        <f t="shared" si="12"/>
        <v>8.69984</v>
      </c>
      <c r="G65">
        <v>50000</v>
      </c>
      <c r="H65">
        <f t="shared" si="15"/>
        <v>0</v>
      </c>
      <c r="I65" s="127">
        <f t="shared" si="16"/>
        <v>4.4999999999999998E-2</v>
      </c>
      <c r="J65" s="128">
        <v>4000</v>
      </c>
      <c r="K65" s="129">
        <v>0.2</v>
      </c>
      <c r="L65">
        <f t="shared" ref="L65" si="99">I65*0.001*K65</f>
        <v>9.0000000000000002E-6</v>
      </c>
      <c r="M65">
        <f t="shared" ref="M65" si="100">L65*J65*(0.000000001)/(1.6E-19)</f>
        <v>225000000.00000003</v>
      </c>
      <c r="N65" s="27">
        <f>N64</f>
        <v>23262228.298017774</v>
      </c>
      <c r="O65" s="40">
        <f t="shared" ref="O65" si="101">M65/N65</f>
        <v>9.6723322081390108</v>
      </c>
      <c r="P65" s="37">
        <f t="shared" ref="P65" si="102">K65/O65</f>
        <v>2.0677536264904685E-2</v>
      </c>
      <c r="T65" s="39">
        <f t="shared" si="20"/>
        <v>20.677536264904685</v>
      </c>
      <c r="U65" s="149">
        <f t="shared" si="21"/>
        <v>1125000.0000000002</v>
      </c>
      <c r="AB65"/>
      <c r="AC65"/>
      <c r="AD65"/>
    </row>
    <row r="66" spans="1:30" ht="14.45" x14ac:dyDescent="0.3">
      <c r="A66" s="35">
        <f t="shared" si="41"/>
        <v>38</v>
      </c>
      <c r="B66" s="124">
        <v>0</v>
      </c>
      <c r="C66" s="125">
        <f t="shared" si="23"/>
        <v>-8.3630000000000209</v>
      </c>
      <c r="D66" s="126">
        <f t="shared" si="22"/>
        <v>8.5</v>
      </c>
      <c r="E66" s="37">
        <f>P66</f>
        <v>2.0677536264904685E-2</v>
      </c>
      <c r="F66">
        <f t="shared" si="12"/>
        <v>8.69984</v>
      </c>
      <c r="G66">
        <v>50000</v>
      </c>
      <c r="H66">
        <f t="shared" si="15"/>
        <v>0</v>
      </c>
      <c r="I66" s="127">
        <f t="shared" si="16"/>
        <v>4.4999999999999998E-2</v>
      </c>
      <c r="J66" s="128">
        <v>4000</v>
      </c>
      <c r="K66" s="129">
        <v>0.2</v>
      </c>
      <c r="L66">
        <f>I66*0.001*K66</f>
        <v>9.0000000000000002E-6</v>
      </c>
      <c r="M66">
        <f>L66*J66*(0.000000001)/(1.6E-19)</f>
        <v>225000000.00000003</v>
      </c>
      <c r="N66" s="27">
        <f>N65</f>
        <v>23262228.298017774</v>
      </c>
      <c r="O66" s="40">
        <f>M66/N66</f>
        <v>9.6723322081390108</v>
      </c>
      <c r="P66" s="37">
        <f>K66/O66</f>
        <v>2.0677536264904685E-2</v>
      </c>
      <c r="R66" s="40"/>
      <c r="T66" s="39">
        <f t="shared" si="20"/>
        <v>20.677536264904685</v>
      </c>
      <c r="U66" s="149">
        <f t="shared" si="21"/>
        <v>1125000.0000000002</v>
      </c>
      <c r="AB66"/>
      <c r="AC66"/>
      <c r="AD66"/>
    </row>
    <row r="67" spans="1:30" ht="14.45" x14ac:dyDescent="0.3">
      <c r="A67" s="35">
        <f>A66+1</f>
        <v>39</v>
      </c>
      <c r="B67" s="124">
        <v>0</v>
      </c>
      <c r="C67" s="125">
        <f t="shared" si="23"/>
        <v>-8.3620000000000214</v>
      </c>
      <c r="D67" s="126">
        <f t="shared" si="22"/>
        <v>8.5</v>
      </c>
      <c r="E67" s="37">
        <f t="shared" ref="E67:E68" si="103">P67</f>
        <v>2.0677536264904685E-2</v>
      </c>
      <c r="F67">
        <f t="shared" si="12"/>
        <v>8.69984</v>
      </c>
      <c r="G67">
        <v>50000</v>
      </c>
      <c r="H67">
        <f t="shared" si="15"/>
        <v>0</v>
      </c>
      <c r="I67" s="127">
        <f t="shared" si="16"/>
        <v>4.4999999999999998E-2</v>
      </c>
      <c r="J67" s="128">
        <v>4000</v>
      </c>
      <c r="K67" s="129">
        <v>0.2</v>
      </c>
      <c r="L67">
        <f t="shared" ref="L67:L68" si="104">I67*0.001*K67</f>
        <v>9.0000000000000002E-6</v>
      </c>
      <c r="M67">
        <f t="shared" ref="M67:M68" si="105">L67*J67*(0.000000001)/(1.6E-19)</f>
        <v>225000000.00000003</v>
      </c>
      <c r="N67" s="27">
        <f>N66</f>
        <v>23262228.298017774</v>
      </c>
      <c r="O67" s="40">
        <f t="shared" ref="O67:O68" si="106">M67/N67</f>
        <v>9.6723322081390108</v>
      </c>
      <c r="P67" s="37">
        <f t="shared" ref="P67:P68" si="107">K67/O67</f>
        <v>2.0677536264904685E-2</v>
      </c>
      <c r="T67" s="39">
        <f t="shared" si="20"/>
        <v>20.677536264904685</v>
      </c>
      <c r="U67" s="149">
        <f t="shared" si="21"/>
        <v>1125000.0000000002</v>
      </c>
      <c r="AB67"/>
      <c r="AC67"/>
      <c r="AD67"/>
    </row>
    <row r="68" spans="1:30" ht="14.45" x14ac:dyDescent="0.3">
      <c r="A68" s="35">
        <f t="shared" si="41"/>
        <v>40</v>
      </c>
      <c r="B68" s="124">
        <v>0</v>
      </c>
      <c r="C68" s="125">
        <f t="shared" si="23"/>
        <v>-8.361000000000022</v>
      </c>
      <c r="D68" s="126">
        <f t="shared" si="22"/>
        <v>8.5</v>
      </c>
      <c r="E68" s="37">
        <f t="shared" si="103"/>
        <v>2.0677536264904685E-2</v>
      </c>
      <c r="F68">
        <f t="shared" si="12"/>
        <v>8.69984</v>
      </c>
      <c r="G68">
        <v>50000</v>
      </c>
      <c r="H68">
        <f t="shared" si="15"/>
        <v>0</v>
      </c>
      <c r="I68" s="127">
        <f t="shared" si="16"/>
        <v>4.4999999999999998E-2</v>
      </c>
      <c r="J68" s="128">
        <v>4000</v>
      </c>
      <c r="K68" s="129">
        <v>0.2</v>
      </c>
      <c r="L68">
        <f t="shared" si="104"/>
        <v>9.0000000000000002E-6</v>
      </c>
      <c r="M68">
        <f t="shared" si="105"/>
        <v>225000000.00000003</v>
      </c>
      <c r="N68" s="27">
        <f t="shared" ref="N68:N69" si="108">N67</f>
        <v>23262228.298017774</v>
      </c>
      <c r="O68" s="40">
        <f t="shared" si="106"/>
        <v>9.6723322081390108</v>
      </c>
      <c r="P68" s="37">
        <f t="shared" si="107"/>
        <v>2.0677536264904685E-2</v>
      </c>
      <c r="R68" s="40"/>
      <c r="T68" s="39">
        <f t="shared" si="20"/>
        <v>20.677536264904685</v>
      </c>
      <c r="U68" s="149">
        <f t="shared" si="21"/>
        <v>1125000.0000000002</v>
      </c>
      <c r="AB68"/>
      <c r="AC68"/>
      <c r="AD68"/>
    </row>
    <row r="69" spans="1:30" ht="14.45" x14ac:dyDescent="0.3">
      <c r="A69" s="35">
        <f t="shared" si="41"/>
        <v>41</v>
      </c>
      <c r="B69" s="124">
        <v>0</v>
      </c>
      <c r="C69" s="125">
        <f t="shared" si="23"/>
        <v>-8.3600000000000225</v>
      </c>
      <c r="D69" s="126">
        <f t="shared" si="22"/>
        <v>8.5</v>
      </c>
      <c r="E69" s="37">
        <f>P69</f>
        <v>2.0677536264904685E-2</v>
      </c>
      <c r="F69">
        <f t="shared" si="12"/>
        <v>8.69984</v>
      </c>
      <c r="G69">
        <v>50000</v>
      </c>
      <c r="H69">
        <f t="shared" si="15"/>
        <v>0</v>
      </c>
      <c r="I69" s="127">
        <f t="shared" si="16"/>
        <v>4.4999999999999998E-2</v>
      </c>
      <c r="J69" s="128">
        <v>4000</v>
      </c>
      <c r="K69" s="129">
        <v>0.2</v>
      </c>
      <c r="L69">
        <f>I69*0.001*K69</f>
        <v>9.0000000000000002E-6</v>
      </c>
      <c r="M69">
        <f>L69*J69*(0.000000001)/(1.6E-19)</f>
        <v>225000000.00000003</v>
      </c>
      <c r="N69" s="27">
        <f t="shared" si="108"/>
        <v>23262228.298017774</v>
      </c>
      <c r="O69" s="40">
        <f>M69/N69</f>
        <v>9.6723322081390108</v>
      </c>
      <c r="P69" s="37">
        <f>K69/O69</f>
        <v>2.0677536264904685E-2</v>
      </c>
      <c r="R69" s="40"/>
      <c r="T69" s="39">
        <f t="shared" si="20"/>
        <v>20.677536264904685</v>
      </c>
      <c r="U69" s="149">
        <f t="shared" si="21"/>
        <v>1125000.0000000002</v>
      </c>
      <c r="AB69"/>
      <c r="AC69"/>
      <c r="AD69"/>
    </row>
    <row r="70" spans="1:30" ht="14.45" x14ac:dyDescent="0.3">
      <c r="A70" s="35">
        <f t="shared" si="41"/>
        <v>42</v>
      </c>
      <c r="B70" s="124">
        <v>0</v>
      </c>
      <c r="C70" s="125">
        <f t="shared" si="23"/>
        <v>-8.3590000000000231</v>
      </c>
      <c r="D70" s="126">
        <f t="shared" si="22"/>
        <v>8.5</v>
      </c>
      <c r="E70" s="37">
        <f t="shared" ref="E70" si="109">P70</f>
        <v>2.0677536264904685E-2</v>
      </c>
      <c r="F70">
        <f t="shared" si="12"/>
        <v>8.69984</v>
      </c>
      <c r="G70">
        <v>50000</v>
      </c>
      <c r="H70">
        <f t="shared" si="15"/>
        <v>0</v>
      </c>
      <c r="I70" s="127">
        <f t="shared" si="16"/>
        <v>4.4999999999999998E-2</v>
      </c>
      <c r="J70" s="128">
        <v>4000</v>
      </c>
      <c r="K70" s="129">
        <v>0.2</v>
      </c>
      <c r="L70">
        <f t="shared" ref="L70" si="110">I70*0.001*K70</f>
        <v>9.0000000000000002E-6</v>
      </c>
      <c r="M70">
        <f t="shared" ref="M70" si="111">L70*J70*(0.000000001)/(1.6E-19)</f>
        <v>225000000.00000003</v>
      </c>
      <c r="N70" s="27">
        <f>N69</f>
        <v>23262228.298017774</v>
      </c>
      <c r="O70" s="40">
        <f t="shared" ref="O70" si="112">M70/N70</f>
        <v>9.6723322081390108</v>
      </c>
      <c r="P70" s="37">
        <f t="shared" ref="P70" si="113">K70/O70</f>
        <v>2.0677536264904685E-2</v>
      </c>
      <c r="T70" s="39">
        <f t="shared" si="20"/>
        <v>20.677536264904685</v>
      </c>
      <c r="U70" s="149">
        <f t="shared" si="21"/>
        <v>1125000.0000000002</v>
      </c>
      <c r="AB70"/>
      <c r="AC70"/>
      <c r="AD70"/>
    </row>
    <row r="71" spans="1:30" ht="14.45" x14ac:dyDescent="0.3">
      <c r="A71" s="35">
        <f t="shared" si="41"/>
        <v>43</v>
      </c>
      <c r="B71" s="124">
        <v>0</v>
      </c>
      <c r="C71" s="125">
        <f t="shared" si="23"/>
        <v>-8.3580000000000236</v>
      </c>
      <c r="D71" s="126">
        <f t="shared" si="22"/>
        <v>8.5</v>
      </c>
      <c r="E71" s="37">
        <f>P71</f>
        <v>2.0677536264904685E-2</v>
      </c>
      <c r="F71">
        <f t="shared" si="12"/>
        <v>8.69984</v>
      </c>
      <c r="G71">
        <v>50000</v>
      </c>
      <c r="H71">
        <f t="shared" si="15"/>
        <v>0</v>
      </c>
      <c r="I71" s="127">
        <f t="shared" si="16"/>
        <v>4.4999999999999998E-2</v>
      </c>
      <c r="J71" s="128">
        <v>4000</v>
      </c>
      <c r="K71" s="129">
        <v>0.2</v>
      </c>
      <c r="L71">
        <f>I71*0.001*K71</f>
        <v>9.0000000000000002E-6</v>
      </c>
      <c r="M71">
        <f>L71*J71*(0.000000001)/(1.6E-19)</f>
        <v>225000000.00000003</v>
      </c>
      <c r="N71" s="27">
        <f>N70</f>
        <v>23262228.298017774</v>
      </c>
      <c r="O71" s="40">
        <f>M71/N71</f>
        <v>9.6723322081390108</v>
      </c>
      <c r="P71" s="37">
        <f>K71/O71</f>
        <v>2.0677536264904685E-2</v>
      </c>
      <c r="R71" s="40"/>
      <c r="T71" s="39">
        <f t="shared" si="20"/>
        <v>20.677536264904685</v>
      </c>
      <c r="U71" s="149">
        <f t="shared" si="21"/>
        <v>1125000.0000000002</v>
      </c>
      <c r="AB71"/>
      <c r="AC71"/>
      <c r="AD71"/>
    </row>
    <row r="72" spans="1:30" ht="14.45" x14ac:dyDescent="0.3">
      <c r="A72" s="35">
        <f>A71+1</f>
        <v>44</v>
      </c>
      <c r="B72" s="124">
        <v>0</v>
      </c>
      <c r="C72" s="125">
        <f t="shared" si="23"/>
        <v>-8.3570000000000242</v>
      </c>
      <c r="D72" s="126">
        <f t="shared" si="22"/>
        <v>8.5</v>
      </c>
      <c r="E72" s="37">
        <f t="shared" ref="E72:E73" si="114">P72</f>
        <v>2.0677536264904685E-2</v>
      </c>
      <c r="F72">
        <f t="shared" si="12"/>
        <v>8.69984</v>
      </c>
      <c r="G72">
        <v>50000</v>
      </c>
      <c r="H72">
        <f t="shared" si="15"/>
        <v>0</v>
      </c>
      <c r="I72" s="127">
        <f t="shared" si="16"/>
        <v>4.4999999999999998E-2</v>
      </c>
      <c r="J72" s="128">
        <v>4000</v>
      </c>
      <c r="K72" s="129">
        <v>0.2</v>
      </c>
      <c r="L72">
        <f t="shared" ref="L72:L73" si="115">I72*0.001*K72</f>
        <v>9.0000000000000002E-6</v>
      </c>
      <c r="M72">
        <f t="shared" ref="M72:M73" si="116">L72*J72*(0.000000001)/(1.6E-19)</f>
        <v>225000000.00000003</v>
      </c>
      <c r="N72" s="27">
        <f>N71</f>
        <v>23262228.298017774</v>
      </c>
      <c r="O72" s="40">
        <f t="shared" ref="O72:O73" si="117">M72/N72</f>
        <v>9.6723322081390108</v>
      </c>
      <c r="P72" s="37">
        <f t="shared" ref="P72:P73" si="118">K72/O72</f>
        <v>2.0677536264904685E-2</v>
      </c>
      <c r="T72" s="39">
        <f t="shared" si="20"/>
        <v>20.677536264904685</v>
      </c>
      <c r="U72" s="149">
        <f t="shared" si="21"/>
        <v>1125000.0000000002</v>
      </c>
      <c r="AB72"/>
      <c r="AC72"/>
      <c r="AD72"/>
    </row>
    <row r="73" spans="1:30" ht="14.45" x14ac:dyDescent="0.3">
      <c r="A73" s="35">
        <f t="shared" si="41"/>
        <v>45</v>
      </c>
      <c r="B73" s="124">
        <v>0</v>
      </c>
      <c r="C73" s="125">
        <f t="shared" si="23"/>
        <v>-8.3560000000000247</v>
      </c>
      <c r="D73" s="126">
        <f t="shared" si="22"/>
        <v>8.5</v>
      </c>
      <c r="E73" s="37">
        <f t="shared" si="114"/>
        <v>2.0677536264904685E-2</v>
      </c>
      <c r="F73">
        <f t="shared" si="12"/>
        <v>8.69984</v>
      </c>
      <c r="G73">
        <v>50000</v>
      </c>
      <c r="H73">
        <f t="shared" si="15"/>
        <v>0</v>
      </c>
      <c r="I73" s="127">
        <f t="shared" si="16"/>
        <v>4.4999999999999998E-2</v>
      </c>
      <c r="J73" s="128">
        <v>4000</v>
      </c>
      <c r="K73" s="129">
        <v>0.2</v>
      </c>
      <c r="L73">
        <f t="shared" si="115"/>
        <v>9.0000000000000002E-6</v>
      </c>
      <c r="M73">
        <f t="shared" si="116"/>
        <v>225000000.00000003</v>
      </c>
      <c r="N73" s="27">
        <f t="shared" ref="N73:N74" si="119">N72</f>
        <v>23262228.298017774</v>
      </c>
      <c r="O73" s="40">
        <f t="shared" si="117"/>
        <v>9.6723322081390108</v>
      </c>
      <c r="P73" s="37">
        <f t="shared" si="118"/>
        <v>2.0677536264904685E-2</v>
      </c>
      <c r="R73" s="40"/>
      <c r="T73" s="39">
        <f t="shared" si="20"/>
        <v>20.677536264904685</v>
      </c>
      <c r="U73" s="149">
        <f t="shared" si="21"/>
        <v>1125000.0000000002</v>
      </c>
      <c r="AB73"/>
      <c r="AC73"/>
      <c r="AD73"/>
    </row>
    <row r="74" spans="1:30" ht="14.45" x14ac:dyDescent="0.3">
      <c r="A74" s="35">
        <f t="shared" si="41"/>
        <v>46</v>
      </c>
      <c r="B74" s="124">
        <v>0</v>
      </c>
      <c r="C74" s="125">
        <f t="shared" si="23"/>
        <v>-8.3550000000000253</v>
      </c>
      <c r="D74" s="126">
        <f t="shared" si="22"/>
        <v>8.5</v>
      </c>
      <c r="E74" s="37">
        <f>P74</f>
        <v>2.0677536264904685E-2</v>
      </c>
      <c r="F74">
        <f t="shared" si="12"/>
        <v>8.69984</v>
      </c>
      <c r="G74">
        <v>50000</v>
      </c>
      <c r="H74">
        <f t="shared" si="15"/>
        <v>0</v>
      </c>
      <c r="I74" s="127">
        <f t="shared" si="16"/>
        <v>4.4999999999999998E-2</v>
      </c>
      <c r="J74" s="128">
        <v>4000</v>
      </c>
      <c r="K74" s="129">
        <v>0.2</v>
      </c>
      <c r="L74">
        <f>I74*0.001*K74</f>
        <v>9.0000000000000002E-6</v>
      </c>
      <c r="M74">
        <f>L74*J74*(0.000000001)/(1.6E-19)</f>
        <v>225000000.00000003</v>
      </c>
      <c r="N74" s="27">
        <f t="shared" si="119"/>
        <v>23262228.298017774</v>
      </c>
      <c r="O74" s="40">
        <f>M74/N74</f>
        <v>9.6723322081390108</v>
      </c>
      <c r="P74" s="37">
        <f>K74/O74</f>
        <v>2.0677536264904685E-2</v>
      </c>
      <c r="R74" s="40"/>
      <c r="T74" s="39">
        <f t="shared" si="20"/>
        <v>20.677536264904685</v>
      </c>
      <c r="U74" s="149">
        <f t="shared" si="21"/>
        <v>1125000.0000000002</v>
      </c>
      <c r="AB74"/>
      <c r="AC74"/>
      <c r="AD74"/>
    </row>
    <row r="75" spans="1:30" ht="14.45" x14ac:dyDescent="0.3">
      <c r="A75" s="35">
        <f t="shared" si="41"/>
        <v>47</v>
      </c>
      <c r="B75" s="124">
        <v>0</v>
      </c>
      <c r="C75" s="125">
        <f t="shared" si="23"/>
        <v>-8.3540000000000258</v>
      </c>
      <c r="D75" s="126">
        <f t="shared" si="22"/>
        <v>8.5</v>
      </c>
      <c r="E75" s="37">
        <f t="shared" ref="E75" si="120">P75</f>
        <v>2.0677536264904685E-2</v>
      </c>
      <c r="F75">
        <f t="shared" si="12"/>
        <v>8.69984</v>
      </c>
      <c r="G75">
        <v>50000</v>
      </c>
      <c r="H75">
        <f t="shared" si="15"/>
        <v>0</v>
      </c>
      <c r="I75" s="127">
        <f t="shared" si="16"/>
        <v>4.4999999999999998E-2</v>
      </c>
      <c r="J75" s="128">
        <v>4000</v>
      </c>
      <c r="K75" s="129">
        <v>0.2</v>
      </c>
      <c r="L75">
        <f t="shared" ref="L75" si="121">I75*0.001*K75</f>
        <v>9.0000000000000002E-6</v>
      </c>
      <c r="M75">
        <f t="shared" ref="M75" si="122">L75*J75*(0.000000001)/(1.6E-19)</f>
        <v>225000000.00000003</v>
      </c>
      <c r="N75" s="27">
        <f>N74</f>
        <v>23262228.298017774</v>
      </c>
      <c r="O75" s="40">
        <f t="shared" ref="O75" si="123">M75/N75</f>
        <v>9.6723322081390108</v>
      </c>
      <c r="P75" s="37">
        <f t="shared" ref="P75" si="124">K75/O75</f>
        <v>2.0677536264904685E-2</v>
      </c>
      <c r="T75" s="39">
        <f t="shared" si="20"/>
        <v>20.677536264904685</v>
      </c>
      <c r="U75" s="149">
        <f t="shared" si="21"/>
        <v>1125000.0000000002</v>
      </c>
      <c r="AB75"/>
      <c r="AC75"/>
      <c r="AD75"/>
    </row>
    <row r="76" spans="1:30" ht="14.45" x14ac:dyDescent="0.3">
      <c r="A76" s="35">
        <f t="shared" si="41"/>
        <v>48</v>
      </c>
      <c r="B76" s="124">
        <v>0</v>
      </c>
      <c r="C76" s="125">
        <f t="shared" si="23"/>
        <v>-8.3530000000000264</v>
      </c>
      <c r="D76" s="126">
        <f t="shared" si="22"/>
        <v>8.5</v>
      </c>
      <c r="E76" s="37">
        <f>P76</f>
        <v>2.0677536264904685E-2</v>
      </c>
      <c r="F76">
        <f t="shared" si="12"/>
        <v>8.69984</v>
      </c>
      <c r="G76">
        <v>50000</v>
      </c>
      <c r="H76">
        <f t="shared" si="15"/>
        <v>0</v>
      </c>
      <c r="I76" s="127">
        <f t="shared" si="16"/>
        <v>4.4999999999999998E-2</v>
      </c>
      <c r="J76" s="128">
        <v>4000</v>
      </c>
      <c r="K76" s="129">
        <v>0.2</v>
      </c>
      <c r="L76">
        <f>I76*0.001*K76</f>
        <v>9.0000000000000002E-6</v>
      </c>
      <c r="M76">
        <f>L76*J76*(0.000000001)/(1.6E-19)</f>
        <v>225000000.00000003</v>
      </c>
      <c r="N76" s="27">
        <f>N75</f>
        <v>23262228.298017774</v>
      </c>
      <c r="O76" s="40">
        <f>M76/N76</f>
        <v>9.6723322081390108</v>
      </c>
      <c r="P76" s="37">
        <f>K76/O76</f>
        <v>2.0677536264904685E-2</v>
      </c>
      <c r="R76" s="40"/>
      <c r="T76" s="39">
        <f t="shared" si="20"/>
        <v>20.677536264904685</v>
      </c>
      <c r="U76" s="149">
        <f t="shared" si="21"/>
        <v>1125000.0000000002</v>
      </c>
      <c r="AB76"/>
      <c r="AC76"/>
      <c r="AD76"/>
    </row>
    <row r="77" spans="1:30" ht="14.45" x14ac:dyDescent="0.3">
      <c r="A77" s="35">
        <f>A76+1</f>
        <v>49</v>
      </c>
      <c r="B77" s="124">
        <v>0</v>
      </c>
      <c r="C77" s="125">
        <f t="shared" si="23"/>
        <v>-8.352000000000027</v>
      </c>
      <c r="D77" s="126">
        <f t="shared" si="22"/>
        <v>8.5</v>
      </c>
      <c r="E77" s="37">
        <f t="shared" ref="E77:E78" si="125">P77</f>
        <v>2.0677536264904685E-2</v>
      </c>
      <c r="F77">
        <f t="shared" si="12"/>
        <v>8.69984</v>
      </c>
      <c r="G77">
        <v>50000</v>
      </c>
      <c r="H77">
        <f t="shared" si="15"/>
        <v>0</v>
      </c>
      <c r="I77" s="127">
        <f t="shared" si="16"/>
        <v>4.4999999999999998E-2</v>
      </c>
      <c r="J77" s="128">
        <v>4000</v>
      </c>
      <c r="K77" s="129">
        <v>0.2</v>
      </c>
      <c r="L77">
        <f t="shared" ref="L77:L78" si="126">I77*0.001*K77</f>
        <v>9.0000000000000002E-6</v>
      </c>
      <c r="M77">
        <f t="shared" ref="M77:M78" si="127">L77*J77*(0.000000001)/(1.6E-19)</f>
        <v>225000000.00000003</v>
      </c>
      <c r="N77" s="27">
        <f>N76</f>
        <v>23262228.298017774</v>
      </c>
      <c r="O77" s="40">
        <f t="shared" ref="O77:O78" si="128">M77/N77</f>
        <v>9.6723322081390108</v>
      </c>
      <c r="P77" s="37">
        <f t="shared" ref="P77:P78" si="129">K77/O77</f>
        <v>2.0677536264904685E-2</v>
      </c>
      <c r="T77" s="39">
        <f t="shared" si="20"/>
        <v>20.677536264904685</v>
      </c>
      <c r="U77" s="149">
        <f t="shared" si="21"/>
        <v>1125000.0000000002</v>
      </c>
      <c r="AB77"/>
      <c r="AC77"/>
      <c r="AD77"/>
    </row>
    <row r="78" spans="1:30" ht="14.45" x14ac:dyDescent="0.3">
      <c r="A78" s="35">
        <f t="shared" si="41"/>
        <v>50</v>
      </c>
      <c r="B78" s="124">
        <v>0</v>
      </c>
      <c r="C78" s="125">
        <f t="shared" si="23"/>
        <v>-8.3510000000000275</v>
      </c>
      <c r="D78" s="126">
        <f t="shared" si="22"/>
        <v>8.5</v>
      </c>
      <c r="E78" s="37">
        <f t="shared" si="125"/>
        <v>2.0677536264904685E-2</v>
      </c>
      <c r="F78">
        <f t="shared" si="12"/>
        <v>8.69984</v>
      </c>
      <c r="G78">
        <v>50000</v>
      </c>
      <c r="H78">
        <f t="shared" si="15"/>
        <v>0</v>
      </c>
      <c r="I78" s="127">
        <f t="shared" si="16"/>
        <v>4.4999999999999998E-2</v>
      </c>
      <c r="J78" s="128">
        <v>4000</v>
      </c>
      <c r="K78" s="129">
        <v>0.2</v>
      </c>
      <c r="L78">
        <f t="shared" si="126"/>
        <v>9.0000000000000002E-6</v>
      </c>
      <c r="M78">
        <f t="shared" si="127"/>
        <v>225000000.00000003</v>
      </c>
      <c r="N78" s="27">
        <f t="shared" ref="N78:N79" si="130">N77</f>
        <v>23262228.298017774</v>
      </c>
      <c r="O78" s="40">
        <f t="shared" si="128"/>
        <v>9.6723322081390108</v>
      </c>
      <c r="P78" s="37">
        <f t="shared" si="129"/>
        <v>2.0677536264904685E-2</v>
      </c>
      <c r="R78" s="40"/>
      <c r="T78" s="39">
        <f t="shared" si="20"/>
        <v>20.677536264904685</v>
      </c>
      <c r="U78" s="149">
        <f t="shared" si="21"/>
        <v>1125000.0000000002</v>
      </c>
      <c r="AB78"/>
      <c r="AC78"/>
      <c r="AD78"/>
    </row>
    <row r="79" spans="1:30" ht="14.45" x14ac:dyDescent="0.3">
      <c r="A79" s="35">
        <f t="shared" si="41"/>
        <v>51</v>
      </c>
      <c r="B79" s="124">
        <v>0</v>
      </c>
      <c r="C79" s="125">
        <f t="shared" si="23"/>
        <v>-8.3500000000000281</v>
      </c>
      <c r="D79" s="126">
        <f t="shared" si="22"/>
        <v>8.5</v>
      </c>
      <c r="E79" s="37">
        <f>P79</f>
        <v>2.0677536264904685E-2</v>
      </c>
      <c r="F79">
        <f t="shared" si="12"/>
        <v>8.69984</v>
      </c>
      <c r="G79">
        <v>50000</v>
      </c>
      <c r="H79">
        <f t="shared" si="15"/>
        <v>0</v>
      </c>
      <c r="I79" s="127">
        <f t="shared" si="16"/>
        <v>4.4999999999999998E-2</v>
      </c>
      <c r="J79" s="128">
        <v>4000</v>
      </c>
      <c r="K79" s="129">
        <v>0.2</v>
      </c>
      <c r="L79">
        <f>I79*0.001*K79</f>
        <v>9.0000000000000002E-6</v>
      </c>
      <c r="M79">
        <f>L79*J79*(0.000000001)/(1.6E-19)</f>
        <v>225000000.00000003</v>
      </c>
      <c r="N79" s="27">
        <f t="shared" si="130"/>
        <v>23262228.298017774</v>
      </c>
      <c r="O79" s="40">
        <f>M79/N79</f>
        <v>9.6723322081390108</v>
      </c>
      <c r="P79" s="37">
        <f>K79/O79</f>
        <v>2.0677536264904685E-2</v>
      </c>
      <c r="R79" s="40"/>
      <c r="T79" s="39">
        <f t="shared" si="20"/>
        <v>20.677536264904685</v>
      </c>
      <c r="U79" s="149">
        <f t="shared" si="21"/>
        <v>1125000.0000000002</v>
      </c>
      <c r="AB79"/>
      <c r="AC79"/>
      <c r="AD79"/>
    </row>
    <row r="80" spans="1:30" ht="14.45" x14ac:dyDescent="0.3">
      <c r="A80" s="35">
        <f t="shared" si="41"/>
        <v>52</v>
      </c>
      <c r="B80" s="124">
        <v>0</v>
      </c>
      <c r="C80" s="125">
        <f t="shared" si="23"/>
        <v>-8.3490000000000286</v>
      </c>
      <c r="D80" s="126">
        <f t="shared" si="22"/>
        <v>8.5</v>
      </c>
      <c r="E80" s="37">
        <f t="shared" ref="E80" si="131">P80</f>
        <v>2.0677536264904685E-2</v>
      </c>
      <c r="F80">
        <f t="shared" si="12"/>
        <v>8.69984</v>
      </c>
      <c r="G80">
        <v>50000</v>
      </c>
      <c r="H80">
        <f t="shared" si="15"/>
        <v>0</v>
      </c>
      <c r="I80" s="127">
        <f t="shared" si="16"/>
        <v>4.4999999999999998E-2</v>
      </c>
      <c r="J80" s="128">
        <v>4000</v>
      </c>
      <c r="K80" s="129">
        <v>0.2</v>
      </c>
      <c r="L80">
        <f t="shared" ref="L80" si="132">I80*0.001*K80</f>
        <v>9.0000000000000002E-6</v>
      </c>
      <c r="M80">
        <f t="shared" ref="M80" si="133">L80*J80*(0.000000001)/(1.6E-19)</f>
        <v>225000000.00000003</v>
      </c>
      <c r="N80" s="27">
        <f>N79</f>
        <v>23262228.298017774</v>
      </c>
      <c r="O80" s="40">
        <f t="shared" ref="O80" si="134">M80/N80</f>
        <v>9.6723322081390108</v>
      </c>
      <c r="P80" s="37">
        <f t="shared" ref="P80" si="135">K80/O80</f>
        <v>2.0677536264904685E-2</v>
      </c>
      <c r="T80" s="39">
        <f t="shared" si="20"/>
        <v>20.677536264904685</v>
      </c>
      <c r="U80" s="149">
        <f t="shared" si="21"/>
        <v>1125000.0000000002</v>
      </c>
      <c r="AB80"/>
      <c r="AC80"/>
      <c r="AD80"/>
    </row>
    <row r="81" spans="1:30" ht="14.45" x14ac:dyDescent="0.3">
      <c r="A81" s="35">
        <f t="shared" si="41"/>
        <v>53</v>
      </c>
      <c r="B81" s="124">
        <v>0</v>
      </c>
      <c r="C81" s="125">
        <f t="shared" si="23"/>
        <v>-8.3480000000000292</v>
      </c>
      <c r="D81" s="126">
        <f t="shared" si="22"/>
        <v>8.5</v>
      </c>
      <c r="E81" s="37">
        <f>P81</f>
        <v>2.0677536264904685E-2</v>
      </c>
      <c r="F81">
        <f t="shared" si="12"/>
        <v>8.69984</v>
      </c>
      <c r="G81">
        <v>50000</v>
      </c>
      <c r="H81">
        <f t="shared" si="15"/>
        <v>0</v>
      </c>
      <c r="I81" s="127">
        <f t="shared" si="16"/>
        <v>4.4999999999999998E-2</v>
      </c>
      <c r="J81" s="128">
        <v>4000</v>
      </c>
      <c r="K81" s="129">
        <v>0.2</v>
      </c>
      <c r="L81">
        <f>I81*0.001*K81</f>
        <v>9.0000000000000002E-6</v>
      </c>
      <c r="M81">
        <f>L81*J81*(0.000000001)/(1.6E-19)</f>
        <v>225000000.00000003</v>
      </c>
      <c r="N81" s="27">
        <f>N80</f>
        <v>23262228.298017774</v>
      </c>
      <c r="O81" s="40">
        <f>M81/N81</f>
        <v>9.6723322081390108</v>
      </c>
      <c r="P81" s="37">
        <f>K81/O81</f>
        <v>2.0677536264904685E-2</v>
      </c>
      <c r="R81" s="40"/>
      <c r="T81" s="39">
        <f t="shared" si="20"/>
        <v>20.677536264904685</v>
      </c>
      <c r="U81" s="149">
        <f t="shared" si="21"/>
        <v>1125000.0000000002</v>
      </c>
      <c r="AB81"/>
      <c r="AC81"/>
      <c r="AD81"/>
    </row>
    <row r="82" spans="1:30" ht="14.45" x14ac:dyDescent="0.3">
      <c r="A82" s="35">
        <f>A81+1</f>
        <v>54</v>
      </c>
      <c r="B82" s="124">
        <v>0</v>
      </c>
      <c r="C82" s="125">
        <f t="shared" si="23"/>
        <v>-8.3470000000000297</v>
      </c>
      <c r="D82" s="126">
        <f t="shared" si="22"/>
        <v>8.5</v>
      </c>
      <c r="E82" s="37">
        <f t="shared" ref="E82:E83" si="136">P82</f>
        <v>2.0677536264904685E-2</v>
      </c>
      <c r="F82">
        <f t="shared" si="12"/>
        <v>8.69984</v>
      </c>
      <c r="G82">
        <v>50000</v>
      </c>
      <c r="H82">
        <f t="shared" si="15"/>
        <v>0</v>
      </c>
      <c r="I82" s="127">
        <f t="shared" si="16"/>
        <v>4.4999999999999998E-2</v>
      </c>
      <c r="J82" s="128">
        <v>4000</v>
      </c>
      <c r="K82" s="129">
        <v>0.2</v>
      </c>
      <c r="L82">
        <f t="shared" ref="L82:L83" si="137">I82*0.001*K82</f>
        <v>9.0000000000000002E-6</v>
      </c>
      <c r="M82">
        <f t="shared" ref="M82:M83" si="138">L82*J82*(0.000000001)/(1.6E-19)</f>
        <v>225000000.00000003</v>
      </c>
      <c r="N82" s="27">
        <f>N81</f>
        <v>23262228.298017774</v>
      </c>
      <c r="O82" s="40">
        <f t="shared" ref="O82:O83" si="139">M82/N82</f>
        <v>9.6723322081390108</v>
      </c>
      <c r="P82" s="37">
        <f t="shared" ref="P82:P83" si="140">K82/O82</f>
        <v>2.0677536264904685E-2</v>
      </c>
      <c r="T82" s="39">
        <f t="shared" si="20"/>
        <v>20.677536264904685</v>
      </c>
      <c r="U82" s="149">
        <f t="shared" si="21"/>
        <v>1125000.0000000002</v>
      </c>
      <c r="AB82"/>
      <c r="AC82"/>
      <c r="AD82"/>
    </row>
    <row r="83" spans="1:30" ht="14.45" x14ac:dyDescent="0.3">
      <c r="A83" s="35">
        <f t="shared" si="41"/>
        <v>55</v>
      </c>
      <c r="B83" s="124">
        <v>0</v>
      </c>
      <c r="C83" s="125">
        <f t="shared" si="23"/>
        <v>-8.3460000000000303</v>
      </c>
      <c r="D83" s="126">
        <f t="shared" si="22"/>
        <v>8.5</v>
      </c>
      <c r="E83" s="37">
        <f t="shared" si="136"/>
        <v>2.0677536264904685E-2</v>
      </c>
      <c r="F83">
        <f t="shared" si="12"/>
        <v>8.69984</v>
      </c>
      <c r="G83">
        <v>50000</v>
      </c>
      <c r="H83">
        <f t="shared" si="15"/>
        <v>0</v>
      </c>
      <c r="I83" s="127">
        <f t="shared" si="16"/>
        <v>4.4999999999999998E-2</v>
      </c>
      <c r="J83" s="128">
        <v>4000</v>
      </c>
      <c r="K83" s="129">
        <v>0.2</v>
      </c>
      <c r="L83">
        <f t="shared" si="137"/>
        <v>9.0000000000000002E-6</v>
      </c>
      <c r="M83">
        <f t="shared" si="138"/>
        <v>225000000.00000003</v>
      </c>
      <c r="N83" s="27">
        <f t="shared" ref="N83:N84" si="141">N82</f>
        <v>23262228.298017774</v>
      </c>
      <c r="O83" s="40">
        <f t="shared" si="139"/>
        <v>9.6723322081390108</v>
      </c>
      <c r="P83" s="37">
        <f t="shared" si="140"/>
        <v>2.0677536264904685E-2</v>
      </c>
      <c r="R83" s="40"/>
      <c r="T83" s="39">
        <f t="shared" si="20"/>
        <v>20.677536264904685</v>
      </c>
      <c r="U83" s="149">
        <f t="shared" si="21"/>
        <v>1125000.0000000002</v>
      </c>
      <c r="AB83"/>
      <c r="AC83"/>
      <c r="AD83"/>
    </row>
    <row r="84" spans="1:30" ht="14.45" x14ac:dyDescent="0.3">
      <c r="A84" s="35">
        <f t="shared" si="41"/>
        <v>56</v>
      </c>
      <c r="B84" s="124">
        <v>0</v>
      </c>
      <c r="C84" s="125">
        <f t="shared" si="23"/>
        <v>-8.3450000000000308</v>
      </c>
      <c r="D84" s="126">
        <f t="shared" si="22"/>
        <v>8.5</v>
      </c>
      <c r="E84" s="37">
        <f>P84</f>
        <v>2.0677536264904685E-2</v>
      </c>
      <c r="F84">
        <f t="shared" si="12"/>
        <v>8.69984</v>
      </c>
      <c r="G84">
        <v>50000</v>
      </c>
      <c r="H84">
        <f t="shared" si="15"/>
        <v>0</v>
      </c>
      <c r="I84" s="127">
        <f t="shared" si="16"/>
        <v>4.4999999999999998E-2</v>
      </c>
      <c r="J84" s="128">
        <v>4000</v>
      </c>
      <c r="K84" s="129">
        <v>0.2</v>
      </c>
      <c r="L84">
        <f>I84*0.001*K84</f>
        <v>9.0000000000000002E-6</v>
      </c>
      <c r="M84">
        <f>L84*J84*(0.000000001)/(1.6E-19)</f>
        <v>225000000.00000003</v>
      </c>
      <c r="N84" s="27">
        <f t="shared" si="141"/>
        <v>23262228.298017774</v>
      </c>
      <c r="O84" s="40">
        <f>M84/N84</f>
        <v>9.6723322081390108</v>
      </c>
      <c r="P84" s="37">
        <f>K84/O84</f>
        <v>2.0677536264904685E-2</v>
      </c>
      <c r="R84" s="40"/>
      <c r="T84" s="39">
        <f t="shared" si="20"/>
        <v>20.677536264904685</v>
      </c>
      <c r="U84" s="149">
        <f t="shared" si="21"/>
        <v>1125000.0000000002</v>
      </c>
      <c r="AB84"/>
      <c r="AC84"/>
      <c r="AD84"/>
    </row>
    <row r="85" spans="1:30" ht="14.45" x14ac:dyDescent="0.3">
      <c r="A85" s="35">
        <f t="shared" si="41"/>
        <v>57</v>
      </c>
      <c r="B85" s="124">
        <v>0</v>
      </c>
      <c r="C85" s="125">
        <f t="shared" si="23"/>
        <v>-8.3440000000000314</v>
      </c>
      <c r="D85" s="126">
        <f t="shared" si="22"/>
        <v>8.5</v>
      </c>
      <c r="E85" s="37">
        <f t="shared" ref="E85" si="142">P85</f>
        <v>2.0677536264904685E-2</v>
      </c>
      <c r="F85">
        <f t="shared" si="12"/>
        <v>8.69984</v>
      </c>
      <c r="G85">
        <v>50000</v>
      </c>
      <c r="H85">
        <f t="shared" si="15"/>
        <v>0</v>
      </c>
      <c r="I85" s="127">
        <f t="shared" si="16"/>
        <v>4.4999999999999998E-2</v>
      </c>
      <c r="J85" s="128">
        <v>4000</v>
      </c>
      <c r="K85" s="129">
        <v>0.2</v>
      </c>
      <c r="L85">
        <f t="shared" ref="L85" si="143">I85*0.001*K85</f>
        <v>9.0000000000000002E-6</v>
      </c>
      <c r="M85">
        <f t="shared" ref="M85" si="144">L85*J85*(0.000000001)/(1.6E-19)</f>
        <v>225000000.00000003</v>
      </c>
      <c r="N85" s="27">
        <f>N84</f>
        <v>23262228.298017774</v>
      </c>
      <c r="O85" s="40">
        <f t="shared" ref="O85" si="145">M85/N85</f>
        <v>9.6723322081390108</v>
      </c>
      <c r="P85" s="37">
        <f t="shared" ref="P85" si="146">K85/O85</f>
        <v>2.0677536264904685E-2</v>
      </c>
      <c r="T85" s="39">
        <f t="shared" si="20"/>
        <v>20.677536264904685</v>
      </c>
      <c r="U85" s="149">
        <f t="shared" si="21"/>
        <v>1125000.0000000002</v>
      </c>
      <c r="AB85"/>
      <c r="AC85"/>
      <c r="AD85"/>
    </row>
    <row r="86" spans="1:30" ht="14.45" x14ac:dyDescent="0.3">
      <c r="A86" s="35">
        <f t="shared" si="41"/>
        <v>58</v>
      </c>
      <c r="B86" s="124">
        <v>0</v>
      </c>
      <c r="C86" s="125">
        <f t="shared" si="23"/>
        <v>-8.3430000000000319</v>
      </c>
      <c r="D86" s="126">
        <f t="shared" si="22"/>
        <v>8.5</v>
      </c>
      <c r="E86" s="37">
        <f>P86</f>
        <v>2.0677536264904685E-2</v>
      </c>
      <c r="F86">
        <f t="shared" si="12"/>
        <v>8.69984</v>
      </c>
      <c r="G86">
        <v>50000</v>
      </c>
      <c r="H86">
        <f t="shared" si="15"/>
        <v>0</v>
      </c>
      <c r="I86" s="127">
        <f t="shared" si="16"/>
        <v>4.4999999999999998E-2</v>
      </c>
      <c r="J86" s="128">
        <v>4000</v>
      </c>
      <c r="K86" s="129">
        <v>0.2</v>
      </c>
      <c r="L86">
        <f>I86*0.001*K86</f>
        <v>9.0000000000000002E-6</v>
      </c>
      <c r="M86">
        <f>L86*J86*(0.000000001)/(1.6E-19)</f>
        <v>225000000.00000003</v>
      </c>
      <c r="N86" s="27">
        <f>N85</f>
        <v>23262228.298017774</v>
      </c>
      <c r="O86" s="40">
        <f>M86/N86</f>
        <v>9.6723322081390108</v>
      </c>
      <c r="P86" s="37">
        <f>K86/O86</f>
        <v>2.0677536264904685E-2</v>
      </c>
      <c r="R86" s="40"/>
      <c r="T86" s="39">
        <f t="shared" si="20"/>
        <v>20.677536264904685</v>
      </c>
      <c r="U86" s="149">
        <f t="shared" si="21"/>
        <v>1125000.0000000002</v>
      </c>
      <c r="AB86"/>
      <c r="AC86"/>
      <c r="AD86"/>
    </row>
    <row r="87" spans="1:30" ht="14.45" x14ac:dyDescent="0.3">
      <c r="A87" s="35">
        <f>A86+1</f>
        <v>59</v>
      </c>
      <c r="B87" s="124">
        <v>0</v>
      </c>
      <c r="C87" s="125">
        <f t="shared" si="23"/>
        <v>-8.3420000000000325</v>
      </c>
      <c r="D87" s="126">
        <f t="shared" si="22"/>
        <v>8.5</v>
      </c>
      <c r="E87" s="37">
        <f t="shared" ref="E87:E88" si="147">P87</f>
        <v>2.0677536264904685E-2</v>
      </c>
      <c r="F87">
        <f t="shared" si="12"/>
        <v>8.69984</v>
      </c>
      <c r="G87">
        <v>50000</v>
      </c>
      <c r="H87">
        <f t="shared" si="15"/>
        <v>0</v>
      </c>
      <c r="I87" s="127">
        <f t="shared" si="16"/>
        <v>4.4999999999999998E-2</v>
      </c>
      <c r="J87" s="128">
        <v>4000</v>
      </c>
      <c r="K87" s="129">
        <v>0.2</v>
      </c>
      <c r="L87">
        <f t="shared" ref="L87:L88" si="148">I87*0.001*K87</f>
        <v>9.0000000000000002E-6</v>
      </c>
      <c r="M87">
        <f t="shared" ref="M87:M88" si="149">L87*J87*(0.000000001)/(1.6E-19)</f>
        <v>225000000.00000003</v>
      </c>
      <c r="N87" s="27">
        <f>N86</f>
        <v>23262228.298017774</v>
      </c>
      <c r="O87" s="40">
        <f t="shared" ref="O87:O88" si="150">M87/N87</f>
        <v>9.6723322081390108</v>
      </c>
      <c r="P87" s="37">
        <f t="shared" ref="P87:P88" si="151">K87/O87</f>
        <v>2.0677536264904685E-2</v>
      </c>
      <c r="T87" s="39">
        <f t="shared" si="20"/>
        <v>20.677536264904685</v>
      </c>
      <c r="U87" s="149">
        <f t="shared" si="21"/>
        <v>1125000.0000000002</v>
      </c>
      <c r="AB87"/>
      <c r="AC87"/>
      <c r="AD87"/>
    </row>
    <row r="88" spans="1:30" ht="14.45" x14ac:dyDescent="0.3">
      <c r="A88" s="35">
        <f t="shared" si="41"/>
        <v>60</v>
      </c>
      <c r="B88" s="124">
        <v>0</v>
      </c>
      <c r="C88" s="125">
        <f t="shared" si="23"/>
        <v>-8.3410000000000331</v>
      </c>
      <c r="D88" s="126">
        <f t="shared" si="22"/>
        <v>8.5</v>
      </c>
      <c r="E88" s="37">
        <f t="shared" si="147"/>
        <v>2.0677536264904685E-2</v>
      </c>
      <c r="F88">
        <f t="shared" si="12"/>
        <v>8.69984</v>
      </c>
      <c r="G88">
        <v>50000</v>
      </c>
      <c r="H88">
        <f t="shared" si="15"/>
        <v>0</v>
      </c>
      <c r="I88" s="127">
        <f t="shared" si="16"/>
        <v>4.4999999999999998E-2</v>
      </c>
      <c r="J88" s="128">
        <v>4000</v>
      </c>
      <c r="K88" s="129">
        <v>0.2</v>
      </c>
      <c r="L88">
        <f t="shared" si="148"/>
        <v>9.0000000000000002E-6</v>
      </c>
      <c r="M88">
        <f t="shared" si="149"/>
        <v>225000000.00000003</v>
      </c>
      <c r="N88" s="27">
        <f t="shared" ref="N88:N89" si="152">N87</f>
        <v>23262228.298017774</v>
      </c>
      <c r="O88" s="40">
        <f t="shared" si="150"/>
        <v>9.6723322081390108</v>
      </c>
      <c r="P88" s="37">
        <f t="shared" si="151"/>
        <v>2.0677536264904685E-2</v>
      </c>
      <c r="R88" s="40"/>
      <c r="T88" s="39">
        <f t="shared" si="20"/>
        <v>20.677536264904685</v>
      </c>
      <c r="U88" s="149">
        <f t="shared" si="21"/>
        <v>1125000.0000000002</v>
      </c>
      <c r="AB88"/>
      <c r="AC88"/>
      <c r="AD88"/>
    </row>
    <row r="89" spans="1:30" ht="14.45" x14ac:dyDescent="0.3">
      <c r="A89" s="35">
        <f t="shared" si="41"/>
        <v>61</v>
      </c>
      <c r="B89" s="124">
        <v>0</v>
      </c>
      <c r="C89" s="125">
        <f t="shared" si="23"/>
        <v>-8.3400000000000336</v>
      </c>
      <c r="D89" s="126">
        <f t="shared" si="22"/>
        <v>8.5</v>
      </c>
      <c r="E89" s="37">
        <f>P89</f>
        <v>2.0677536264904685E-2</v>
      </c>
      <c r="F89">
        <f t="shared" si="12"/>
        <v>8.69984</v>
      </c>
      <c r="G89">
        <v>50000</v>
      </c>
      <c r="H89">
        <f t="shared" si="15"/>
        <v>0</v>
      </c>
      <c r="I89" s="127">
        <f t="shared" si="16"/>
        <v>4.4999999999999998E-2</v>
      </c>
      <c r="J89" s="128">
        <v>4000</v>
      </c>
      <c r="K89" s="129">
        <v>0.2</v>
      </c>
      <c r="L89">
        <f>I89*0.001*K89</f>
        <v>9.0000000000000002E-6</v>
      </c>
      <c r="M89">
        <f>L89*J89*(0.000000001)/(1.6E-19)</f>
        <v>225000000.00000003</v>
      </c>
      <c r="N89" s="27">
        <f t="shared" si="152"/>
        <v>23262228.298017774</v>
      </c>
      <c r="O89" s="40">
        <f>M89/N89</f>
        <v>9.6723322081390108</v>
      </c>
      <c r="P89" s="37">
        <f>K89/O89</f>
        <v>2.0677536264904685E-2</v>
      </c>
      <c r="R89" s="40"/>
      <c r="T89" s="39">
        <f t="shared" si="20"/>
        <v>20.677536264904685</v>
      </c>
      <c r="U89" s="149">
        <f t="shared" si="21"/>
        <v>1125000.0000000002</v>
      </c>
      <c r="AB89"/>
      <c r="AC89"/>
      <c r="AD89"/>
    </row>
    <row r="90" spans="1:30" ht="14.45" x14ac:dyDescent="0.3">
      <c r="A90" s="35">
        <f t="shared" si="41"/>
        <v>62</v>
      </c>
      <c r="B90" s="124">
        <v>0</v>
      </c>
      <c r="C90" s="125">
        <f t="shared" si="23"/>
        <v>-8.3390000000000342</v>
      </c>
      <c r="D90" s="126">
        <f t="shared" si="22"/>
        <v>8.5</v>
      </c>
      <c r="E90" s="37">
        <f t="shared" ref="E90" si="153">P90</f>
        <v>2.0677536264904685E-2</v>
      </c>
      <c r="F90">
        <f t="shared" si="12"/>
        <v>8.69984</v>
      </c>
      <c r="G90">
        <v>50000</v>
      </c>
      <c r="H90">
        <f t="shared" si="15"/>
        <v>0</v>
      </c>
      <c r="I90" s="127">
        <f t="shared" si="16"/>
        <v>4.4999999999999998E-2</v>
      </c>
      <c r="J90" s="128">
        <v>4000</v>
      </c>
      <c r="K90" s="129">
        <v>0.2</v>
      </c>
      <c r="L90">
        <f t="shared" ref="L90" si="154">I90*0.001*K90</f>
        <v>9.0000000000000002E-6</v>
      </c>
      <c r="M90">
        <f t="shared" ref="M90" si="155">L90*J90*(0.000000001)/(1.6E-19)</f>
        <v>225000000.00000003</v>
      </c>
      <c r="N90" s="27">
        <f>N89</f>
        <v>23262228.298017774</v>
      </c>
      <c r="O90" s="40">
        <f t="shared" ref="O90" si="156">M90/N90</f>
        <v>9.6723322081390108</v>
      </c>
      <c r="P90" s="37">
        <f t="shared" ref="P90" si="157">K90/O90</f>
        <v>2.0677536264904685E-2</v>
      </c>
      <c r="T90" s="39">
        <f t="shared" si="20"/>
        <v>20.677536264904685</v>
      </c>
      <c r="U90" s="149">
        <f t="shared" si="21"/>
        <v>1125000.0000000002</v>
      </c>
      <c r="AB90"/>
      <c r="AC90"/>
      <c r="AD90"/>
    </row>
    <row r="91" spans="1:30" ht="14.45" x14ac:dyDescent="0.3">
      <c r="A91" s="35">
        <f t="shared" si="41"/>
        <v>63</v>
      </c>
      <c r="B91" s="124">
        <v>0</v>
      </c>
      <c r="C91" s="125">
        <f t="shared" si="23"/>
        <v>-8.3380000000000347</v>
      </c>
      <c r="D91" s="126">
        <f t="shared" si="22"/>
        <v>8.5</v>
      </c>
      <c r="E91" s="37">
        <f>P91</f>
        <v>2.0677536264904685E-2</v>
      </c>
      <c r="F91">
        <f t="shared" si="12"/>
        <v>8.69984</v>
      </c>
      <c r="G91">
        <v>50000</v>
      </c>
      <c r="H91">
        <f t="shared" si="15"/>
        <v>0</v>
      </c>
      <c r="I91" s="127">
        <f t="shared" si="16"/>
        <v>4.4999999999999998E-2</v>
      </c>
      <c r="J91" s="128">
        <v>4000</v>
      </c>
      <c r="K91" s="129">
        <v>0.2</v>
      </c>
      <c r="L91">
        <f>I91*0.001*K91</f>
        <v>9.0000000000000002E-6</v>
      </c>
      <c r="M91">
        <f>L91*J91*(0.000000001)/(1.6E-19)</f>
        <v>225000000.00000003</v>
      </c>
      <c r="N91" s="27">
        <f>N90</f>
        <v>23262228.298017774</v>
      </c>
      <c r="O91" s="40">
        <f>M91/N91</f>
        <v>9.6723322081390108</v>
      </c>
      <c r="P91" s="37">
        <f>K91/O91</f>
        <v>2.0677536264904685E-2</v>
      </c>
      <c r="R91" s="40"/>
      <c r="T91" s="39">
        <f t="shared" si="20"/>
        <v>20.677536264904685</v>
      </c>
      <c r="U91" s="149">
        <f t="shared" si="21"/>
        <v>1125000.0000000002</v>
      </c>
      <c r="AB91"/>
      <c r="AC91"/>
      <c r="AD91"/>
    </row>
    <row r="92" spans="1:30" ht="14.45" x14ac:dyDescent="0.3">
      <c r="A92" s="35">
        <f>A91+1</f>
        <v>64</v>
      </c>
      <c r="B92" s="124">
        <v>0</v>
      </c>
      <c r="C92" s="125">
        <f t="shared" si="23"/>
        <v>-8.3370000000000353</v>
      </c>
      <c r="D92" s="126">
        <f t="shared" si="22"/>
        <v>8.5</v>
      </c>
      <c r="E92" s="37">
        <f t="shared" ref="E92:E93" si="158">P92</f>
        <v>2.0677536264904685E-2</v>
      </c>
      <c r="F92">
        <f t="shared" si="12"/>
        <v>8.69984</v>
      </c>
      <c r="G92">
        <v>50000</v>
      </c>
      <c r="H92">
        <f t="shared" si="15"/>
        <v>0</v>
      </c>
      <c r="I92" s="127">
        <f t="shared" si="16"/>
        <v>4.4999999999999998E-2</v>
      </c>
      <c r="J92" s="128">
        <v>4000</v>
      </c>
      <c r="K92" s="129">
        <v>0.2</v>
      </c>
      <c r="L92">
        <f t="shared" ref="L92:L93" si="159">I92*0.001*K92</f>
        <v>9.0000000000000002E-6</v>
      </c>
      <c r="M92">
        <f t="shared" ref="M92:M93" si="160">L92*J92*(0.000000001)/(1.6E-19)</f>
        <v>225000000.00000003</v>
      </c>
      <c r="N92" s="27">
        <f>N91</f>
        <v>23262228.298017774</v>
      </c>
      <c r="O92" s="40">
        <f t="shared" ref="O92:O93" si="161">M92/N92</f>
        <v>9.6723322081390108</v>
      </c>
      <c r="P92" s="37">
        <f t="shared" ref="P92:P93" si="162">K92/O92</f>
        <v>2.0677536264904685E-2</v>
      </c>
      <c r="T92" s="39">
        <f t="shared" si="20"/>
        <v>20.677536264904685</v>
      </c>
      <c r="U92" s="149">
        <f t="shared" si="21"/>
        <v>1125000.0000000002</v>
      </c>
      <c r="AB92"/>
      <c r="AC92"/>
      <c r="AD92"/>
    </row>
    <row r="93" spans="1:30" ht="14.45" x14ac:dyDescent="0.3">
      <c r="A93" s="35">
        <f t="shared" si="41"/>
        <v>65</v>
      </c>
      <c r="B93" s="124">
        <v>0</v>
      </c>
      <c r="C93" s="125">
        <f t="shared" si="23"/>
        <v>-8.3360000000000358</v>
      </c>
      <c r="D93" s="126">
        <f t="shared" si="22"/>
        <v>8.5</v>
      </c>
      <c r="E93" s="37">
        <f t="shared" si="158"/>
        <v>2.0677536264904685E-2</v>
      </c>
      <c r="F93">
        <f t="shared" ref="F93:F128" si="163">IF($B93,$C93,$D93)+$K93-IF($B93,$O$23/1000,$P$23/1000)</f>
        <v>8.69984</v>
      </c>
      <c r="G93">
        <v>50000</v>
      </c>
      <c r="H93">
        <f t="shared" si="15"/>
        <v>0</v>
      </c>
      <c r="I93" s="127">
        <f t="shared" si="16"/>
        <v>4.4999999999999998E-2</v>
      </c>
      <c r="J93" s="128">
        <v>4000</v>
      </c>
      <c r="K93" s="129">
        <v>0.2</v>
      </c>
      <c r="L93">
        <f t="shared" si="159"/>
        <v>9.0000000000000002E-6</v>
      </c>
      <c r="M93">
        <f t="shared" si="160"/>
        <v>225000000.00000003</v>
      </c>
      <c r="N93" s="27">
        <f t="shared" ref="N93:N94" si="164">N92</f>
        <v>23262228.298017774</v>
      </c>
      <c r="O93" s="40">
        <f t="shared" si="161"/>
        <v>9.6723322081390108</v>
      </c>
      <c r="P93" s="37">
        <f t="shared" si="162"/>
        <v>2.0677536264904685E-2</v>
      </c>
      <c r="R93" s="40"/>
      <c r="T93" s="39">
        <f t="shared" si="20"/>
        <v>20.677536264904685</v>
      </c>
      <c r="U93" s="149">
        <f t="shared" si="21"/>
        <v>1125000.0000000002</v>
      </c>
      <c r="AB93"/>
      <c r="AC93"/>
      <c r="AD93"/>
    </row>
    <row r="94" spans="1:30" ht="14.45" x14ac:dyDescent="0.3">
      <c r="A94" s="35">
        <f t="shared" si="41"/>
        <v>66</v>
      </c>
      <c r="B94" s="124">
        <v>0</v>
      </c>
      <c r="C94" s="125">
        <f t="shared" si="23"/>
        <v>-8.3350000000000364</v>
      </c>
      <c r="D94" s="126">
        <f t="shared" si="22"/>
        <v>8.5</v>
      </c>
      <c r="E94" s="37">
        <f>P94</f>
        <v>2.0677536264904685E-2</v>
      </c>
      <c r="F94">
        <f t="shared" si="163"/>
        <v>8.69984</v>
      </c>
      <c r="G94">
        <v>50000</v>
      </c>
      <c r="H94">
        <f t="shared" ref="H94:H128" si="165">(I94-IF(B94,$P$23,$O$23))/(IF(B94,$P$22,$O$22)-IF(B94,$P$23,$O$23))*10</f>
        <v>0</v>
      </c>
      <c r="I94" s="127">
        <f t="shared" ref="I94:I128" si="166">$O$23</f>
        <v>4.4999999999999998E-2</v>
      </c>
      <c r="J94" s="128">
        <v>4000</v>
      </c>
      <c r="K94" s="129">
        <v>0.2</v>
      </c>
      <c r="L94">
        <f>I94*0.001*K94</f>
        <v>9.0000000000000002E-6</v>
      </c>
      <c r="M94">
        <f>L94*J94*(0.000000001)/(1.6E-19)</f>
        <v>225000000.00000003</v>
      </c>
      <c r="N94" s="27">
        <f t="shared" si="164"/>
        <v>23262228.298017774</v>
      </c>
      <c r="O94" s="40">
        <f>M94/N94</f>
        <v>9.6723322081390108</v>
      </c>
      <c r="P94" s="37">
        <f>K94/O94</f>
        <v>2.0677536264904685E-2</v>
      </c>
      <c r="R94" s="40"/>
      <c r="T94" s="39">
        <f t="shared" ref="T94:T135" si="167">P94*1000</f>
        <v>20.677536264904685</v>
      </c>
      <c r="U94" s="149">
        <f t="shared" ref="U94:U135" si="168">N94/T94</f>
        <v>1125000.0000000002</v>
      </c>
      <c r="AB94"/>
      <c r="AC94"/>
      <c r="AD94"/>
    </row>
    <row r="95" spans="1:30" ht="14.45" x14ac:dyDescent="0.3">
      <c r="A95" s="35">
        <f t="shared" si="41"/>
        <v>67</v>
      </c>
      <c r="B95" s="124">
        <v>0</v>
      </c>
      <c r="C95" s="125">
        <f t="shared" si="23"/>
        <v>-8.3340000000000369</v>
      </c>
      <c r="D95" s="126">
        <f t="shared" ref="D95:D128" si="169">D94</f>
        <v>8.5</v>
      </c>
      <c r="E95" s="37">
        <f t="shared" ref="E95" si="170">P95</f>
        <v>2.0677536264904685E-2</v>
      </c>
      <c r="F95">
        <f t="shared" si="163"/>
        <v>8.69984</v>
      </c>
      <c r="G95">
        <v>50000</v>
      </c>
      <c r="H95">
        <f t="shared" si="165"/>
        <v>0</v>
      </c>
      <c r="I95" s="127">
        <f t="shared" si="166"/>
        <v>4.4999999999999998E-2</v>
      </c>
      <c r="J95" s="128">
        <v>4000</v>
      </c>
      <c r="K95" s="129">
        <v>0.2</v>
      </c>
      <c r="L95">
        <f t="shared" ref="L95" si="171">I95*0.001*K95</f>
        <v>9.0000000000000002E-6</v>
      </c>
      <c r="M95">
        <f t="shared" ref="M95" si="172">L95*J95*(0.000000001)/(1.6E-19)</f>
        <v>225000000.00000003</v>
      </c>
      <c r="N95" s="27">
        <f>N94</f>
        <v>23262228.298017774</v>
      </c>
      <c r="O95" s="40">
        <f t="shared" ref="O95" si="173">M95/N95</f>
        <v>9.6723322081390108</v>
      </c>
      <c r="P95" s="37">
        <f t="shared" ref="P95" si="174">K95/O95</f>
        <v>2.0677536264904685E-2</v>
      </c>
      <c r="T95" s="39">
        <f t="shared" si="167"/>
        <v>20.677536264904685</v>
      </c>
      <c r="U95" s="149">
        <f t="shared" si="168"/>
        <v>1125000.0000000002</v>
      </c>
      <c r="AB95"/>
      <c r="AC95"/>
      <c r="AD95"/>
    </row>
    <row r="96" spans="1:30" ht="14.45" x14ac:dyDescent="0.3">
      <c r="A96" s="35">
        <f t="shared" si="41"/>
        <v>68</v>
      </c>
      <c r="B96" s="124">
        <v>0</v>
      </c>
      <c r="C96" s="125">
        <f t="shared" ref="C96:C119" si="175">C95+0.001</f>
        <v>-8.3330000000000375</v>
      </c>
      <c r="D96" s="126">
        <f t="shared" si="169"/>
        <v>8.5</v>
      </c>
      <c r="E96" s="37">
        <f>P96</f>
        <v>2.0677536264904685E-2</v>
      </c>
      <c r="F96">
        <f t="shared" si="163"/>
        <v>8.69984</v>
      </c>
      <c r="G96">
        <v>50000</v>
      </c>
      <c r="H96">
        <f t="shared" si="165"/>
        <v>0</v>
      </c>
      <c r="I96" s="127">
        <f t="shared" si="166"/>
        <v>4.4999999999999998E-2</v>
      </c>
      <c r="J96" s="128">
        <v>4000</v>
      </c>
      <c r="K96" s="129">
        <v>0.2</v>
      </c>
      <c r="L96">
        <f>I96*0.001*K96</f>
        <v>9.0000000000000002E-6</v>
      </c>
      <c r="M96">
        <f>L96*J96*(0.000000001)/(1.6E-19)</f>
        <v>225000000.00000003</v>
      </c>
      <c r="N96" s="27">
        <f>N95</f>
        <v>23262228.298017774</v>
      </c>
      <c r="O96" s="40">
        <f>M96/N96</f>
        <v>9.6723322081390108</v>
      </c>
      <c r="P96" s="37">
        <f>K96/O96</f>
        <v>2.0677536264904685E-2</v>
      </c>
      <c r="R96" s="40"/>
      <c r="T96" s="39">
        <f t="shared" si="167"/>
        <v>20.677536264904685</v>
      </c>
      <c r="U96" s="149">
        <f t="shared" si="168"/>
        <v>1125000.0000000002</v>
      </c>
      <c r="AB96"/>
      <c r="AC96"/>
      <c r="AD96"/>
    </row>
    <row r="97" spans="1:30" ht="14.45" x14ac:dyDescent="0.3">
      <c r="A97" s="35">
        <f>A96+1</f>
        <v>69</v>
      </c>
      <c r="B97" s="124">
        <v>0</v>
      </c>
      <c r="C97" s="125">
        <f t="shared" si="175"/>
        <v>-8.332000000000038</v>
      </c>
      <c r="D97" s="126">
        <f t="shared" si="169"/>
        <v>8.5</v>
      </c>
      <c r="E97" s="37">
        <f t="shared" ref="E97:E98" si="176">P97</f>
        <v>2.0677536264904685E-2</v>
      </c>
      <c r="F97">
        <f t="shared" si="163"/>
        <v>8.69984</v>
      </c>
      <c r="G97">
        <v>50000</v>
      </c>
      <c r="H97">
        <f t="shared" si="165"/>
        <v>0</v>
      </c>
      <c r="I97" s="127">
        <f t="shared" si="166"/>
        <v>4.4999999999999998E-2</v>
      </c>
      <c r="J97" s="128">
        <v>4000</v>
      </c>
      <c r="K97" s="129">
        <v>0.2</v>
      </c>
      <c r="L97">
        <f t="shared" ref="L97:L98" si="177">I97*0.001*K97</f>
        <v>9.0000000000000002E-6</v>
      </c>
      <c r="M97">
        <f t="shared" ref="M97:M98" si="178">L97*J97*(0.000000001)/(1.6E-19)</f>
        <v>225000000.00000003</v>
      </c>
      <c r="N97" s="27">
        <f>N96</f>
        <v>23262228.298017774</v>
      </c>
      <c r="O97" s="40">
        <f t="shared" ref="O97:O98" si="179">M97/N97</f>
        <v>9.6723322081390108</v>
      </c>
      <c r="P97" s="37">
        <f t="shared" ref="P97:P98" si="180">K97/O97</f>
        <v>2.0677536264904685E-2</v>
      </c>
      <c r="T97" s="39">
        <f t="shared" si="167"/>
        <v>20.677536264904685</v>
      </c>
      <c r="U97" s="149">
        <f t="shared" si="168"/>
        <v>1125000.0000000002</v>
      </c>
      <c r="AB97"/>
      <c r="AC97"/>
      <c r="AD97"/>
    </row>
    <row r="98" spans="1:30" ht="14.45" x14ac:dyDescent="0.3">
      <c r="A98" s="35">
        <f t="shared" si="41"/>
        <v>70</v>
      </c>
      <c r="B98" s="124">
        <v>0</v>
      </c>
      <c r="C98" s="125">
        <f t="shared" si="175"/>
        <v>-8.3310000000000386</v>
      </c>
      <c r="D98" s="126">
        <f t="shared" si="169"/>
        <v>8.5</v>
      </c>
      <c r="E98" s="37">
        <f t="shared" si="176"/>
        <v>2.0677536264904685E-2</v>
      </c>
      <c r="F98">
        <f t="shared" si="163"/>
        <v>8.69984</v>
      </c>
      <c r="G98">
        <v>50000</v>
      </c>
      <c r="H98">
        <f t="shared" si="165"/>
        <v>0</v>
      </c>
      <c r="I98" s="127">
        <f t="shared" si="166"/>
        <v>4.4999999999999998E-2</v>
      </c>
      <c r="J98" s="128">
        <v>4000</v>
      </c>
      <c r="K98" s="129">
        <v>0.2</v>
      </c>
      <c r="L98">
        <f t="shared" si="177"/>
        <v>9.0000000000000002E-6</v>
      </c>
      <c r="M98">
        <f t="shared" si="178"/>
        <v>225000000.00000003</v>
      </c>
      <c r="N98" s="27">
        <f t="shared" ref="N98:N99" si="181">N97</f>
        <v>23262228.298017774</v>
      </c>
      <c r="O98" s="40">
        <f t="shared" si="179"/>
        <v>9.6723322081390108</v>
      </c>
      <c r="P98" s="37">
        <f t="shared" si="180"/>
        <v>2.0677536264904685E-2</v>
      </c>
      <c r="R98" s="40"/>
      <c r="T98" s="39">
        <f t="shared" si="167"/>
        <v>20.677536264904685</v>
      </c>
      <c r="U98" s="149">
        <f t="shared" si="168"/>
        <v>1125000.0000000002</v>
      </c>
      <c r="AB98"/>
      <c r="AC98"/>
      <c r="AD98"/>
    </row>
    <row r="99" spans="1:30" ht="14.45" x14ac:dyDescent="0.3">
      <c r="A99" s="35">
        <f t="shared" si="41"/>
        <v>71</v>
      </c>
      <c r="B99" s="124">
        <v>0</v>
      </c>
      <c r="C99" s="125">
        <f t="shared" si="175"/>
        <v>-8.3300000000000392</v>
      </c>
      <c r="D99" s="126">
        <f t="shared" si="169"/>
        <v>8.5</v>
      </c>
      <c r="E99" s="37">
        <f>P99</f>
        <v>2.0677536264904685E-2</v>
      </c>
      <c r="F99">
        <f t="shared" si="163"/>
        <v>8.69984</v>
      </c>
      <c r="G99">
        <v>50000</v>
      </c>
      <c r="H99">
        <f t="shared" si="165"/>
        <v>0</v>
      </c>
      <c r="I99" s="127">
        <f t="shared" si="166"/>
        <v>4.4999999999999998E-2</v>
      </c>
      <c r="J99" s="128">
        <v>4000</v>
      </c>
      <c r="K99" s="129">
        <v>0.2</v>
      </c>
      <c r="L99">
        <f>I99*0.001*K99</f>
        <v>9.0000000000000002E-6</v>
      </c>
      <c r="M99">
        <f>L99*J99*(0.000000001)/(1.6E-19)</f>
        <v>225000000.00000003</v>
      </c>
      <c r="N99" s="27">
        <f t="shared" si="181"/>
        <v>23262228.298017774</v>
      </c>
      <c r="O99" s="40">
        <f>M99/N99</f>
        <v>9.6723322081390108</v>
      </c>
      <c r="P99" s="37">
        <f>K99/O99</f>
        <v>2.0677536264904685E-2</v>
      </c>
      <c r="R99" s="40"/>
      <c r="T99" s="39">
        <f t="shared" si="167"/>
        <v>20.677536264904685</v>
      </c>
      <c r="U99" s="149">
        <f t="shared" si="168"/>
        <v>1125000.0000000002</v>
      </c>
      <c r="AB99"/>
      <c r="AC99"/>
      <c r="AD99"/>
    </row>
    <row r="100" spans="1:30" ht="14.45" x14ac:dyDescent="0.3">
      <c r="A100" s="35">
        <f t="shared" si="41"/>
        <v>72</v>
      </c>
      <c r="B100" s="124">
        <v>0</v>
      </c>
      <c r="C100" s="125">
        <f t="shared" si="175"/>
        <v>-8.3290000000000397</v>
      </c>
      <c r="D100" s="126">
        <f t="shared" si="169"/>
        <v>8.5</v>
      </c>
      <c r="E100" s="37">
        <f t="shared" ref="E100" si="182">P100</f>
        <v>2.0677536264904685E-2</v>
      </c>
      <c r="F100">
        <f t="shared" si="163"/>
        <v>8.69984</v>
      </c>
      <c r="G100">
        <v>50000</v>
      </c>
      <c r="H100">
        <f t="shared" si="165"/>
        <v>0</v>
      </c>
      <c r="I100" s="127">
        <f t="shared" si="166"/>
        <v>4.4999999999999998E-2</v>
      </c>
      <c r="J100" s="128">
        <v>4000</v>
      </c>
      <c r="K100" s="129">
        <v>0.2</v>
      </c>
      <c r="L100">
        <f t="shared" ref="L100" si="183">I100*0.001*K100</f>
        <v>9.0000000000000002E-6</v>
      </c>
      <c r="M100">
        <f t="shared" ref="M100" si="184">L100*J100*(0.000000001)/(1.6E-19)</f>
        <v>225000000.00000003</v>
      </c>
      <c r="N100" s="27">
        <f>N99</f>
        <v>23262228.298017774</v>
      </c>
      <c r="O100" s="40">
        <f t="shared" ref="O100" si="185">M100/N100</f>
        <v>9.6723322081390108</v>
      </c>
      <c r="P100" s="37">
        <f t="shared" ref="P100" si="186">K100/O100</f>
        <v>2.0677536264904685E-2</v>
      </c>
      <c r="T100" s="39">
        <f t="shared" si="167"/>
        <v>20.677536264904685</v>
      </c>
      <c r="U100" s="149">
        <f t="shared" si="168"/>
        <v>1125000.0000000002</v>
      </c>
      <c r="AB100"/>
      <c r="AC100"/>
      <c r="AD100"/>
    </row>
    <row r="101" spans="1:30" ht="14.45" x14ac:dyDescent="0.3">
      <c r="A101" s="35">
        <f t="shared" si="41"/>
        <v>73</v>
      </c>
      <c r="B101" s="124">
        <v>0</v>
      </c>
      <c r="C101" s="125">
        <f t="shared" si="175"/>
        <v>-8.3280000000000403</v>
      </c>
      <c r="D101" s="126">
        <f t="shared" si="169"/>
        <v>8.5</v>
      </c>
      <c r="E101" s="37">
        <f>P101</f>
        <v>2.0677536264904685E-2</v>
      </c>
      <c r="F101">
        <f t="shared" si="163"/>
        <v>8.69984</v>
      </c>
      <c r="G101">
        <v>50000</v>
      </c>
      <c r="H101">
        <f t="shared" si="165"/>
        <v>0</v>
      </c>
      <c r="I101" s="127">
        <f t="shared" si="166"/>
        <v>4.4999999999999998E-2</v>
      </c>
      <c r="J101" s="128">
        <v>4000</v>
      </c>
      <c r="K101" s="129">
        <v>0.2</v>
      </c>
      <c r="L101">
        <f>I101*0.001*K101</f>
        <v>9.0000000000000002E-6</v>
      </c>
      <c r="M101">
        <f>L101*J101*(0.000000001)/(1.6E-19)</f>
        <v>225000000.00000003</v>
      </c>
      <c r="N101" s="27">
        <f>N100</f>
        <v>23262228.298017774</v>
      </c>
      <c r="O101" s="40">
        <f>M101/N101</f>
        <v>9.6723322081390108</v>
      </c>
      <c r="P101" s="37">
        <f>K101/O101</f>
        <v>2.0677536264904685E-2</v>
      </c>
      <c r="R101" s="40"/>
      <c r="T101" s="39">
        <f t="shared" si="167"/>
        <v>20.677536264904685</v>
      </c>
      <c r="U101" s="149">
        <f t="shared" si="168"/>
        <v>1125000.0000000002</v>
      </c>
      <c r="AB101"/>
      <c r="AC101"/>
      <c r="AD101"/>
    </row>
    <row r="102" spans="1:30" ht="14.45" x14ac:dyDescent="0.3">
      <c r="A102" s="35">
        <f>A101+1</f>
        <v>74</v>
      </c>
      <c r="B102" s="124">
        <v>0</v>
      </c>
      <c r="C102" s="125">
        <f t="shared" si="175"/>
        <v>-8.3270000000000408</v>
      </c>
      <c r="D102" s="126">
        <f t="shared" si="169"/>
        <v>8.5</v>
      </c>
      <c r="E102" s="37">
        <f t="shared" ref="E102:E103" si="187">P102</f>
        <v>2.0677536264904685E-2</v>
      </c>
      <c r="F102">
        <f t="shared" si="163"/>
        <v>8.69984</v>
      </c>
      <c r="G102">
        <v>50000</v>
      </c>
      <c r="H102">
        <f t="shared" si="165"/>
        <v>0</v>
      </c>
      <c r="I102" s="127">
        <f t="shared" si="166"/>
        <v>4.4999999999999998E-2</v>
      </c>
      <c r="J102" s="128">
        <v>4000</v>
      </c>
      <c r="K102" s="129">
        <v>0.2</v>
      </c>
      <c r="L102">
        <f t="shared" ref="L102:L103" si="188">I102*0.001*K102</f>
        <v>9.0000000000000002E-6</v>
      </c>
      <c r="M102">
        <f t="shared" ref="M102:M103" si="189">L102*J102*(0.000000001)/(1.6E-19)</f>
        <v>225000000.00000003</v>
      </c>
      <c r="N102" s="27">
        <f>N101</f>
        <v>23262228.298017774</v>
      </c>
      <c r="O102" s="40">
        <f t="shared" ref="O102:O103" si="190">M102/N102</f>
        <v>9.6723322081390108</v>
      </c>
      <c r="P102" s="37">
        <f t="shared" ref="P102:P103" si="191">K102/O102</f>
        <v>2.0677536264904685E-2</v>
      </c>
      <c r="T102" s="39">
        <f t="shared" si="167"/>
        <v>20.677536264904685</v>
      </c>
      <c r="U102" s="149">
        <f t="shared" si="168"/>
        <v>1125000.0000000002</v>
      </c>
      <c r="AB102"/>
      <c r="AC102"/>
      <c r="AD102"/>
    </row>
    <row r="103" spans="1:30" ht="14.45" x14ac:dyDescent="0.3">
      <c r="A103" s="35">
        <f t="shared" ref="A103:A116" si="192">A102+1</f>
        <v>75</v>
      </c>
      <c r="B103" s="124">
        <v>0</v>
      </c>
      <c r="C103" s="125">
        <f t="shared" si="175"/>
        <v>-8.3260000000000414</v>
      </c>
      <c r="D103" s="126">
        <f t="shared" si="169"/>
        <v>8.5</v>
      </c>
      <c r="E103" s="37">
        <f t="shared" si="187"/>
        <v>2.0677536264904685E-2</v>
      </c>
      <c r="F103">
        <f t="shared" si="163"/>
        <v>8.69984</v>
      </c>
      <c r="G103">
        <v>50000</v>
      </c>
      <c r="H103">
        <f t="shared" si="165"/>
        <v>0</v>
      </c>
      <c r="I103" s="127">
        <f t="shared" si="166"/>
        <v>4.4999999999999998E-2</v>
      </c>
      <c r="J103" s="128">
        <v>4000</v>
      </c>
      <c r="K103" s="129">
        <v>0.2</v>
      </c>
      <c r="L103">
        <f t="shared" si="188"/>
        <v>9.0000000000000002E-6</v>
      </c>
      <c r="M103">
        <f t="shared" si="189"/>
        <v>225000000.00000003</v>
      </c>
      <c r="N103" s="27">
        <f t="shared" ref="N103:N104" si="193">N102</f>
        <v>23262228.298017774</v>
      </c>
      <c r="O103" s="40">
        <f t="shared" si="190"/>
        <v>9.6723322081390108</v>
      </c>
      <c r="P103" s="37">
        <f t="shared" si="191"/>
        <v>2.0677536264904685E-2</v>
      </c>
      <c r="R103" s="40"/>
      <c r="T103" s="39">
        <f t="shared" si="167"/>
        <v>20.677536264904685</v>
      </c>
      <c r="U103" s="149">
        <f t="shared" si="168"/>
        <v>1125000.0000000002</v>
      </c>
      <c r="AB103"/>
      <c r="AC103"/>
      <c r="AD103"/>
    </row>
    <row r="104" spans="1:30" ht="14.45" x14ac:dyDescent="0.3">
      <c r="A104" s="35">
        <f t="shared" si="192"/>
        <v>76</v>
      </c>
      <c r="B104" s="124">
        <v>0</v>
      </c>
      <c r="C104" s="125">
        <f t="shared" si="175"/>
        <v>-8.3250000000000419</v>
      </c>
      <c r="D104" s="126">
        <f t="shared" si="169"/>
        <v>8.5</v>
      </c>
      <c r="E104" s="37">
        <f>P104</f>
        <v>2.0677536264904685E-2</v>
      </c>
      <c r="F104">
        <f t="shared" si="163"/>
        <v>8.69984</v>
      </c>
      <c r="G104">
        <v>50000</v>
      </c>
      <c r="H104">
        <f t="shared" si="165"/>
        <v>0</v>
      </c>
      <c r="I104" s="127">
        <f t="shared" si="166"/>
        <v>4.4999999999999998E-2</v>
      </c>
      <c r="J104" s="128">
        <v>4000</v>
      </c>
      <c r="K104" s="129">
        <v>0.2</v>
      </c>
      <c r="L104">
        <f>I104*0.001*K104</f>
        <v>9.0000000000000002E-6</v>
      </c>
      <c r="M104">
        <f>L104*J104*(0.000000001)/(1.6E-19)</f>
        <v>225000000.00000003</v>
      </c>
      <c r="N104" s="27">
        <f t="shared" si="193"/>
        <v>23262228.298017774</v>
      </c>
      <c r="O104" s="40">
        <f>M104/N104</f>
        <v>9.6723322081390108</v>
      </c>
      <c r="P104" s="37">
        <f>K104/O104</f>
        <v>2.0677536264904685E-2</v>
      </c>
      <c r="R104" s="40"/>
      <c r="T104" s="39">
        <f t="shared" si="167"/>
        <v>20.677536264904685</v>
      </c>
      <c r="U104" s="149">
        <f t="shared" si="168"/>
        <v>1125000.0000000002</v>
      </c>
      <c r="AB104"/>
      <c r="AC104"/>
      <c r="AD104"/>
    </row>
    <row r="105" spans="1:30" ht="14.45" x14ac:dyDescent="0.3">
      <c r="A105" s="35">
        <f t="shared" si="192"/>
        <v>77</v>
      </c>
      <c r="B105" s="124">
        <v>0</v>
      </c>
      <c r="C105" s="125">
        <f t="shared" si="175"/>
        <v>-8.3240000000000425</v>
      </c>
      <c r="D105" s="126">
        <f t="shared" si="169"/>
        <v>8.5</v>
      </c>
      <c r="E105" s="37">
        <f t="shared" ref="E105" si="194">P105</f>
        <v>2.0677536264904685E-2</v>
      </c>
      <c r="F105">
        <f t="shared" si="163"/>
        <v>8.69984</v>
      </c>
      <c r="G105">
        <v>50000</v>
      </c>
      <c r="H105">
        <f t="shared" si="165"/>
        <v>0</v>
      </c>
      <c r="I105" s="127">
        <f t="shared" si="166"/>
        <v>4.4999999999999998E-2</v>
      </c>
      <c r="J105" s="128">
        <v>4000</v>
      </c>
      <c r="K105" s="129">
        <v>0.2</v>
      </c>
      <c r="L105">
        <f t="shared" ref="L105" si="195">I105*0.001*K105</f>
        <v>9.0000000000000002E-6</v>
      </c>
      <c r="M105">
        <f t="shared" ref="M105" si="196">L105*J105*(0.000000001)/(1.6E-19)</f>
        <v>225000000.00000003</v>
      </c>
      <c r="N105" s="27">
        <f>N104</f>
        <v>23262228.298017774</v>
      </c>
      <c r="O105" s="40">
        <f t="shared" ref="O105" si="197">M105/N105</f>
        <v>9.6723322081390108</v>
      </c>
      <c r="P105" s="37">
        <f t="shared" ref="P105" si="198">K105/O105</f>
        <v>2.0677536264904685E-2</v>
      </c>
      <c r="T105" s="39">
        <f t="shared" si="167"/>
        <v>20.677536264904685</v>
      </c>
      <c r="U105" s="149">
        <f t="shared" si="168"/>
        <v>1125000.0000000002</v>
      </c>
      <c r="AB105"/>
      <c r="AC105"/>
      <c r="AD105"/>
    </row>
    <row r="106" spans="1:30" ht="14.45" x14ac:dyDescent="0.3">
      <c r="A106" s="35">
        <f t="shared" si="192"/>
        <v>78</v>
      </c>
      <c r="B106" s="124">
        <v>0</v>
      </c>
      <c r="C106" s="125">
        <f t="shared" si="175"/>
        <v>-8.323000000000043</v>
      </c>
      <c r="D106" s="126">
        <f t="shared" si="169"/>
        <v>8.5</v>
      </c>
      <c r="E106" s="37">
        <f>P106</f>
        <v>2.0677536264904685E-2</v>
      </c>
      <c r="F106">
        <f t="shared" si="163"/>
        <v>8.69984</v>
      </c>
      <c r="G106">
        <v>50000</v>
      </c>
      <c r="H106">
        <f t="shared" si="165"/>
        <v>0</v>
      </c>
      <c r="I106" s="127">
        <f t="shared" si="166"/>
        <v>4.4999999999999998E-2</v>
      </c>
      <c r="J106" s="128">
        <v>4000</v>
      </c>
      <c r="K106" s="129">
        <v>0.2</v>
      </c>
      <c r="L106">
        <f>I106*0.001*K106</f>
        <v>9.0000000000000002E-6</v>
      </c>
      <c r="M106">
        <f>L106*J106*(0.000000001)/(1.6E-19)</f>
        <v>225000000.00000003</v>
      </c>
      <c r="N106" s="27">
        <f>N105</f>
        <v>23262228.298017774</v>
      </c>
      <c r="O106" s="40">
        <f>M106/N106</f>
        <v>9.6723322081390108</v>
      </c>
      <c r="P106" s="37">
        <f>K106/O106</f>
        <v>2.0677536264904685E-2</v>
      </c>
      <c r="R106" s="40"/>
      <c r="T106" s="39">
        <f t="shared" si="167"/>
        <v>20.677536264904685</v>
      </c>
      <c r="U106" s="149">
        <f t="shared" si="168"/>
        <v>1125000.0000000002</v>
      </c>
      <c r="AB106"/>
      <c r="AC106"/>
      <c r="AD106"/>
    </row>
    <row r="107" spans="1:30" ht="14.45" x14ac:dyDescent="0.3">
      <c r="A107" s="35">
        <f>A106+1</f>
        <v>79</v>
      </c>
      <c r="B107" s="124">
        <v>0</v>
      </c>
      <c r="C107" s="125">
        <f t="shared" si="175"/>
        <v>-8.3220000000000436</v>
      </c>
      <c r="D107" s="126">
        <f t="shared" si="169"/>
        <v>8.5</v>
      </c>
      <c r="E107" s="37">
        <f t="shared" ref="E107:E108" si="199">P107</f>
        <v>2.0677536264904685E-2</v>
      </c>
      <c r="F107">
        <f t="shared" si="163"/>
        <v>8.69984</v>
      </c>
      <c r="G107">
        <v>50000</v>
      </c>
      <c r="H107">
        <f t="shared" si="165"/>
        <v>0</v>
      </c>
      <c r="I107" s="127">
        <f t="shared" si="166"/>
        <v>4.4999999999999998E-2</v>
      </c>
      <c r="J107" s="128">
        <v>4000</v>
      </c>
      <c r="K107" s="129">
        <v>0.2</v>
      </c>
      <c r="L107">
        <f t="shared" ref="L107:L108" si="200">I107*0.001*K107</f>
        <v>9.0000000000000002E-6</v>
      </c>
      <c r="M107">
        <f t="shared" ref="M107:M108" si="201">L107*J107*(0.000000001)/(1.6E-19)</f>
        <v>225000000.00000003</v>
      </c>
      <c r="N107" s="27">
        <f>N106</f>
        <v>23262228.298017774</v>
      </c>
      <c r="O107" s="40">
        <f t="shared" ref="O107:O108" si="202">M107/N107</f>
        <v>9.6723322081390108</v>
      </c>
      <c r="P107" s="37">
        <f t="shared" ref="P107:P108" si="203">K107/O107</f>
        <v>2.0677536264904685E-2</v>
      </c>
      <c r="T107" s="39">
        <f t="shared" si="167"/>
        <v>20.677536264904685</v>
      </c>
      <c r="U107" s="149">
        <f t="shared" si="168"/>
        <v>1125000.0000000002</v>
      </c>
      <c r="AB107"/>
      <c r="AC107"/>
      <c r="AD107"/>
    </row>
    <row r="108" spans="1:30" ht="14.45" x14ac:dyDescent="0.3">
      <c r="A108" s="35">
        <f t="shared" si="192"/>
        <v>80</v>
      </c>
      <c r="B108" s="124">
        <v>0</v>
      </c>
      <c r="C108" s="125">
        <f t="shared" si="175"/>
        <v>-8.3210000000000441</v>
      </c>
      <c r="D108" s="126">
        <f t="shared" si="169"/>
        <v>8.5</v>
      </c>
      <c r="E108" s="37">
        <f t="shared" si="199"/>
        <v>2.0677536264904685E-2</v>
      </c>
      <c r="F108">
        <f t="shared" si="163"/>
        <v>8.69984</v>
      </c>
      <c r="G108">
        <v>50000</v>
      </c>
      <c r="H108">
        <f t="shared" si="165"/>
        <v>0</v>
      </c>
      <c r="I108" s="127">
        <f t="shared" si="166"/>
        <v>4.4999999999999998E-2</v>
      </c>
      <c r="J108" s="128">
        <v>4000</v>
      </c>
      <c r="K108" s="129">
        <v>0.2</v>
      </c>
      <c r="L108">
        <f t="shared" si="200"/>
        <v>9.0000000000000002E-6</v>
      </c>
      <c r="M108">
        <f t="shared" si="201"/>
        <v>225000000.00000003</v>
      </c>
      <c r="N108" s="27">
        <f t="shared" ref="N108:N109" si="204">N107</f>
        <v>23262228.298017774</v>
      </c>
      <c r="O108" s="40">
        <f t="shared" si="202"/>
        <v>9.6723322081390108</v>
      </c>
      <c r="P108" s="37">
        <f t="shared" si="203"/>
        <v>2.0677536264904685E-2</v>
      </c>
      <c r="R108" s="40"/>
      <c r="T108" s="39">
        <f t="shared" si="167"/>
        <v>20.677536264904685</v>
      </c>
      <c r="U108" s="149">
        <f t="shared" si="168"/>
        <v>1125000.0000000002</v>
      </c>
      <c r="AB108"/>
      <c r="AC108"/>
      <c r="AD108"/>
    </row>
    <row r="109" spans="1:30" ht="14.45" x14ac:dyDescent="0.3">
      <c r="A109" s="35">
        <f t="shared" si="192"/>
        <v>81</v>
      </c>
      <c r="B109" s="124">
        <v>0</v>
      </c>
      <c r="C109" s="125">
        <f t="shared" si="175"/>
        <v>-8.3200000000000447</v>
      </c>
      <c r="D109" s="126">
        <f t="shared" si="169"/>
        <v>8.5</v>
      </c>
      <c r="E109" s="37">
        <f>P109</f>
        <v>2.0677536264904685E-2</v>
      </c>
      <c r="F109">
        <f t="shared" si="163"/>
        <v>8.69984</v>
      </c>
      <c r="G109">
        <v>50000</v>
      </c>
      <c r="H109">
        <f t="shared" si="165"/>
        <v>0</v>
      </c>
      <c r="I109" s="127">
        <f t="shared" si="166"/>
        <v>4.4999999999999998E-2</v>
      </c>
      <c r="J109" s="128">
        <v>4000</v>
      </c>
      <c r="K109" s="129">
        <v>0.2</v>
      </c>
      <c r="L109">
        <f>I109*0.001*K109</f>
        <v>9.0000000000000002E-6</v>
      </c>
      <c r="M109">
        <f>L109*J109*(0.000000001)/(1.6E-19)</f>
        <v>225000000.00000003</v>
      </c>
      <c r="N109" s="27">
        <f t="shared" si="204"/>
        <v>23262228.298017774</v>
      </c>
      <c r="O109" s="40">
        <f>M109/N109</f>
        <v>9.6723322081390108</v>
      </c>
      <c r="P109" s="37">
        <f>K109/O109</f>
        <v>2.0677536264904685E-2</v>
      </c>
      <c r="R109" s="40"/>
      <c r="T109" s="39">
        <f t="shared" si="167"/>
        <v>20.677536264904685</v>
      </c>
      <c r="U109" s="149">
        <f t="shared" si="168"/>
        <v>1125000.0000000002</v>
      </c>
      <c r="AB109"/>
      <c r="AC109"/>
      <c r="AD109"/>
    </row>
    <row r="110" spans="1:30" ht="14.45" x14ac:dyDescent="0.3">
      <c r="A110" s="35">
        <f t="shared" si="192"/>
        <v>82</v>
      </c>
      <c r="B110" s="124">
        <v>0</v>
      </c>
      <c r="C110" s="125">
        <f t="shared" si="175"/>
        <v>-8.3190000000000452</v>
      </c>
      <c r="D110" s="126">
        <f t="shared" si="169"/>
        <v>8.5</v>
      </c>
      <c r="E110" s="37">
        <f t="shared" ref="E110" si="205">P110</f>
        <v>2.0677536264904685E-2</v>
      </c>
      <c r="F110">
        <f t="shared" si="163"/>
        <v>8.69984</v>
      </c>
      <c r="G110">
        <v>50000</v>
      </c>
      <c r="H110">
        <f t="shared" si="165"/>
        <v>0</v>
      </c>
      <c r="I110" s="127">
        <f t="shared" si="166"/>
        <v>4.4999999999999998E-2</v>
      </c>
      <c r="J110" s="128">
        <v>4000</v>
      </c>
      <c r="K110" s="129">
        <v>0.2</v>
      </c>
      <c r="L110">
        <f t="shared" ref="L110" si="206">I110*0.001*K110</f>
        <v>9.0000000000000002E-6</v>
      </c>
      <c r="M110">
        <f t="shared" ref="M110" si="207">L110*J110*(0.000000001)/(1.6E-19)</f>
        <v>225000000.00000003</v>
      </c>
      <c r="N110" s="27">
        <f>N109</f>
        <v>23262228.298017774</v>
      </c>
      <c r="O110" s="40">
        <f t="shared" ref="O110" si="208">M110/N110</f>
        <v>9.6723322081390108</v>
      </c>
      <c r="P110" s="37">
        <f t="shared" ref="P110" si="209">K110/O110</f>
        <v>2.0677536264904685E-2</v>
      </c>
      <c r="T110" s="39">
        <f t="shared" si="167"/>
        <v>20.677536264904685</v>
      </c>
      <c r="U110" s="149">
        <f t="shared" si="168"/>
        <v>1125000.0000000002</v>
      </c>
      <c r="AB110"/>
      <c r="AC110"/>
      <c r="AD110"/>
    </row>
    <row r="111" spans="1:30" x14ac:dyDescent="0.25">
      <c r="A111" s="35">
        <f t="shared" si="192"/>
        <v>83</v>
      </c>
      <c r="B111" s="124">
        <v>0</v>
      </c>
      <c r="C111" s="125">
        <f t="shared" si="175"/>
        <v>-8.3180000000000458</v>
      </c>
      <c r="D111" s="126">
        <f t="shared" si="169"/>
        <v>8.5</v>
      </c>
      <c r="E111" s="37">
        <f>P111</f>
        <v>2.0677536264904685E-2</v>
      </c>
      <c r="F111">
        <f t="shared" si="163"/>
        <v>8.69984</v>
      </c>
      <c r="G111">
        <v>50000</v>
      </c>
      <c r="H111">
        <f t="shared" si="165"/>
        <v>0</v>
      </c>
      <c r="I111" s="127">
        <f t="shared" si="166"/>
        <v>4.4999999999999998E-2</v>
      </c>
      <c r="J111" s="128">
        <v>4000</v>
      </c>
      <c r="K111" s="129">
        <v>0.2</v>
      </c>
      <c r="L111">
        <f>I111*0.001*K111</f>
        <v>9.0000000000000002E-6</v>
      </c>
      <c r="M111">
        <f>L111*J111*(0.000000001)/(1.6E-19)</f>
        <v>225000000.00000003</v>
      </c>
      <c r="N111" s="27">
        <f>N110</f>
        <v>23262228.298017774</v>
      </c>
      <c r="O111" s="40">
        <f>M111/N111</f>
        <v>9.6723322081390108</v>
      </c>
      <c r="P111" s="37">
        <f>K111/O111</f>
        <v>2.0677536264904685E-2</v>
      </c>
      <c r="R111" s="40"/>
      <c r="T111" s="39">
        <f t="shared" si="167"/>
        <v>20.677536264904685</v>
      </c>
      <c r="U111" s="149">
        <f t="shared" si="168"/>
        <v>1125000.0000000002</v>
      </c>
      <c r="AB111"/>
      <c r="AC111"/>
      <c r="AD111"/>
    </row>
    <row r="112" spans="1:30" x14ac:dyDescent="0.25">
      <c r="A112" s="35">
        <f>A111+1</f>
        <v>84</v>
      </c>
      <c r="B112" s="124">
        <v>0</v>
      </c>
      <c r="C112" s="125">
        <f t="shared" si="175"/>
        <v>-8.3170000000000464</v>
      </c>
      <c r="D112" s="126">
        <f t="shared" si="169"/>
        <v>8.5</v>
      </c>
      <c r="E112" s="37">
        <f t="shared" ref="E112:E113" si="210">P112</f>
        <v>2.0677536264904685E-2</v>
      </c>
      <c r="F112">
        <f t="shared" si="163"/>
        <v>8.69984</v>
      </c>
      <c r="G112">
        <v>50000</v>
      </c>
      <c r="H112">
        <f t="shared" si="165"/>
        <v>0</v>
      </c>
      <c r="I112" s="127">
        <f t="shared" si="166"/>
        <v>4.4999999999999998E-2</v>
      </c>
      <c r="J112" s="128">
        <v>4000</v>
      </c>
      <c r="K112" s="129">
        <v>0.2</v>
      </c>
      <c r="L112">
        <f t="shared" ref="L112:L113" si="211">I112*0.001*K112</f>
        <v>9.0000000000000002E-6</v>
      </c>
      <c r="M112">
        <f t="shared" ref="M112:M113" si="212">L112*J112*(0.000000001)/(1.6E-19)</f>
        <v>225000000.00000003</v>
      </c>
      <c r="N112" s="27">
        <f>N111</f>
        <v>23262228.298017774</v>
      </c>
      <c r="O112" s="40">
        <f t="shared" ref="O112:O113" si="213">M112/N112</f>
        <v>9.6723322081390108</v>
      </c>
      <c r="P112" s="37">
        <f t="shared" ref="P112:P113" si="214">K112/O112</f>
        <v>2.0677536264904685E-2</v>
      </c>
      <c r="T112" s="39">
        <f t="shared" si="167"/>
        <v>20.677536264904685</v>
      </c>
      <c r="U112" s="149">
        <f t="shared" si="168"/>
        <v>1125000.0000000002</v>
      </c>
      <c r="AB112"/>
      <c r="AC112"/>
      <c r="AD112"/>
    </row>
    <row r="113" spans="1:30" x14ac:dyDescent="0.25">
      <c r="A113" s="35">
        <f t="shared" si="192"/>
        <v>85</v>
      </c>
      <c r="B113" s="124">
        <v>0</v>
      </c>
      <c r="C113" s="125">
        <f t="shared" si="175"/>
        <v>-8.3160000000000469</v>
      </c>
      <c r="D113" s="126">
        <f t="shared" si="169"/>
        <v>8.5</v>
      </c>
      <c r="E113" s="37">
        <f t="shared" si="210"/>
        <v>2.0677536264904685E-2</v>
      </c>
      <c r="F113">
        <f t="shared" si="163"/>
        <v>8.69984</v>
      </c>
      <c r="G113">
        <v>50000</v>
      </c>
      <c r="H113">
        <f t="shared" si="165"/>
        <v>0</v>
      </c>
      <c r="I113" s="127">
        <f t="shared" si="166"/>
        <v>4.4999999999999998E-2</v>
      </c>
      <c r="J113" s="128">
        <v>4000</v>
      </c>
      <c r="K113" s="129">
        <v>0.2</v>
      </c>
      <c r="L113">
        <f t="shared" si="211"/>
        <v>9.0000000000000002E-6</v>
      </c>
      <c r="M113">
        <f t="shared" si="212"/>
        <v>225000000.00000003</v>
      </c>
      <c r="N113" s="27">
        <f t="shared" ref="N113:N114" si="215">N112</f>
        <v>23262228.298017774</v>
      </c>
      <c r="O113" s="40">
        <f t="shared" si="213"/>
        <v>9.6723322081390108</v>
      </c>
      <c r="P113" s="37">
        <f t="shared" si="214"/>
        <v>2.0677536264904685E-2</v>
      </c>
      <c r="R113" s="40"/>
      <c r="T113" s="39">
        <f t="shared" si="167"/>
        <v>20.677536264904685</v>
      </c>
      <c r="U113" s="149">
        <f t="shared" si="168"/>
        <v>1125000.0000000002</v>
      </c>
      <c r="AB113"/>
      <c r="AC113"/>
      <c r="AD113"/>
    </row>
    <row r="114" spans="1:30" x14ac:dyDescent="0.25">
      <c r="A114" s="35">
        <f t="shared" si="192"/>
        <v>86</v>
      </c>
      <c r="B114" s="124">
        <v>0</v>
      </c>
      <c r="C114" s="125">
        <f t="shared" si="175"/>
        <v>-8.3150000000000475</v>
      </c>
      <c r="D114" s="126">
        <f t="shared" si="169"/>
        <v>8.5</v>
      </c>
      <c r="E114" s="37">
        <f>P114</f>
        <v>2.0677536264904685E-2</v>
      </c>
      <c r="F114">
        <f t="shared" si="163"/>
        <v>8.69984</v>
      </c>
      <c r="G114">
        <v>50000</v>
      </c>
      <c r="H114">
        <f t="shared" si="165"/>
        <v>0</v>
      </c>
      <c r="I114" s="127">
        <f t="shared" si="166"/>
        <v>4.4999999999999998E-2</v>
      </c>
      <c r="J114" s="128">
        <v>4000</v>
      </c>
      <c r="K114" s="129">
        <v>0.2</v>
      </c>
      <c r="L114">
        <f>I114*0.001*K114</f>
        <v>9.0000000000000002E-6</v>
      </c>
      <c r="M114">
        <f>L114*J114*(0.000000001)/(1.6E-19)</f>
        <v>225000000.00000003</v>
      </c>
      <c r="N114" s="27">
        <f t="shared" si="215"/>
        <v>23262228.298017774</v>
      </c>
      <c r="O114" s="40">
        <f>M114/N114</f>
        <v>9.6723322081390108</v>
      </c>
      <c r="P114" s="37">
        <f>K114/O114</f>
        <v>2.0677536264904685E-2</v>
      </c>
      <c r="R114" s="40"/>
      <c r="T114" s="39">
        <f t="shared" si="167"/>
        <v>20.677536264904685</v>
      </c>
      <c r="U114" s="149">
        <f t="shared" si="168"/>
        <v>1125000.0000000002</v>
      </c>
      <c r="AB114"/>
      <c r="AC114"/>
      <c r="AD114"/>
    </row>
    <row r="115" spans="1:30" x14ac:dyDescent="0.25">
      <c r="A115" s="35">
        <f t="shared" si="192"/>
        <v>87</v>
      </c>
      <c r="B115" s="124">
        <v>0</v>
      </c>
      <c r="C115" s="125">
        <f t="shared" si="175"/>
        <v>-8.314000000000048</v>
      </c>
      <c r="D115" s="126">
        <f t="shared" si="169"/>
        <v>8.5</v>
      </c>
      <c r="E115" s="37">
        <f t="shared" ref="E115" si="216">P115</f>
        <v>2.0677536264904685E-2</v>
      </c>
      <c r="F115">
        <f t="shared" si="163"/>
        <v>8.69984</v>
      </c>
      <c r="G115">
        <v>50000</v>
      </c>
      <c r="H115">
        <f t="shared" si="165"/>
        <v>0</v>
      </c>
      <c r="I115" s="127">
        <f t="shared" si="166"/>
        <v>4.4999999999999998E-2</v>
      </c>
      <c r="J115" s="128">
        <v>4000</v>
      </c>
      <c r="K115" s="129">
        <v>0.2</v>
      </c>
      <c r="L115">
        <f t="shared" ref="L115" si="217">I115*0.001*K115</f>
        <v>9.0000000000000002E-6</v>
      </c>
      <c r="M115">
        <f t="shared" ref="M115" si="218">L115*J115*(0.000000001)/(1.6E-19)</f>
        <v>225000000.00000003</v>
      </c>
      <c r="N115" s="27">
        <f>N114</f>
        <v>23262228.298017774</v>
      </c>
      <c r="O115" s="40">
        <f t="shared" ref="O115" si="219">M115/N115</f>
        <v>9.6723322081390108</v>
      </c>
      <c r="P115" s="37">
        <f t="shared" ref="P115" si="220">K115/O115</f>
        <v>2.0677536264904685E-2</v>
      </c>
      <c r="T115" s="39">
        <f t="shared" si="167"/>
        <v>20.677536264904685</v>
      </c>
      <c r="U115" s="149">
        <f t="shared" si="168"/>
        <v>1125000.0000000002</v>
      </c>
      <c r="AB115"/>
      <c r="AC115"/>
      <c r="AD115"/>
    </row>
    <row r="116" spans="1:30" x14ac:dyDescent="0.25">
      <c r="A116" s="35">
        <f t="shared" si="192"/>
        <v>88</v>
      </c>
      <c r="B116" s="124">
        <v>0</v>
      </c>
      <c r="C116" s="125">
        <f t="shared" si="175"/>
        <v>-8.3130000000000486</v>
      </c>
      <c r="D116" s="126">
        <f t="shared" si="169"/>
        <v>8.5</v>
      </c>
      <c r="E116" s="37">
        <f>P116</f>
        <v>2.0677536264904685E-2</v>
      </c>
      <c r="F116">
        <f t="shared" si="163"/>
        <v>8.69984</v>
      </c>
      <c r="G116">
        <v>50000</v>
      </c>
      <c r="H116">
        <f t="shared" si="165"/>
        <v>0</v>
      </c>
      <c r="I116" s="127">
        <f t="shared" si="166"/>
        <v>4.4999999999999998E-2</v>
      </c>
      <c r="J116" s="128">
        <v>4000</v>
      </c>
      <c r="K116" s="129">
        <v>0.2</v>
      </c>
      <c r="L116">
        <f>I116*0.001*K116</f>
        <v>9.0000000000000002E-6</v>
      </c>
      <c r="M116">
        <f>L116*J116*(0.000000001)/(1.6E-19)</f>
        <v>225000000.00000003</v>
      </c>
      <c r="N116" s="27">
        <f>N115</f>
        <v>23262228.298017774</v>
      </c>
      <c r="O116" s="40">
        <f>M116/N116</f>
        <v>9.6723322081390108</v>
      </c>
      <c r="P116" s="37">
        <f>K116/O116</f>
        <v>2.0677536264904685E-2</v>
      </c>
      <c r="R116" s="40"/>
      <c r="T116" s="39">
        <f t="shared" si="167"/>
        <v>20.677536264904685</v>
      </c>
      <c r="U116" s="149">
        <f t="shared" si="168"/>
        <v>1125000.0000000002</v>
      </c>
      <c r="AB116"/>
      <c r="AC116"/>
      <c r="AD116"/>
    </row>
    <row r="117" spans="1:30" x14ac:dyDescent="0.25">
      <c r="A117" s="35">
        <f>A116+1</f>
        <v>89</v>
      </c>
      <c r="B117" s="124">
        <v>0</v>
      </c>
      <c r="C117" s="125">
        <f t="shared" si="175"/>
        <v>-8.3120000000000491</v>
      </c>
      <c r="D117" s="126">
        <f t="shared" si="169"/>
        <v>8.5</v>
      </c>
      <c r="E117" s="37">
        <f t="shared" ref="E117:E118" si="221">P117</f>
        <v>2.0677536264904685E-2</v>
      </c>
      <c r="F117">
        <f t="shared" si="163"/>
        <v>8.69984</v>
      </c>
      <c r="G117">
        <v>50000</v>
      </c>
      <c r="H117">
        <f t="shared" si="165"/>
        <v>0</v>
      </c>
      <c r="I117" s="127">
        <f t="shared" si="166"/>
        <v>4.4999999999999998E-2</v>
      </c>
      <c r="J117" s="128">
        <v>4000</v>
      </c>
      <c r="K117" s="129">
        <v>0.2</v>
      </c>
      <c r="L117">
        <f t="shared" ref="L117:L118" si="222">I117*0.001*K117</f>
        <v>9.0000000000000002E-6</v>
      </c>
      <c r="M117">
        <f t="shared" ref="M117:M118" si="223">L117*J117*(0.000000001)/(1.6E-19)</f>
        <v>225000000.00000003</v>
      </c>
      <c r="N117" s="27">
        <f>N116</f>
        <v>23262228.298017774</v>
      </c>
      <c r="O117" s="40">
        <f t="shared" ref="O117:O118" si="224">M117/N117</f>
        <v>9.6723322081390108</v>
      </c>
      <c r="P117" s="37">
        <f t="shared" ref="P117:P118" si="225">K117/O117</f>
        <v>2.0677536264904685E-2</v>
      </c>
      <c r="T117" s="39">
        <f t="shared" si="167"/>
        <v>20.677536264904685</v>
      </c>
      <c r="U117" s="149">
        <f t="shared" si="168"/>
        <v>1125000.0000000002</v>
      </c>
      <c r="AB117"/>
      <c r="AC117"/>
      <c r="AD117"/>
    </row>
    <row r="118" spans="1:30" x14ac:dyDescent="0.25">
      <c r="A118" s="35">
        <f t="shared" ref="A118:A128" si="226">A117+1</f>
        <v>90</v>
      </c>
      <c r="B118" s="124">
        <v>0</v>
      </c>
      <c r="C118" s="125">
        <f t="shared" si="175"/>
        <v>-8.3110000000000497</v>
      </c>
      <c r="D118" s="126">
        <f t="shared" si="169"/>
        <v>8.5</v>
      </c>
      <c r="E118" s="37">
        <f t="shared" si="221"/>
        <v>2.0677536264904685E-2</v>
      </c>
      <c r="F118">
        <f t="shared" si="163"/>
        <v>8.69984</v>
      </c>
      <c r="G118">
        <v>50000</v>
      </c>
      <c r="H118">
        <f t="shared" si="165"/>
        <v>0</v>
      </c>
      <c r="I118" s="127">
        <f t="shared" si="166"/>
        <v>4.4999999999999998E-2</v>
      </c>
      <c r="J118" s="128">
        <v>4000</v>
      </c>
      <c r="K118" s="129">
        <v>0.2</v>
      </c>
      <c r="L118">
        <f t="shared" si="222"/>
        <v>9.0000000000000002E-6</v>
      </c>
      <c r="M118">
        <f t="shared" si="223"/>
        <v>225000000.00000003</v>
      </c>
      <c r="N118" s="27">
        <f t="shared" ref="N118:N119" si="227">N117</f>
        <v>23262228.298017774</v>
      </c>
      <c r="O118" s="40">
        <f t="shared" si="224"/>
        <v>9.6723322081390108</v>
      </c>
      <c r="P118" s="37">
        <f t="shared" si="225"/>
        <v>2.0677536264904685E-2</v>
      </c>
      <c r="R118" s="40"/>
      <c r="T118" s="39">
        <f t="shared" si="167"/>
        <v>20.677536264904685</v>
      </c>
      <c r="U118" s="149">
        <f t="shared" si="168"/>
        <v>1125000.0000000002</v>
      </c>
      <c r="AB118"/>
      <c r="AC118"/>
      <c r="AD118"/>
    </row>
    <row r="119" spans="1:30" x14ac:dyDescent="0.25">
      <c r="A119" s="35">
        <f t="shared" si="226"/>
        <v>91</v>
      </c>
      <c r="B119" s="124">
        <v>0</v>
      </c>
      <c r="C119" s="125">
        <f t="shared" si="175"/>
        <v>-8.3100000000000502</v>
      </c>
      <c r="D119" s="126">
        <f t="shared" si="169"/>
        <v>8.5</v>
      </c>
      <c r="E119" s="37">
        <f>P119</f>
        <v>2.0677536264904685E-2</v>
      </c>
      <c r="F119">
        <f t="shared" si="163"/>
        <v>8.69984</v>
      </c>
      <c r="G119">
        <v>50000</v>
      </c>
      <c r="H119">
        <f t="shared" si="165"/>
        <v>0</v>
      </c>
      <c r="I119" s="127">
        <f t="shared" si="166"/>
        <v>4.4999999999999998E-2</v>
      </c>
      <c r="J119" s="128">
        <v>4000</v>
      </c>
      <c r="K119" s="129">
        <v>0.2</v>
      </c>
      <c r="L119">
        <f>I119*0.001*K119</f>
        <v>9.0000000000000002E-6</v>
      </c>
      <c r="M119">
        <f>L119*J119*(0.000000001)/(1.6E-19)</f>
        <v>225000000.00000003</v>
      </c>
      <c r="N119" s="27">
        <f t="shared" si="227"/>
        <v>23262228.298017774</v>
      </c>
      <c r="O119" s="40">
        <f>M119/N119</f>
        <v>9.6723322081390108</v>
      </c>
      <c r="P119" s="37">
        <f>K119/O119</f>
        <v>2.0677536264904685E-2</v>
      </c>
      <c r="R119" s="40"/>
      <c r="T119" s="39">
        <f t="shared" si="167"/>
        <v>20.677536264904685</v>
      </c>
      <c r="U119" s="149">
        <f t="shared" si="168"/>
        <v>1125000.0000000002</v>
      </c>
      <c r="AB119"/>
      <c r="AC119"/>
      <c r="AD119"/>
    </row>
    <row r="120" spans="1:30" x14ac:dyDescent="0.25">
      <c r="A120" s="35">
        <f t="shared" si="226"/>
        <v>92</v>
      </c>
      <c r="B120" s="124">
        <v>0</v>
      </c>
      <c r="C120" s="125">
        <f>C119+0.0005</f>
        <v>-8.3095000000000496</v>
      </c>
      <c r="D120" s="126">
        <f t="shared" si="169"/>
        <v>8.5</v>
      </c>
      <c r="E120" s="37">
        <f t="shared" ref="E120" si="228">P120</f>
        <v>2.0677536264904685E-2</v>
      </c>
      <c r="F120">
        <f t="shared" si="163"/>
        <v>8.69984</v>
      </c>
      <c r="G120">
        <v>50000</v>
      </c>
      <c r="H120">
        <f t="shared" si="165"/>
        <v>0</v>
      </c>
      <c r="I120" s="127">
        <f t="shared" si="166"/>
        <v>4.4999999999999998E-2</v>
      </c>
      <c r="J120" s="128">
        <v>4000</v>
      </c>
      <c r="K120" s="129">
        <v>0.2</v>
      </c>
      <c r="L120">
        <f t="shared" ref="L120" si="229">I120*0.001*K120</f>
        <v>9.0000000000000002E-6</v>
      </c>
      <c r="M120">
        <f t="shared" ref="M120" si="230">L120*J120*(0.000000001)/(1.6E-19)</f>
        <v>225000000.00000003</v>
      </c>
      <c r="N120" s="27">
        <f>N119</f>
        <v>23262228.298017774</v>
      </c>
      <c r="O120" s="40">
        <f t="shared" ref="O120" si="231">M120/N120</f>
        <v>9.6723322081390108</v>
      </c>
      <c r="P120" s="37">
        <f t="shared" ref="P120" si="232">K120/O120</f>
        <v>2.0677536264904685E-2</v>
      </c>
      <c r="T120" s="39">
        <f t="shared" si="167"/>
        <v>20.677536264904685</v>
      </c>
      <c r="U120" s="149">
        <f t="shared" si="168"/>
        <v>1125000.0000000002</v>
      </c>
      <c r="AB120"/>
      <c r="AC120"/>
      <c r="AD120"/>
    </row>
    <row r="121" spans="1:30" x14ac:dyDescent="0.25">
      <c r="A121" s="35">
        <f t="shared" si="226"/>
        <v>93</v>
      </c>
      <c r="B121" s="124">
        <v>0</v>
      </c>
      <c r="C121" s="125">
        <f t="shared" ref="C121:C128" si="233">C120+0.0005</f>
        <v>-8.309000000000049</v>
      </c>
      <c r="D121" s="126">
        <f t="shared" si="169"/>
        <v>8.5</v>
      </c>
      <c r="E121" s="37">
        <f>P121</f>
        <v>2.0677536264904685E-2</v>
      </c>
      <c r="F121">
        <f t="shared" si="163"/>
        <v>8.69984</v>
      </c>
      <c r="G121">
        <v>50000</v>
      </c>
      <c r="H121">
        <f t="shared" si="165"/>
        <v>0</v>
      </c>
      <c r="I121" s="127">
        <f t="shared" si="166"/>
        <v>4.4999999999999998E-2</v>
      </c>
      <c r="J121" s="128">
        <v>4000</v>
      </c>
      <c r="K121" s="129">
        <v>0.2</v>
      </c>
      <c r="L121">
        <f>I121*0.001*K121</f>
        <v>9.0000000000000002E-6</v>
      </c>
      <c r="M121">
        <f>L121*J121*(0.000000001)/(1.6E-19)</f>
        <v>225000000.00000003</v>
      </c>
      <c r="N121" s="27">
        <f>N120</f>
        <v>23262228.298017774</v>
      </c>
      <c r="O121" s="40">
        <f>M121/N121</f>
        <v>9.6723322081390108</v>
      </c>
      <c r="P121" s="37">
        <f>K121/O121</f>
        <v>2.0677536264904685E-2</v>
      </c>
      <c r="R121" s="40"/>
      <c r="T121" s="39">
        <f t="shared" si="167"/>
        <v>20.677536264904685</v>
      </c>
      <c r="U121" s="149">
        <f t="shared" si="168"/>
        <v>1125000.0000000002</v>
      </c>
      <c r="AB121"/>
      <c r="AC121"/>
      <c r="AD121"/>
    </row>
    <row r="122" spans="1:30" x14ac:dyDescent="0.25">
      <c r="A122" s="35">
        <f>A121+1</f>
        <v>94</v>
      </c>
      <c r="B122" s="124">
        <v>0</v>
      </c>
      <c r="C122" s="125">
        <f t="shared" si="233"/>
        <v>-8.3085000000000484</v>
      </c>
      <c r="D122" s="126">
        <f t="shared" si="169"/>
        <v>8.5</v>
      </c>
      <c r="E122" s="37">
        <f t="shared" ref="E122:E123" si="234">P122</f>
        <v>2.0677536264904685E-2</v>
      </c>
      <c r="F122">
        <f t="shared" si="163"/>
        <v>8.69984</v>
      </c>
      <c r="G122">
        <v>50000</v>
      </c>
      <c r="H122">
        <f t="shared" si="165"/>
        <v>0</v>
      </c>
      <c r="I122" s="127">
        <f t="shared" si="166"/>
        <v>4.4999999999999998E-2</v>
      </c>
      <c r="J122" s="128">
        <v>4000</v>
      </c>
      <c r="K122" s="129">
        <v>0.2</v>
      </c>
      <c r="L122">
        <f t="shared" ref="L122:L123" si="235">I122*0.001*K122</f>
        <v>9.0000000000000002E-6</v>
      </c>
      <c r="M122">
        <f t="shared" ref="M122:M123" si="236">L122*J122*(0.000000001)/(1.6E-19)</f>
        <v>225000000.00000003</v>
      </c>
      <c r="N122" s="27">
        <f>N121</f>
        <v>23262228.298017774</v>
      </c>
      <c r="O122" s="40">
        <f t="shared" ref="O122:O123" si="237">M122/N122</f>
        <v>9.6723322081390108</v>
      </c>
      <c r="P122" s="37">
        <f t="shared" ref="P122:P123" si="238">K122/O122</f>
        <v>2.0677536264904685E-2</v>
      </c>
      <c r="T122" s="39">
        <f t="shared" si="167"/>
        <v>20.677536264904685</v>
      </c>
      <c r="U122" s="149">
        <f t="shared" si="168"/>
        <v>1125000.0000000002</v>
      </c>
      <c r="AB122"/>
      <c r="AC122"/>
      <c r="AD122"/>
    </row>
    <row r="123" spans="1:30" x14ac:dyDescent="0.25">
      <c r="A123" s="35">
        <f t="shared" si="226"/>
        <v>95</v>
      </c>
      <c r="B123" s="124">
        <v>0</v>
      </c>
      <c r="C123" s="125">
        <f t="shared" si="233"/>
        <v>-8.3080000000000478</v>
      </c>
      <c r="D123" s="126">
        <f t="shared" si="169"/>
        <v>8.5</v>
      </c>
      <c r="E123" s="37">
        <f t="shared" si="234"/>
        <v>2.0677536264904685E-2</v>
      </c>
      <c r="F123">
        <f t="shared" si="163"/>
        <v>8.69984</v>
      </c>
      <c r="G123">
        <v>50000</v>
      </c>
      <c r="H123">
        <f t="shared" si="165"/>
        <v>0</v>
      </c>
      <c r="I123" s="127">
        <f t="shared" si="166"/>
        <v>4.4999999999999998E-2</v>
      </c>
      <c r="J123" s="128">
        <v>4000</v>
      </c>
      <c r="K123" s="129">
        <v>0.2</v>
      </c>
      <c r="L123">
        <f t="shared" si="235"/>
        <v>9.0000000000000002E-6</v>
      </c>
      <c r="M123">
        <f t="shared" si="236"/>
        <v>225000000.00000003</v>
      </c>
      <c r="N123" s="27">
        <f t="shared" ref="N123:N124" si="239">N122</f>
        <v>23262228.298017774</v>
      </c>
      <c r="O123" s="40">
        <f t="shared" si="237"/>
        <v>9.6723322081390108</v>
      </c>
      <c r="P123" s="37">
        <f t="shared" si="238"/>
        <v>2.0677536264904685E-2</v>
      </c>
      <c r="R123" s="40"/>
      <c r="T123" s="39">
        <f t="shared" si="167"/>
        <v>20.677536264904685</v>
      </c>
      <c r="U123" s="149">
        <f t="shared" si="168"/>
        <v>1125000.0000000002</v>
      </c>
      <c r="AB123"/>
      <c r="AC123"/>
      <c r="AD123"/>
    </row>
    <row r="124" spans="1:30" x14ac:dyDescent="0.25">
      <c r="A124" s="35">
        <f t="shared" si="226"/>
        <v>96</v>
      </c>
      <c r="B124" s="124">
        <v>0</v>
      </c>
      <c r="C124" s="125">
        <f t="shared" si="233"/>
        <v>-8.3075000000000472</v>
      </c>
      <c r="D124" s="126">
        <f t="shared" si="169"/>
        <v>8.5</v>
      </c>
      <c r="E124" s="37">
        <f>P124</f>
        <v>2.0677536264904685E-2</v>
      </c>
      <c r="F124">
        <f t="shared" si="163"/>
        <v>8.69984</v>
      </c>
      <c r="G124">
        <v>50000</v>
      </c>
      <c r="H124">
        <f t="shared" si="165"/>
        <v>0</v>
      </c>
      <c r="I124" s="127">
        <f t="shared" si="166"/>
        <v>4.4999999999999998E-2</v>
      </c>
      <c r="J124" s="128">
        <v>4000</v>
      </c>
      <c r="K124" s="129">
        <v>0.2</v>
      </c>
      <c r="L124">
        <f>I124*0.001*K124</f>
        <v>9.0000000000000002E-6</v>
      </c>
      <c r="M124">
        <f>L124*J124*(0.000000001)/(1.6E-19)</f>
        <v>225000000.00000003</v>
      </c>
      <c r="N124" s="27">
        <f t="shared" si="239"/>
        <v>23262228.298017774</v>
      </c>
      <c r="O124" s="40">
        <f>M124/N124</f>
        <v>9.6723322081390108</v>
      </c>
      <c r="P124" s="37">
        <f>K124/O124</f>
        <v>2.0677536264904685E-2</v>
      </c>
      <c r="R124" s="40"/>
      <c r="T124" s="39">
        <f t="shared" si="167"/>
        <v>20.677536264904685</v>
      </c>
      <c r="U124" s="149">
        <f t="shared" si="168"/>
        <v>1125000.0000000002</v>
      </c>
      <c r="AB124"/>
      <c r="AC124"/>
      <c r="AD124"/>
    </row>
    <row r="125" spans="1:30" x14ac:dyDescent="0.25">
      <c r="A125" s="35">
        <f t="shared" si="226"/>
        <v>97</v>
      </c>
      <c r="B125" s="124">
        <v>0</v>
      </c>
      <c r="C125" s="125">
        <f t="shared" si="233"/>
        <v>-8.3070000000000466</v>
      </c>
      <c r="D125" s="126">
        <f t="shared" si="169"/>
        <v>8.5</v>
      </c>
      <c r="E125" s="37">
        <f t="shared" ref="E125" si="240">P125</f>
        <v>2.0677536264904685E-2</v>
      </c>
      <c r="F125">
        <f t="shared" si="163"/>
        <v>8.69984</v>
      </c>
      <c r="G125">
        <v>50000</v>
      </c>
      <c r="H125">
        <f t="shared" si="165"/>
        <v>0</v>
      </c>
      <c r="I125" s="127">
        <f t="shared" si="166"/>
        <v>4.4999999999999998E-2</v>
      </c>
      <c r="J125" s="128">
        <v>4000</v>
      </c>
      <c r="K125" s="129">
        <v>0.2</v>
      </c>
      <c r="L125">
        <f t="shared" ref="L125" si="241">I125*0.001*K125</f>
        <v>9.0000000000000002E-6</v>
      </c>
      <c r="M125">
        <f t="shared" ref="M125" si="242">L125*J125*(0.000000001)/(1.6E-19)</f>
        <v>225000000.00000003</v>
      </c>
      <c r="N125" s="27">
        <f>N124</f>
        <v>23262228.298017774</v>
      </c>
      <c r="O125" s="40">
        <f t="shared" ref="O125" si="243">M125/N125</f>
        <v>9.6723322081390108</v>
      </c>
      <c r="P125" s="37">
        <f t="shared" ref="P125" si="244">K125/O125</f>
        <v>2.0677536264904685E-2</v>
      </c>
      <c r="T125" s="39">
        <f t="shared" si="167"/>
        <v>20.677536264904685</v>
      </c>
      <c r="U125" s="149">
        <f t="shared" si="168"/>
        <v>1125000.0000000002</v>
      </c>
      <c r="AB125"/>
      <c r="AC125"/>
      <c r="AD125"/>
    </row>
    <row r="126" spans="1:30" x14ac:dyDescent="0.25">
      <c r="A126" s="35">
        <f t="shared" si="226"/>
        <v>98</v>
      </c>
      <c r="B126" s="124">
        <v>0</v>
      </c>
      <c r="C126" s="125">
        <f t="shared" si="233"/>
        <v>-8.306500000000046</v>
      </c>
      <c r="D126" s="126">
        <f t="shared" si="169"/>
        <v>8.5</v>
      </c>
      <c r="E126" s="37">
        <f>P126</f>
        <v>2.0677536264904685E-2</v>
      </c>
      <c r="F126">
        <f t="shared" si="163"/>
        <v>8.69984</v>
      </c>
      <c r="G126">
        <v>50000</v>
      </c>
      <c r="H126">
        <f t="shared" si="165"/>
        <v>0</v>
      </c>
      <c r="I126" s="127">
        <f t="shared" si="166"/>
        <v>4.4999999999999998E-2</v>
      </c>
      <c r="J126" s="128">
        <v>4000</v>
      </c>
      <c r="K126" s="129">
        <v>0.2</v>
      </c>
      <c r="L126">
        <f>I126*0.001*K126</f>
        <v>9.0000000000000002E-6</v>
      </c>
      <c r="M126">
        <f>L126*J126*(0.000000001)/(1.6E-19)</f>
        <v>225000000.00000003</v>
      </c>
      <c r="N126" s="27">
        <f>N125</f>
        <v>23262228.298017774</v>
      </c>
      <c r="O126" s="40">
        <f>M126/N126</f>
        <v>9.6723322081390108</v>
      </c>
      <c r="P126" s="37">
        <f>K126/O126</f>
        <v>2.0677536264904685E-2</v>
      </c>
      <c r="R126" s="40"/>
      <c r="T126" s="39">
        <f t="shared" si="167"/>
        <v>20.677536264904685</v>
      </c>
      <c r="U126" s="149">
        <f t="shared" si="168"/>
        <v>1125000.0000000002</v>
      </c>
      <c r="AB126"/>
      <c r="AC126"/>
      <c r="AD126"/>
    </row>
    <row r="127" spans="1:30" x14ac:dyDescent="0.25">
      <c r="A127" s="35">
        <f>A126+1</f>
        <v>99</v>
      </c>
      <c r="B127" s="124">
        <v>0</v>
      </c>
      <c r="C127" s="125">
        <f t="shared" si="233"/>
        <v>-8.3060000000000453</v>
      </c>
      <c r="D127" s="126">
        <f t="shared" si="169"/>
        <v>8.5</v>
      </c>
      <c r="E127" s="37">
        <f t="shared" ref="E127:E128" si="245">P127</f>
        <v>2.0677536264904685E-2</v>
      </c>
      <c r="F127">
        <f t="shared" si="163"/>
        <v>8.69984</v>
      </c>
      <c r="G127">
        <v>50000</v>
      </c>
      <c r="H127">
        <f t="shared" si="165"/>
        <v>0</v>
      </c>
      <c r="I127" s="127">
        <f t="shared" si="166"/>
        <v>4.4999999999999998E-2</v>
      </c>
      <c r="J127" s="128">
        <v>4000</v>
      </c>
      <c r="K127" s="129">
        <v>0.2</v>
      </c>
      <c r="L127">
        <f t="shared" ref="L127:L128" si="246">I127*0.001*K127</f>
        <v>9.0000000000000002E-6</v>
      </c>
      <c r="M127">
        <f t="shared" ref="M127:M128" si="247">L127*J127*(0.000000001)/(1.6E-19)</f>
        <v>225000000.00000003</v>
      </c>
      <c r="N127" s="27">
        <f>N126</f>
        <v>23262228.298017774</v>
      </c>
      <c r="O127" s="40">
        <f t="shared" ref="O127:O128" si="248">M127/N127</f>
        <v>9.6723322081390108</v>
      </c>
      <c r="P127" s="37">
        <f t="shared" ref="P127:P128" si="249">K127/O127</f>
        <v>2.0677536264904685E-2</v>
      </c>
      <c r="T127" s="39">
        <f t="shared" si="167"/>
        <v>20.677536264904685</v>
      </c>
      <c r="U127" s="149">
        <f t="shared" si="168"/>
        <v>1125000.0000000002</v>
      </c>
      <c r="AB127"/>
      <c r="AC127"/>
      <c r="AD127"/>
    </row>
    <row r="128" spans="1:30" x14ac:dyDescent="0.25">
      <c r="A128" s="35">
        <f t="shared" si="226"/>
        <v>100</v>
      </c>
      <c r="B128" s="112">
        <v>0</v>
      </c>
      <c r="C128" s="130">
        <f t="shared" si="233"/>
        <v>-8.3055000000000447</v>
      </c>
      <c r="D128" s="131">
        <f t="shared" si="169"/>
        <v>8.5</v>
      </c>
      <c r="E128" s="37">
        <f t="shared" si="245"/>
        <v>2.0677536264904685E-2</v>
      </c>
      <c r="F128">
        <f t="shared" si="163"/>
        <v>8.69984</v>
      </c>
      <c r="G128">
        <v>50000</v>
      </c>
      <c r="H128">
        <f t="shared" si="165"/>
        <v>0</v>
      </c>
      <c r="I128" s="132">
        <f t="shared" si="166"/>
        <v>4.4999999999999998E-2</v>
      </c>
      <c r="J128" s="133">
        <v>4000</v>
      </c>
      <c r="K128" s="113">
        <v>0.2</v>
      </c>
      <c r="L128">
        <f t="shared" si="246"/>
        <v>9.0000000000000002E-6</v>
      </c>
      <c r="M128">
        <f t="shared" si="247"/>
        <v>225000000.00000003</v>
      </c>
      <c r="N128" s="27">
        <f t="shared" ref="N128" si="250">N127</f>
        <v>23262228.298017774</v>
      </c>
      <c r="O128" s="40">
        <f t="shared" si="248"/>
        <v>9.6723322081390108</v>
      </c>
      <c r="P128" s="37">
        <f t="shared" si="249"/>
        <v>2.0677536264904685E-2</v>
      </c>
      <c r="R128" s="40"/>
      <c r="T128" s="39">
        <f t="shared" si="167"/>
        <v>20.677536264904685</v>
      </c>
      <c r="U128" s="149">
        <f t="shared" si="168"/>
        <v>1125000.0000000002</v>
      </c>
      <c r="AB128"/>
      <c r="AC128"/>
      <c r="AD128"/>
    </row>
    <row r="129" spans="1:30" x14ac:dyDescent="0.25">
      <c r="A129" s="40"/>
      <c r="B129" s="39"/>
      <c r="C129" s="39"/>
      <c r="D129"/>
      <c r="T129" s="39"/>
      <c r="U129" s="149"/>
      <c r="AB129"/>
      <c r="AC129"/>
      <c r="AD129"/>
    </row>
    <row r="130" spans="1:30" ht="15.75" thickBot="1" x14ac:dyDescent="0.3">
      <c r="A130" s="26" t="s">
        <v>46</v>
      </c>
      <c r="T130" s="39"/>
      <c r="U130" s="149"/>
      <c r="AB130"/>
      <c r="AC130"/>
      <c r="AD130"/>
    </row>
    <row r="131" spans="1:30" ht="15.75" thickBot="1" x14ac:dyDescent="0.3">
      <c r="A131" s="28"/>
      <c r="B131" s="28" t="s">
        <v>47</v>
      </c>
      <c r="C131" s="29" t="s">
        <v>48</v>
      </c>
      <c r="D131" s="30" t="s">
        <v>49</v>
      </c>
      <c r="E131" s="30" t="s">
        <v>50</v>
      </c>
      <c r="F131" s="30" t="s">
        <v>51</v>
      </c>
      <c r="G131" s="30" t="s">
        <v>3</v>
      </c>
      <c r="H131" s="31" t="s">
        <v>52</v>
      </c>
      <c r="I131" s="32" t="s">
        <v>53</v>
      </c>
      <c r="J131" s="33" t="s">
        <v>54</v>
      </c>
      <c r="K131" s="32" t="s">
        <v>55</v>
      </c>
      <c r="L131" s="32" t="s">
        <v>56</v>
      </c>
      <c r="M131" s="32" t="s">
        <v>57</v>
      </c>
      <c r="N131" s="32" t="s">
        <v>58</v>
      </c>
      <c r="O131" s="32" t="s">
        <v>59</v>
      </c>
      <c r="P131" s="34" t="s">
        <v>60</v>
      </c>
      <c r="R131" s="27" t="s">
        <v>142</v>
      </c>
      <c r="S131" s="27" t="s">
        <v>143</v>
      </c>
      <c r="T131" s="39"/>
      <c r="U131" s="149"/>
      <c r="AB131"/>
      <c r="AC131"/>
      <c r="AD131"/>
    </row>
    <row r="132" spans="1:30" ht="15.75" thickTop="1" x14ac:dyDescent="0.25">
      <c r="A132" s="35">
        <v>1</v>
      </c>
      <c r="B132" s="35">
        <v>0</v>
      </c>
      <c r="C132" s="36">
        <f>T16-0.1</f>
        <v>-8.5</v>
      </c>
      <c r="D132">
        <f>$T$17+0.1-(K132/2)+($P$23/2000)</f>
        <v>8.5750799999999998</v>
      </c>
      <c r="E132" s="37">
        <f>P132</f>
        <v>6.203260879471406E-4</v>
      </c>
      <c r="F132">
        <f>IF($B132,$C132,$D132)+$K132-IF($B132,$O$23/1000,$P$23/1000)</f>
        <v>8.6249200000000013</v>
      </c>
      <c r="G132">
        <v>50000</v>
      </c>
      <c r="H132" s="38">
        <f>(I132-IF(B132,$P$23,$O$23))/(IF(B132,$P$22,$O$22)-IF(B132,$P$23,$O$23))*10</f>
        <v>16.717044500419817</v>
      </c>
      <c r="I132" s="39">
        <v>10</v>
      </c>
      <c r="J132">
        <v>600</v>
      </c>
      <c r="K132">
        <v>0.05</v>
      </c>
      <c r="L132">
        <f>I132*0.001*K132</f>
        <v>5.0000000000000001E-4</v>
      </c>
      <c r="M132">
        <f>L132*J132*(0.000000001)/(1.6E-19)</f>
        <v>1875000000</v>
      </c>
      <c r="N132" s="27">
        <f>MAX($D$3:$D$15)*2</f>
        <v>23262228.298017774</v>
      </c>
      <c r="O132" s="40">
        <f>M132/N132</f>
        <v>80.602768401158414</v>
      </c>
      <c r="P132" s="37">
        <f>K132/O132</f>
        <v>6.203260879471406E-4</v>
      </c>
      <c r="R132" s="40">
        <f>SUM(O132:O229)</f>
        <v>322.41107360463366</v>
      </c>
      <c r="S132">
        <f>R132/60</f>
        <v>5.3735178934105612</v>
      </c>
      <c r="T132" s="39">
        <f t="shared" si="167"/>
        <v>0.62032608794714061</v>
      </c>
      <c r="U132" s="149">
        <f t="shared" si="168"/>
        <v>37500000</v>
      </c>
      <c r="AB132"/>
      <c r="AC132"/>
      <c r="AD132"/>
    </row>
    <row r="133" spans="1:30" x14ac:dyDescent="0.25">
      <c r="A133" s="35">
        <f>A132+1</f>
        <v>2</v>
      </c>
      <c r="B133" s="35">
        <v>1</v>
      </c>
      <c r="C133" s="36">
        <f>C132-(K133/2)+($O$23/2000)</f>
        <v>-8.5249775000000003</v>
      </c>
      <c r="D133" s="37">
        <f>$T$17+0.1</f>
        <v>8.6</v>
      </c>
      <c r="E133" s="37">
        <f t="shared" ref="E133" si="251">P133</f>
        <v>6.203260879471406E-4</v>
      </c>
      <c r="F133">
        <f>IF($B133,$C133,$D133)+$K133-IF($B133,$O$23/1000,$P$23/1000)</f>
        <v>-8.4750224999999997</v>
      </c>
      <c r="G133">
        <v>50000</v>
      </c>
      <c r="H133" s="38">
        <f t="shared" ref="H133:H135" si="252">(I133-IF(B133,$P$23,$O$23))/(IF(B133,$P$22,$O$22)-IF(B133,$P$23,$O$23))*10</f>
        <v>17.263157894736839</v>
      </c>
      <c r="I133" s="39">
        <v>10</v>
      </c>
      <c r="J133">
        <v>600</v>
      </c>
      <c r="K133">
        <f>K132</f>
        <v>0.05</v>
      </c>
      <c r="L133">
        <f t="shared" ref="L133" si="253">I133*0.001*K133</f>
        <v>5.0000000000000001E-4</v>
      </c>
      <c r="M133">
        <f t="shared" ref="M133" si="254">L133*J133*(0.000000001)/(1.6E-19)</f>
        <v>1875000000</v>
      </c>
      <c r="N133" s="27">
        <f>N132</f>
        <v>23262228.298017774</v>
      </c>
      <c r="O133" s="40">
        <f t="shared" ref="O133" si="255">M133/N133</f>
        <v>80.602768401158414</v>
      </c>
      <c r="P133" s="37">
        <f t="shared" ref="P133" si="256">K133/O133</f>
        <v>6.203260879471406E-4</v>
      </c>
      <c r="T133" s="39">
        <f t="shared" si="167"/>
        <v>0.62032608794714061</v>
      </c>
      <c r="U133" s="149">
        <f t="shared" si="168"/>
        <v>37500000</v>
      </c>
      <c r="AB133"/>
      <c r="AC133"/>
      <c r="AD133"/>
    </row>
    <row r="134" spans="1:30" x14ac:dyDescent="0.25">
      <c r="A134" s="35">
        <f>A133+1</f>
        <v>3</v>
      </c>
      <c r="B134" s="35">
        <v>0</v>
      </c>
      <c r="C134" s="36">
        <f>C128+0.1</f>
        <v>-8.2055000000000451</v>
      </c>
      <c r="D134">
        <f>D132</f>
        <v>8.5750799999999998</v>
      </c>
      <c r="E134" s="37">
        <f>P134</f>
        <v>6.203260879471406E-4</v>
      </c>
      <c r="F134">
        <f>IF($B134,$C134,$D134)+$K134-IF($B134,$O$23/1000,$P$23/1000)</f>
        <v>8.6249200000000013</v>
      </c>
      <c r="G134">
        <v>50000</v>
      </c>
      <c r="H134" s="38">
        <f t="shared" si="252"/>
        <v>16.717044500419817</v>
      </c>
      <c r="I134" s="39">
        <v>10</v>
      </c>
      <c r="J134">
        <v>600</v>
      </c>
      <c r="K134">
        <v>0.05</v>
      </c>
      <c r="L134">
        <f>I134*0.001*K134</f>
        <v>5.0000000000000001E-4</v>
      </c>
      <c r="M134">
        <f>L134*J134*(0.000000001)/(1.6E-19)</f>
        <v>1875000000</v>
      </c>
      <c r="N134" s="27">
        <f>N133</f>
        <v>23262228.298017774</v>
      </c>
      <c r="O134" s="40">
        <f>M134/N134</f>
        <v>80.602768401158414</v>
      </c>
      <c r="P134" s="37">
        <f>K134/O134</f>
        <v>6.203260879471406E-4</v>
      </c>
      <c r="R134" s="40"/>
      <c r="T134" s="39">
        <f t="shared" si="167"/>
        <v>0.62032608794714061</v>
      </c>
      <c r="U134" s="149">
        <f t="shared" si="168"/>
        <v>37500000</v>
      </c>
      <c r="AB134"/>
      <c r="AC134"/>
      <c r="AD134"/>
    </row>
    <row r="135" spans="1:30" x14ac:dyDescent="0.25">
      <c r="A135" s="35">
        <f>A134+1</f>
        <v>4</v>
      </c>
      <c r="B135" s="35">
        <v>1</v>
      </c>
      <c r="C135">
        <f>C134-(K135/2)+($O$23/2000)</f>
        <v>-8.2304775000000454</v>
      </c>
      <c r="D135" s="37">
        <f>D133</f>
        <v>8.6</v>
      </c>
      <c r="E135" s="37">
        <f t="shared" ref="E135" si="257">P135</f>
        <v>6.203260879471406E-4</v>
      </c>
      <c r="F135">
        <f>IF($B135,$C135,$D135)+$K135-IF($B135,$O$23/1000,$P$23/1000)</f>
        <v>-8.1805225000000448</v>
      </c>
      <c r="G135">
        <v>50000</v>
      </c>
      <c r="H135" s="38">
        <f t="shared" si="252"/>
        <v>17.263157894736839</v>
      </c>
      <c r="I135" s="39">
        <v>10</v>
      </c>
      <c r="J135">
        <v>600</v>
      </c>
      <c r="K135">
        <f>K134</f>
        <v>0.05</v>
      </c>
      <c r="L135">
        <f t="shared" ref="L135" si="258">I135*0.001*K135</f>
        <v>5.0000000000000001E-4</v>
      </c>
      <c r="M135">
        <f t="shared" ref="M135" si="259">L135*J135*(0.000000001)/(1.6E-19)</f>
        <v>1875000000</v>
      </c>
      <c r="N135" s="27">
        <f>N134</f>
        <v>23262228.298017774</v>
      </c>
      <c r="O135" s="40">
        <f t="shared" ref="O135" si="260">M135/N135</f>
        <v>80.602768401158414</v>
      </c>
      <c r="P135" s="37">
        <f t="shared" ref="P135" si="261">K135/O135</f>
        <v>6.203260879471406E-4</v>
      </c>
      <c r="T135" s="39">
        <f t="shared" si="167"/>
        <v>0.62032608794714061</v>
      </c>
      <c r="U135" s="149">
        <f t="shared" si="168"/>
        <v>37500000</v>
      </c>
      <c r="AB135"/>
      <c r="AC135"/>
      <c r="AD135"/>
    </row>
    <row r="136" spans="1:30" x14ac:dyDescent="0.25">
      <c r="A136" s="40"/>
      <c r="B136" s="39"/>
      <c r="C136" s="39"/>
      <c r="D136"/>
      <c r="AB136"/>
      <c r="AC136"/>
      <c r="AD136"/>
    </row>
    <row r="137" spans="1:30" x14ac:dyDescent="0.25">
      <c r="A137" s="40"/>
      <c r="B137" s="39"/>
      <c r="C137" s="39"/>
      <c r="D137"/>
      <c r="AB137"/>
      <c r="AC137"/>
      <c r="AD137"/>
    </row>
    <row r="138" spans="1:30" x14ac:dyDescent="0.25">
      <c r="A138" s="40"/>
      <c r="B138" s="39"/>
      <c r="C138" s="39"/>
      <c r="D138"/>
      <c r="AB138"/>
      <c r="AC138"/>
      <c r="AD138"/>
    </row>
    <row r="139" spans="1:30" x14ac:dyDescent="0.25">
      <c r="A139" s="40"/>
      <c r="B139" s="39"/>
      <c r="C139" s="39"/>
      <c r="D139"/>
      <c r="AB139"/>
      <c r="AC139"/>
      <c r="AD139"/>
    </row>
    <row r="140" spans="1:30" x14ac:dyDescent="0.25">
      <c r="A140" s="40"/>
      <c r="B140" s="39"/>
      <c r="C140" s="39"/>
      <c r="D140"/>
      <c r="AB140"/>
      <c r="AC140"/>
      <c r="AD140"/>
    </row>
    <row r="141" spans="1:30" x14ac:dyDescent="0.25">
      <c r="A141" s="40"/>
      <c r="B141" s="39"/>
      <c r="C141" s="39"/>
      <c r="D141"/>
      <c r="AB141"/>
      <c r="AC141"/>
      <c r="AD141"/>
    </row>
    <row r="142" spans="1:30" x14ac:dyDescent="0.25">
      <c r="A142" s="40"/>
      <c r="B142" s="39"/>
      <c r="C142" s="39"/>
      <c r="D142"/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/>
      <c r="C144" s="39"/>
      <c r="D144"/>
      <c r="AB144"/>
      <c r="AC144"/>
      <c r="AD144"/>
    </row>
    <row r="145" spans="1:30" x14ac:dyDescent="0.25">
      <c r="A145" s="40"/>
      <c r="B145" s="39"/>
      <c r="C145" s="39"/>
      <c r="D145"/>
      <c r="AB145"/>
      <c r="AC145"/>
      <c r="AD145"/>
    </row>
    <row r="146" spans="1:30" x14ac:dyDescent="0.25">
      <c r="A146" s="40"/>
      <c r="B146" s="39"/>
      <c r="C146" s="39"/>
      <c r="D146"/>
      <c r="AB146"/>
      <c r="AC146"/>
      <c r="AD146"/>
    </row>
    <row r="147" spans="1:30" x14ac:dyDescent="0.25">
      <c r="A147" s="40"/>
      <c r="B147" s="39"/>
      <c r="C147" s="39"/>
      <c r="D147"/>
      <c r="AB147"/>
      <c r="AC147"/>
      <c r="AD147"/>
    </row>
    <row r="148" spans="1:30" x14ac:dyDescent="0.25">
      <c r="A148" s="40"/>
      <c r="B148" s="39"/>
      <c r="C148" s="39"/>
      <c r="D148"/>
      <c r="AB148"/>
      <c r="AC148"/>
      <c r="AD148"/>
    </row>
    <row r="149" spans="1:30" x14ac:dyDescent="0.25">
      <c r="A149" s="40"/>
      <c r="B149" s="39"/>
      <c r="C149" s="39"/>
      <c r="D149"/>
      <c r="AB149"/>
      <c r="AC149"/>
      <c r="AD149"/>
    </row>
    <row r="150" spans="1:30" x14ac:dyDescent="0.25">
      <c r="A150" s="40"/>
      <c r="B150" s="39"/>
      <c r="C150" s="39"/>
      <c r="D150"/>
      <c r="AB150"/>
      <c r="AC150"/>
      <c r="AD150"/>
    </row>
    <row r="151" spans="1:30" x14ac:dyDescent="0.25">
      <c r="A151" s="40"/>
      <c r="B151" s="39"/>
      <c r="C151" s="39"/>
      <c r="D151"/>
      <c r="AB151"/>
      <c r="AC151"/>
      <c r="AD151"/>
    </row>
    <row r="152" spans="1:30" x14ac:dyDescent="0.25">
      <c r="A152" s="40"/>
      <c r="B152" s="39"/>
      <c r="C152" s="39"/>
      <c r="D152"/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/>
      <c r="C154" s="39"/>
      <c r="D154"/>
      <c r="AB154"/>
      <c r="AC154"/>
      <c r="AD154"/>
    </row>
    <row r="155" spans="1:30" x14ac:dyDescent="0.25">
      <c r="A155" s="40"/>
      <c r="B155" s="39"/>
      <c r="C155" s="39"/>
      <c r="D155"/>
      <c r="AB155"/>
      <c r="AC155"/>
      <c r="AD155"/>
    </row>
    <row r="156" spans="1:30" x14ac:dyDescent="0.25">
      <c r="A156" s="40"/>
      <c r="B156" s="39"/>
      <c r="C156" s="39"/>
      <c r="D156"/>
      <c r="AB156"/>
      <c r="AC156"/>
      <c r="AD156"/>
    </row>
    <row r="157" spans="1:30" x14ac:dyDescent="0.25">
      <c r="A157" s="40"/>
      <c r="B157" s="39"/>
      <c r="C157" s="39"/>
      <c r="D157"/>
      <c r="AB157"/>
      <c r="AC157"/>
      <c r="AD157"/>
    </row>
    <row r="158" spans="1:30" x14ac:dyDescent="0.25">
      <c r="A158" s="40"/>
      <c r="B158" s="39"/>
      <c r="C158" s="39"/>
      <c r="D158"/>
      <c r="AB158"/>
      <c r="AC158"/>
      <c r="AD158"/>
    </row>
    <row r="159" spans="1:30" x14ac:dyDescent="0.25">
      <c r="A159" s="40"/>
      <c r="B159" s="39"/>
      <c r="C159" s="39"/>
      <c r="D159"/>
      <c r="AB159"/>
      <c r="AC159"/>
      <c r="AD159"/>
    </row>
    <row r="160" spans="1:30" x14ac:dyDescent="0.25">
      <c r="A160" s="40"/>
      <c r="B160" s="39"/>
      <c r="C160" s="39"/>
      <c r="D160"/>
      <c r="AB160"/>
      <c r="AC160"/>
      <c r="AD160"/>
    </row>
    <row r="161" spans="1:30" x14ac:dyDescent="0.25">
      <c r="A161" s="40"/>
      <c r="B161" s="39"/>
      <c r="C161" s="39"/>
      <c r="D161"/>
      <c r="AB161"/>
      <c r="AC161"/>
      <c r="AD161"/>
    </row>
    <row r="162" spans="1:30" x14ac:dyDescent="0.25">
      <c r="A162" s="40"/>
      <c r="B162" s="39"/>
      <c r="C162" s="39"/>
      <c r="D162"/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U387" s="40"/>
      <c r="V387" s="39"/>
      <c r="W387" s="39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</row>
    <row r="397" spans="4:30" x14ac:dyDescent="0.25">
      <c r="D397"/>
    </row>
    <row r="398" spans="4:30" x14ac:dyDescent="0.25">
      <c r="D398"/>
    </row>
    <row r="399" spans="4:30" x14ac:dyDescent="0.25">
      <c r="D399"/>
      <c r="AB399"/>
      <c r="AC399"/>
      <c r="AD399"/>
    </row>
    <row r="400" spans="4:30" x14ac:dyDescent="0.25">
      <c r="D400"/>
      <c r="AB400"/>
      <c r="AC400"/>
      <c r="AD400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spans="4:30" x14ac:dyDescent="0.25">
      <c r="D449"/>
      <c r="AB449"/>
      <c r="AC449"/>
      <c r="AD449"/>
    </row>
    <row r="450" spans="4:30" x14ac:dyDescent="0.25"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5"/>
    </sheetView>
  </sheetViews>
  <sheetFormatPr defaultRowHeight="15" x14ac:dyDescent="0.25"/>
  <cols>
    <col min="1" max="1" width="14.5703125" bestFit="1" customWidth="1"/>
    <col min="6" max="7" width="8.85546875" customWidth="1"/>
  </cols>
  <sheetData>
    <row r="1" spans="1:9" x14ac:dyDescent="0.3">
      <c r="A1" s="134"/>
      <c r="B1" t="s">
        <v>149</v>
      </c>
    </row>
    <row r="2" spans="1:9" x14ac:dyDescent="0.3">
      <c r="A2" s="128"/>
      <c r="B2" t="s">
        <v>150</v>
      </c>
    </row>
    <row r="3" spans="1:9" x14ac:dyDescent="0.3">
      <c r="A3" s="81"/>
      <c r="B3" t="s">
        <v>151</v>
      </c>
    </row>
    <row r="4" spans="1:9" x14ac:dyDescent="0.3">
      <c r="A4" s="135"/>
      <c r="B4" t="s">
        <v>152</v>
      </c>
    </row>
    <row r="5" spans="1:9" x14ac:dyDescent="0.3">
      <c r="A5" s="136"/>
      <c r="B5" t="s">
        <v>153</v>
      </c>
    </row>
    <row r="7" spans="1:9" x14ac:dyDescent="0.3">
      <c r="A7" t="s">
        <v>165</v>
      </c>
      <c r="B7" s="27">
        <v>300000</v>
      </c>
      <c r="C7" s="27">
        <v>350000</v>
      </c>
      <c r="D7" s="27">
        <v>400000</v>
      </c>
      <c r="E7" s="27">
        <v>450000</v>
      </c>
      <c r="F7" s="27">
        <v>500000</v>
      </c>
      <c r="G7" s="27">
        <v>628000</v>
      </c>
      <c r="H7" s="27">
        <v>1000000</v>
      </c>
      <c r="I7" s="27">
        <v>6280000</v>
      </c>
    </row>
    <row r="8" spans="1:9" x14ac:dyDescent="0.3">
      <c r="A8" t="s">
        <v>166</v>
      </c>
      <c r="B8" s="27">
        <f>B7*1.6E-19*1000000000</f>
        <v>4.7999999999999994E-5</v>
      </c>
      <c r="C8" s="27">
        <f t="shared" ref="C8:G8" si="0">C7*1.6E-19*1000000000</f>
        <v>5.5999999999999992E-5</v>
      </c>
      <c r="D8" s="27">
        <f t="shared" si="0"/>
        <v>6.3999999999999997E-5</v>
      </c>
      <c r="E8" s="27">
        <f t="shared" si="0"/>
        <v>7.2000000000000002E-5</v>
      </c>
      <c r="F8" s="27">
        <f t="shared" si="0"/>
        <v>8.0000000000000007E-5</v>
      </c>
      <c r="G8" s="27">
        <f t="shared" si="0"/>
        <v>1.0047999999999999E-4</v>
      </c>
      <c r="H8" s="27">
        <f>H7*1.6E-19*1000000000</f>
        <v>1.6000000000000001E-4</v>
      </c>
      <c r="I8" s="27">
        <f>I7*1.6E-19*1000000000</f>
        <v>1.0047999999999999E-3</v>
      </c>
    </row>
    <row r="9" spans="1:9" x14ac:dyDescent="0.3">
      <c r="A9" t="s">
        <v>166</v>
      </c>
      <c r="B9" s="36">
        <v>4.7999999999999994E-5</v>
      </c>
      <c r="C9" s="36">
        <v>5.5999999999999992E-5</v>
      </c>
      <c r="D9" s="36">
        <v>6.3999999999999997E-5</v>
      </c>
      <c r="E9" s="36">
        <v>7.2000000000000002E-5</v>
      </c>
      <c r="F9" s="36">
        <v>8.0000000000000007E-5</v>
      </c>
      <c r="G9" s="36">
        <v>1.0047999999999999E-4</v>
      </c>
      <c r="H9" s="36">
        <v>1.6000000000000001E-4</v>
      </c>
      <c r="I9" s="36">
        <v>1.0047999999999999E-3</v>
      </c>
    </row>
    <row r="10" spans="1:9" x14ac:dyDescent="0.3">
      <c r="A10" t="s">
        <v>167</v>
      </c>
      <c r="B10">
        <f>B9*1000</f>
        <v>4.7999999999999994E-2</v>
      </c>
      <c r="C10">
        <f t="shared" ref="C10:G10" si="1">C9*1000</f>
        <v>5.5999999999999994E-2</v>
      </c>
      <c r="D10">
        <f t="shared" si="1"/>
        <v>6.4000000000000001E-2</v>
      </c>
      <c r="E10">
        <f t="shared" si="1"/>
        <v>7.2000000000000008E-2</v>
      </c>
      <c r="F10">
        <f t="shared" si="1"/>
        <v>0.08</v>
      </c>
      <c r="G10">
        <f t="shared" si="1"/>
        <v>0.10047999999999999</v>
      </c>
      <c r="H10">
        <f>H9*1000</f>
        <v>0.16</v>
      </c>
      <c r="I10">
        <f>I9*1000</f>
        <v>1.0047999999999999</v>
      </c>
    </row>
    <row r="11" spans="1:9" x14ac:dyDescent="0.3">
      <c r="A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2"/>
  <sheetViews>
    <sheetView tabSelected="1" zoomScaleNormal="100" workbookViewId="0">
      <selection activeCell="L9" sqref="L9"/>
    </sheetView>
  </sheetViews>
  <sheetFormatPr defaultColWidth="9.140625" defaultRowHeight="15" x14ac:dyDescent="0.25"/>
  <cols>
    <col min="1" max="1" width="5.5703125" customWidth="1"/>
    <col min="2" max="2" width="10" customWidth="1"/>
    <col min="3" max="3" width="11.140625" customWidth="1"/>
    <col min="4" max="4" width="11.140625" style="27" customWidth="1"/>
    <col min="5" max="7" width="11.140625" customWidth="1"/>
    <col min="8" max="8" width="9.28515625" customWidth="1"/>
    <col min="9" max="12" width="11.28515625" customWidth="1"/>
    <col min="13" max="13" width="13.140625" bestFit="1" customWidth="1"/>
    <col min="14" max="15" width="23.42578125" bestFit="1" customWidth="1"/>
    <col min="16" max="17" width="19.28515625" bestFit="1" customWidth="1"/>
    <col min="18" max="18" width="11.140625" customWidth="1"/>
    <col min="19" max="19" width="13.28515625" bestFit="1" customWidth="1"/>
    <col min="20" max="20" width="16.140625" bestFit="1" customWidth="1"/>
    <col min="21" max="21" width="22" bestFit="1" customWidth="1"/>
    <col min="22" max="22" width="20.42578125" customWidth="1"/>
    <col min="23" max="23" width="15.140625" customWidth="1"/>
    <col min="24" max="24" width="46.5703125" customWidth="1"/>
    <col min="25" max="25" width="20.42578125" customWidth="1"/>
    <col min="26" max="26" width="24.28515625" customWidth="1"/>
    <col min="27" max="27" width="18.85546875" customWidth="1"/>
    <col min="28" max="28" width="14.28515625" style="40" customWidth="1"/>
    <col min="29" max="30" width="9.7109375" style="39" bestFit="1" customWidth="1"/>
    <col min="31" max="31" width="17.5703125" customWidth="1"/>
    <col min="32" max="32" width="15.42578125" customWidth="1"/>
    <col min="33" max="33" width="17.28515625" customWidth="1"/>
    <col min="34" max="34" width="15.7109375" customWidth="1"/>
    <col min="35" max="35" width="16.85546875" customWidth="1"/>
  </cols>
  <sheetData>
    <row r="1" spans="1:30" ht="15.75" thickBot="1" x14ac:dyDescent="0.3">
      <c r="A1" s="57"/>
      <c r="B1" s="58"/>
    </row>
    <row r="2" spans="1:30" x14ac:dyDescent="0.25">
      <c r="A2" s="59" t="s">
        <v>95</v>
      </c>
      <c r="B2" s="59" t="s">
        <v>96</v>
      </c>
      <c r="C2" s="60" t="s">
        <v>97</v>
      </c>
      <c r="D2" s="61" t="s">
        <v>98</v>
      </c>
      <c r="E2" s="60" t="s">
        <v>99</v>
      </c>
      <c r="F2" s="60" t="s">
        <v>100</v>
      </c>
      <c r="G2" s="60" t="s">
        <v>101</v>
      </c>
      <c r="H2" s="60" t="s">
        <v>102</v>
      </c>
      <c r="I2" s="60" t="s">
        <v>103</v>
      </c>
      <c r="J2" s="60" t="s">
        <v>104</v>
      </c>
      <c r="K2" s="163" t="s">
        <v>0</v>
      </c>
      <c r="L2" s="163" t="s">
        <v>1</v>
      </c>
      <c r="M2" s="163" t="s">
        <v>2</v>
      </c>
      <c r="N2" s="163" t="s">
        <v>215</v>
      </c>
      <c r="O2" s="163" t="s">
        <v>216</v>
      </c>
      <c r="P2" s="177" t="s">
        <v>218</v>
      </c>
      <c r="Q2" s="177" t="s">
        <v>217</v>
      </c>
    </row>
    <row r="3" spans="1:30" x14ac:dyDescent="0.25">
      <c r="A3" s="197">
        <v>0</v>
      </c>
      <c r="B3" s="194">
        <v>17</v>
      </c>
      <c r="C3" s="192">
        <v>2700</v>
      </c>
      <c r="D3" s="88">
        <f>C3</f>
        <v>2700</v>
      </c>
      <c r="E3" s="183">
        <v>4</v>
      </c>
      <c r="F3" s="101">
        <v>4</v>
      </c>
      <c r="G3" s="101">
        <v>10</v>
      </c>
      <c r="H3" s="102">
        <v>10</v>
      </c>
      <c r="I3" s="63">
        <f>D3*0.16*6.38^2/(E3*F3*G3*H3*M3)</f>
        <v>7.3267920000000002</v>
      </c>
      <c r="K3" s="179">
        <f t="shared" ref="K3:K15" si="0">E3/857*1000</f>
        <v>4.6674445740956818</v>
      </c>
      <c r="L3" s="179">
        <f t="shared" ref="L3:L15" si="1">F3/130*1000</f>
        <v>30.76923076923077</v>
      </c>
      <c r="M3" s="163">
        <v>1.5</v>
      </c>
      <c r="N3" s="179">
        <f>(857000/6400000)*(E3+G3)</f>
        <v>1.8746875000000001</v>
      </c>
      <c r="O3" s="179">
        <f>(130000/6400000)*(F3+H3)</f>
        <v>0.28437499999999999</v>
      </c>
      <c r="P3" s="179">
        <f>N3*100/K3</f>
        <v>40.165179687500007</v>
      </c>
      <c r="Q3" s="179">
        <f>O3*100/L3</f>
        <v>0.92421874999999998</v>
      </c>
    </row>
    <row r="4" spans="1:30" x14ac:dyDescent="0.25">
      <c r="A4" s="199">
        <f>B4-$B$3</f>
        <v>0</v>
      </c>
      <c r="B4" s="195">
        <f>B3</f>
        <v>17</v>
      </c>
      <c r="C4" s="192">
        <v>525</v>
      </c>
      <c r="D4" s="185">
        <f>D3</f>
        <v>2700</v>
      </c>
      <c r="E4" s="184">
        <f>E3</f>
        <v>4</v>
      </c>
      <c r="F4" s="104">
        <f t="shared" ref="F4:H4" si="2">F3</f>
        <v>4</v>
      </c>
      <c r="G4" s="104">
        <f t="shared" si="2"/>
        <v>10</v>
      </c>
      <c r="H4" s="105">
        <f t="shared" si="2"/>
        <v>10</v>
      </c>
      <c r="I4" s="63">
        <f>D4*0.16*6.38^2/(E4*F4*G4*H4*M4)</f>
        <v>7.3267920000000002</v>
      </c>
      <c r="K4" s="179">
        <f t="shared" si="0"/>
        <v>4.6674445740956818</v>
      </c>
      <c r="L4" s="179">
        <f t="shared" si="1"/>
        <v>30.76923076923077</v>
      </c>
      <c r="M4" s="163">
        <v>1.5</v>
      </c>
      <c r="N4" s="179">
        <f t="shared" ref="N4:N15" si="3">(857000/6400000)*(E4+G4)</f>
        <v>1.8746875000000001</v>
      </c>
      <c r="O4" s="179">
        <f t="shared" ref="O4:O15" si="4">(130000/6400000)*(F4+H4)</f>
        <v>0.28437499999999999</v>
      </c>
      <c r="P4" s="179">
        <f t="shared" ref="P4:P15" si="5">N4*100/K4</f>
        <v>40.165179687500007</v>
      </c>
      <c r="Q4" s="179">
        <f t="shared" ref="Q4:Q15" si="6">O4*100/L4</f>
        <v>0.92421874999999998</v>
      </c>
    </row>
    <row r="5" spans="1:30" x14ac:dyDescent="0.25">
      <c r="A5" s="198">
        <f>B5-$B$3</f>
        <v>0</v>
      </c>
      <c r="B5" s="92">
        <f>B4</f>
        <v>17</v>
      </c>
      <c r="C5" s="193">
        <v>1850</v>
      </c>
      <c r="D5" s="186">
        <f>IFERROR(C5*D4/C4,0)</f>
        <v>9514.2857142857138</v>
      </c>
      <c r="E5" s="94">
        <v>4</v>
      </c>
      <c r="F5" s="94">
        <v>4</v>
      </c>
      <c r="G5" s="94">
        <v>20</v>
      </c>
      <c r="H5" s="95">
        <v>20</v>
      </c>
      <c r="I5" s="63">
        <f t="shared" ref="I5:I15" si="7">D5*0.16*6.38^2/(E5*F5*G5*H5*M5)</f>
        <v>6.454554857142857</v>
      </c>
      <c r="K5" s="179">
        <f t="shared" si="0"/>
        <v>4.6674445740956818</v>
      </c>
      <c r="L5" s="179">
        <f t="shared" si="1"/>
        <v>30.76923076923077</v>
      </c>
      <c r="M5" s="163">
        <v>1.5</v>
      </c>
      <c r="N5" s="179">
        <f t="shared" si="3"/>
        <v>3.2137500000000001</v>
      </c>
      <c r="O5" s="179">
        <f t="shared" si="4"/>
        <v>0.48750000000000004</v>
      </c>
      <c r="P5" s="179">
        <f t="shared" si="5"/>
        <v>68.854593750000006</v>
      </c>
      <c r="Q5" s="179">
        <f t="shared" si="6"/>
        <v>1.5843750000000001</v>
      </c>
      <c r="R5" s="153"/>
    </row>
    <row r="6" spans="1:30" x14ac:dyDescent="0.25">
      <c r="A6" s="197">
        <f t="shared" ref="A6:A15" si="8">B6-$B$3</f>
        <v>10</v>
      </c>
      <c r="B6" s="96">
        <v>27</v>
      </c>
      <c r="C6" s="193">
        <v>190</v>
      </c>
      <c r="D6" s="187">
        <f>D5</f>
        <v>9514.2857142857138</v>
      </c>
      <c r="E6" s="98">
        <f>E5</f>
        <v>4</v>
      </c>
      <c r="F6" s="98">
        <f t="shared" ref="F6:H6" si="9">F5</f>
        <v>4</v>
      </c>
      <c r="G6" s="98">
        <f t="shared" si="9"/>
        <v>20</v>
      </c>
      <c r="H6" s="99">
        <f t="shared" si="9"/>
        <v>20</v>
      </c>
      <c r="I6" s="63">
        <f>D6*0.16*6.38^2/(E6*F6*G6*H6*M6)</f>
        <v>6.454554857142857</v>
      </c>
      <c r="K6" s="179">
        <f>E6/857*1000</f>
        <v>4.6674445740956818</v>
      </c>
      <c r="L6" s="179">
        <f>F6/130*1000</f>
        <v>30.76923076923077</v>
      </c>
      <c r="M6" s="163">
        <v>1.5</v>
      </c>
      <c r="N6" s="179">
        <f t="shared" si="3"/>
        <v>3.2137500000000001</v>
      </c>
      <c r="O6" s="179">
        <f t="shared" si="4"/>
        <v>0.48750000000000004</v>
      </c>
      <c r="P6" s="179">
        <f t="shared" si="5"/>
        <v>68.854593750000006</v>
      </c>
      <c r="Q6" s="179">
        <f t="shared" si="6"/>
        <v>1.5843750000000001</v>
      </c>
      <c r="R6" s="153"/>
    </row>
    <row r="7" spans="1:30" x14ac:dyDescent="0.25">
      <c r="A7" s="198">
        <f t="shared" si="8"/>
        <v>10</v>
      </c>
      <c r="B7" s="92">
        <f>B6</f>
        <v>27</v>
      </c>
      <c r="C7" s="193">
        <v>300</v>
      </c>
      <c r="D7" s="188">
        <f>IFERROR(C7*D6/C6,0)</f>
        <v>15022.556390977443</v>
      </c>
      <c r="E7" s="101">
        <v>16</v>
      </c>
      <c r="F7" s="101">
        <v>2</v>
      </c>
      <c r="G7" s="101">
        <v>10</v>
      </c>
      <c r="H7" s="102">
        <v>10</v>
      </c>
      <c r="I7" s="63">
        <f t="shared" si="7"/>
        <v>20.382804812030074</v>
      </c>
      <c r="K7" s="179">
        <f>E7/857*1000</f>
        <v>18.669778296382727</v>
      </c>
      <c r="L7" s="179">
        <f>F7/130*1000</f>
        <v>15.384615384615385</v>
      </c>
      <c r="M7" s="163">
        <v>1.5</v>
      </c>
      <c r="N7" s="179">
        <f t="shared" si="3"/>
        <v>3.4815624999999999</v>
      </c>
      <c r="O7" s="179">
        <f t="shared" si="4"/>
        <v>0.24375000000000002</v>
      </c>
      <c r="P7" s="179">
        <f t="shared" si="5"/>
        <v>18.648119140625003</v>
      </c>
      <c r="Q7" s="179">
        <f t="shared" si="6"/>
        <v>1.5843750000000001</v>
      </c>
      <c r="R7" s="153"/>
    </row>
    <row r="8" spans="1:30" x14ac:dyDescent="0.25">
      <c r="A8" s="197">
        <f t="shared" si="8"/>
        <v>10</v>
      </c>
      <c r="B8" s="96">
        <v>27</v>
      </c>
      <c r="C8" s="193">
        <v>300</v>
      </c>
      <c r="D8" s="189">
        <f>D7</f>
        <v>15022.556390977443</v>
      </c>
      <c r="E8" s="104">
        <f>E7</f>
        <v>16</v>
      </c>
      <c r="F8" s="104">
        <f t="shared" ref="F8:H14" si="10">F7</f>
        <v>2</v>
      </c>
      <c r="G8" s="104">
        <f t="shared" si="10"/>
        <v>10</v>
      </c>
      <c r="H8" s="105">
        <f t="shared" si="10"/>
        <v>10</v>
      </c>
      <c r="I8" s="63">
        <f t="shared" si="7"/>
        <v>20.382804812030074</v>
      </c>
      <c r="K8" s="179">
        <f t="shared" si="0"/>
        <v>18.669778296382727</v>
      </c>
      <c r="L8" s="179">
        <f t="shared" si="1"/>
        <v>15.384615384615385</v>
      </c>
      <c r="M8" s="163">
        <v>1.5</v>
      </c>
      <c r="N8" s="179">
        <f t="shared" si="3"/>
        <v>3.4815624999999999</v>
      </c>
      <c r="O8" s="179">
        <f t="shared" si="4"/>
        <v>0.24375000000000002</v>
      </c>
      <c r="P8" s="179">
        <f t="shared" si="5"/>
        <v>18.648119140625003</v>
      </c>
      <c r="Q8" s="179">
        <f t="shared" si="6"/>
        <v>1.5843750000000001</v>
      </c>
      <c r="R8" s="153"/>
    </row>
    <row r="9" spans="1:30" x14ac:dyDescent="0.25">
      <c r="A9" s="198">
        <f t="shared" si="8"/>
        <v>10</v>
      </c>
      <c r="B9" s="92">
        <f>B8</f>
        <v>27</v>
      </c>
      <c r="C9" s="193">
        <v>175</v>
      </c>
      <c r="D9" s="188">
        <f>IFERROR(C9*D8/C8,0)</f>
        <v>8763.1578947368416</v>
      </c>
      <c r="E9" s="101">
        <v>12</v>
      </c>
      <c r="F9" s="101">
        <v>2</v>
      </c>
      <c r="G9" s="101">
        <v>10</v>
      </c>
      <c r="H9" s="102">
        <v>10</v>
      </c>
      <c r="I9" s="63">
        <f t="shared" si="7"/>
        <v>15.853292631578947</v>
      </c>
      <c r="K9" s="179">
        <f t="shared" si="0"/>
        <v>14.002333722287048</v>
      </c>
      <c r="L9" s="179">
        <f t="shared" si="1"/>
        <v>15.384615384615385</v>
      </c>
      <c r="M9" s="163">
        <v>1.5</v>
      </c>
      <c r="N9" s="179">
        <f t="shared" si="3"/>
        <v>2.9459375000000003</v>
      </c>
      <c r="O9" s="179">
        <f t="shared" si="4"/>
        <v>0.24375000000000002</v>
      </c>
      <c r="P9" s="179">
        <f t="shared" si="5"/>
        <v>21.038903645833336</v>
      </c>
      <c r="Q9" s="179">
        <f t="shared" si="6"/>
        <v>1.5843750000000001</v>
      </c>
      <c r="R9" s="153"/>
    </row>
    <row r="10" spans="1:30" x14ac:dyDescent="0.25">
      <c r="A10" s="197">
        <f t="shared" si="8"/>
        <v>10</v>
      </c>
      <c r="B10" s="96">
        <v>27</v>
      </c>
      <c r="C10" s="193"/>
      <c r="D10" s="189">
        <f>D9</f>
        <v>8763.1578947368416</v>
      </c>
      <c r="E10" s="104">
        <f>E9</f>
        <v>12</v>
      </c>
      <c r="F10" s="104">
        <f t="shared" si="10"/>
        <v>2</v>
      </c>
      <c r="G10" s="104">
        <f t="shared" si="10"/>
        <v>10</v>
      </c>
      <c r="H10" s="105">
        <f t="shared" si="10"/>
        <v>10</v>
      </c>
      <c r="I10" s="63">
        <f t="shared" si="7"/>
        <v>15.853292631578947</v>
      </c>
      <c r="K10" s="179">
        <f t="shared" si="0"/>
        <v>14.002333722287048</v>
      </c>
      <c r="L10" s="179">
        <f t="shared" si="1"/>
        <v>15.384615384615385</v>
      </c>
      <c r="M10" s="163">
        <v>1.5</v>
      </c>
      <c r="N10" s="179">
        <f t="shared" si="3"/>
        <v>2.9459375000000003</v>
      </c>
      <c r="O10" s="179">
        <f t="shared" si="4"/>
        <v>0.24375000000000002</v>
      </c>
      <c r="P10" s="179">
        <f t="shared" si="5"/>
        <v>21.038903645833336</v>
      </c>
      <c r="Q10" s="179">
        <f t="shared" si="6"/>
        <v>1.5843750000000001</v>
      </c>
      <c r="R10" s="153"/>
    </row>
    <row r="11" spans="1:30" x14ac:dyDescent="0.25">
      <c r="A11" s="198">
        <f t="shared" si="8"/>
        <v>10</v>
      </c>
      <c r="B11" s="92">
        <f>B10</f>
        <v>27</v>
      </c>
      <c r="C11" s="193"/>
      <c r="D11" s="188">
        <f>IFERROR(C11*D10/C10,0)</f>
        <v>0</v>
      </c>
      <c r="E11" s="101">
        <v>12</v>
      </c>
      <c r="F11" s="101">
        <v>12</v>
      </c>
      <c r="G11" s="101">
        <v>5</v>
      </c>
      <c r="H11" s="102">
        <v>90</v>
      </c>
      <c r="I11" s="63">
        <f t="shared" si="7"/>
        <v>0</v>
      </c>
      <c r="K11" s="179">
        <f t="shared" si="0"/>
        <v>14.002333722287048</v>
      </c>
      <c r="L11" s="179">
        <f t="shared" si="1"/>
        <v>92.307692307692307</v>
      </c>
      <c r="M11" s="163">
        <v>1.5</v>
      </c>
      <c r="N11" s="179">
        <f t="shared" si="3"/>
        <v>2.27640625</v>
      </c>
      <c r="O11" s="179">
        <f t="shared" si="4"/>
        <v>2.0718749999999999</v>
      </c>
      <c r="P11" s="179">
        <f t="shared" si="5"/>
        <v>16.257334635416665</v>
      </c>
      <c r="Q11" s="179">
        <f t="shared" si="6"/>
        <v>2.2445312500000001</v>
      </c>
      <c r="R11" s="153"/>
    </row>
    <row r="12" spans="1:30" x14ac:dyDescent="0.25">
      <c r="A12" s="197">
        <f t="shared" si="8"/>
        <v>25.5</v>
      </c>
      <c r="B12" s="96">
        <v>42.5</v>
      </c>
      <c r="C12" s="193"/>
      <c r="D12" s="189">
        <f>D11</f>
        <v>0</v>
      </c>
      <c r="E12" s="104">
        <f>E11</f>
        <v>12</v>
      </c>
      <c r="F12" s="104">
        <f t="shared" si="10"/>
        <v>12</v>
      </c>
      <c r="G12" s="104">
        <f t="shared" si="10"/>
        <v>5</v>
      </c>
      <c r="H12" s="105">
        <f t="shared" si="10"/>
        <v>90</v>
      </c>
      <c r="I12" s="63">
        <f t="shared" si="7"/>
        <v>0</v>
      </c>
      <c r="K12" s="179">
        <f t="shared" si="0"/>
        <v>14.002333722287048</v>
      </c>
      <c r="L12" s="179">
        <f t="shared" si="1"/>
        <v>92.307692307692307</v>
      </c>
      <c r="M12" s="163">
        <v>1.5</v>
      </c>
      <c r="N12" s="179">
        <f t="shared" si="3"/>
        <v>2.27640625</v>
      </c>
      <c r="O12" s="179">
        <f t="shared" si="4"/>
        <v>2.0718749999999999</v>
      </c>
      <c r="P12" s="179">
        <f t="shared" si="5"/>
        <v>16.257334635416665</v>
      </c>
      <c r="Q12" s="179">
        <f t="shared" si="6"/>
        <v>2.2445312500000001</v>
      </c>
      <c r="R12" s="153"/>
    </row>
    <row r="13" spans="1:30" x14ac:dyDescent="0.25">
      <c r="A13" s="198">
        <f t="shared" si="8"/>
        <v>25.5</v>
      </c>
      <c r="B13" s="92">
        <f>B12</f>
        <v>42.5</v>
      </c>
      <c r="C13" s="193"/>
      <c r="D13" s="190">
        <f>IFERROR(C13*D12/C12,0)</f>
        <v>0</v>
      </c>
      <c r="E13" s="101">
        <v>12</v>
      </c>
      <c r="F13" s="101">
        <v>12</v>
      </c>
      <c r="G13" s="101">
        <v>5</v>
      </c>
      <c r="H13" s="102">
        <v>90</v>
      </c>
      <c r="I13" s="63">
        <f t="shared" si="7"/>
        <v>0</v>
      </c>
      <c r="K13" s="246">
        <f t="shared" si="0"/>
        <v>14.002333722287048</v>
      </c>
      <c r="L13" s="246">
        <f t="shared" si="1"/>
        <v>92.307692307692307</v>
      </c>
      <c r="M13" s="163">
        <v>1.5</v>
      </c>
      <c r="N13" s="179">
        <f t="shared" si="3"/>
        <v>2.27640625</v>
      </c>
      <c r="O13" s="179">
        <f t="shared" si="4"/>
        <v>2.0718749999999999</v>
      </c>
      <c r="P13" s="179">
        <f t="shared" si="5"/>
        <v>16.257334635416665</v>
      </c>
      <c r="Q13" s="179">
        <f t="shared" si="6"/>
        <v>2.2445312500000001</v>
      </c>
      <c r="R13" s="153"/>
    </row>
    <row r="14" spans="1:30" x14ac:dyDescent="0.25">
      <c r="A14" s="197">
        <f t="shared" si="8"/>
        <v>27</v>
      </c>
      <c r="B14" s="96">
        <v>44</v>
      </c>
      <c r="C14" s="193"/>
      <c r="D14" s="189">
        <f>D13</f>
        <v>0</v>
      </c>
      <c r="E14" s="104">
        <f>E13</f>
        <v>12</v>
      </c>
      <c r="F14" s="104">
        <f t="shared" si="10"/>
        <v>12</v>
      </c>
      <c r="G14" s="104">
        <f t="shared" si="10"/>
        <v>5</v>
      </c>
      <c r="H14" s="105">
        <f t="shared" si="10"/>
        <v>90</v>
      </c>
      <c r="I14" s="63">
        <f t="shared" si="7"/>
        <v>0</v>
      </c>
      <c r="K14" s="179">
        <f t="shared" si="0"/>
        <v>14.002333722287048</v>
      </c>
      <c r="L14" s="179">
        <f t="shared" si="1"/>
        <v>92.307692307692307</v>
      </c>
      <c r="M14" s="163">
        <v>1.5</v>
      </c>
      <c r="N14" s="179">
        <f t="shared" si="3"/>
        <v>2.27640625</v>
      </c>
      <c r="O14" s="179">
        <f t="shared" si="4"/>
        <v>2.0718749999999999</v>
      </c>
      <c r="P14" s="179">
        <f t="shared" si="5"/>
        <v>16.257334635416665</v>
      </c>
      <c r="Q14" s="179">
        <f t="shared" si="6"/>
        <v>2.2445312500000001</v>
      </c>
      <c r="R14" s="153"/>
    </row>
    <row r="15" spans="1:30" ht="15.75" thickBot="1" x14ac:dyDescent="0.3">
      <c r="A15" s="198">
        <f t="shared" si="8"/>
        <v>27</v>
      </c>
      <c r="B15" s="92">
        <f>B14</f>
        <v>44</v>
      </c>
      <c r="C15" s="193"/>
      <c r="D15" s="108">
        <f>IFERROR(C15*D14/C14,0)</f>
        <v>0</v>
      </c>
      <c r="E15" s="101">
        <v>12</v>
      </c>
      <c r="F15" s="101">
        <v>12</v>
      </c>
      <c r="G15" s="101">
        <v>5</v>
      </c>
      <c r="H15" s="102">
        <v>90</v>
      </c>
      <c r="I15" s="65">
        <f t="shared" si="7"/>
        <v>0</v>
      </c>
      <c r="J15" s="46"/>
      <c r="K15" s="247">
        <f t="shared" si="0"/>
        <v>14.002333722287048</v>
      </c>
      <c r="L15" s="247">
        <f t="shared" si="1"/>
        <v>92.307692307692307</v>
      </c>
      <c r="M15" s="163">
        <v>1.5</v>
      </c>
      <c r="N15" s="179">
        <f t="shared" si="3"/>
        <v>2.27640625</v>
      </c>
      <c r="O15" s="179">
        <f t="shared" si="4"/>
        <v>2.0718749999999999</v>
      </c>
      <c r="P15" s="179">
        <f t="shared" si="5"/>
        <v>16.257334635416665</v>
      </c>
      <c r="Q15" s="179">
        <f t="shared" si="6"/>
        <v>2.2445312500000001</v>
      </c>
      <c r="R15" s="153"/>
      <c r="X15" s="40"/>
      <c r="Y15" s="39"/>
      <c r="Z15" s="39"/>
      <c r="AB15"/>
      <c r="AC15"/>
      <c r="AD15"/>
    </row>
    <row r="16" spans="1:30" ht="14.45" customHeight="1" x14ac:dyDescent="0.25">
      <c r="N16" s="153"/>
      <c r="O16" s="153"/>
      <c r="P16" s="153"/>
      <c r="Q16" s="155"/>
      <c r="R16" s="153"/>
      <c r="X16" s="40"/>
      <c r="Y16" s="39"/>
      <c r="Z16" s="39"/>
      <c r="AB16"/>
      <c r="AC16"/>
      <c r="AD16"/>
    </row>
    <row r="17" spans="1:31" x14ac:dyDescent="0.25">
      <c r="B17" t="s">
        <v>135</v>
      </c>
      <c r="C17" t="s">
        <v>69</v>
      </c>
      <c r="D17" t="s">
        <v>145</v>
      </c>
      <c r="F17" t="s">
        <v>219</v>
      </c>
      <c r="G17" t="s">
        <v>69</v>
      </c>
      <c r="H17" s="163" t="s">
        <v>221</v>
      </c>
      <c r="I17" t="s">
        <v>220</v>
      </c>
      <c r="J17" t="s">
        <v>222</v>
      </c>
      <c r="N17" s="153"/>
      <c r="O17" s="153"/>
      <c r="P17" s="153"/>
      <c r="Q17" s="155"/>
      <c r="R17" s="153"/>
      <c r="X17" s="40"/>
      <c r="Y17" s="39"/>
      <c r="Z17" s="39"/>
      <c r="AB17"/>
      <c r="AC17"/>
      <c r="AD17"/>
    </row>
    <row r="18" spans="1:31" x14ac:dyDescent="0.25">
      <c r="A18" s="153"/>
      <c r="B18" s="114">
        <f>MAX($D$3:$D$15)*1.6E-19</f>
        <v>2.4036090225563907E-15</v>
      </c>
      <c r="C18" s="115">
        <f>B18*1000000000</f>
        <v>2.4036090225563906E-6</v>
      </c>
      <c r="D18" s="115">
        <f>C18*2</f>
        <v>4.8072180451127812E-6</v>
      </c>
      <c r="E18" t="s">
        <v>214</v>
      </c>
      <c r="F18" s="154">
        <v>1E-13</v>
      </c>
      <c r="G18" s="161">
        <f>F18*1000000000</f>
        <v>1E-4</v>
      </c>
      <c r="H18" s="154">
        <f>F18/2</f>
        <v>5.0000000000000002E-14</v>
      </c>
      <c r="I18" s="154">
        <f>H18/1.6E-19</f>
        <v>312500</v>
      </c>
      <c r="J18" s="154">
        <f>F18/1.6E-19</f>
        <v>625000</v>
      </c>
      <c r="K18" s="153"/>
      <c r="L18" s="154"/>
      <c r="M18" s="153"/>
      <c r="N18" s="153"/>
      <c r="O18" s="153"/>
      <c r="P18" s="153"/>
      <c r="Q18" s="155"/>
      <c r="R18" s="153"/>
      <c r="X18" s="40"/>
      <c r="Y18" s="39"/>
      <c r="Z18" s="39"/>
      <c r="AB18"/>
      <c r="AC18"/>
      <c r="AD18"/>
    </row>
    <row r="19" spans="1:31" x14ac:dyDescent="0.25">
      <c r="A19" s="134"/>
      <c r="B19" t="s">
        <v>149</v>
      </c>
      <c r="C19" s="155"/>
      <c r="D19" s="155"/>
      <c r="E19" s="156"/>
      <c r="F19" s="157"/>
      <c r="G19" s="157"/>
      <c r="H19" s="158"/>
      <c r="I19" s="155"/>
      <c r="J19" s="155"/>
      <c r="K19" s="155"/>
      <c r="L19" s="158"/>
      <c r="M19" s="159"/>
      <c r="Y19" s="77"/>
    </row>
    <row r="20" spans="1:31" ht="14.45" x14ac:dyDescent="0.3">
      <c r="A20" s="128"/>
      <c r="B20" t="s">
        <v>150</v>
      </c>
      <c r="C20" s="155"/>
      <c r="D20" s="155"/>
      <c r="E20" s="156"/>
      <c r="F20" s="155"/>
      <c r="G20" s="155"/>
      <c r="H20" s="158"/>
      <c r="I20" s="155"/>
      <c r="J20" s="155"/>
      <c r="K20" s="155"/>
      <c r="L20" s="158"/>
      <c r="M20" s="153"/>
      <c r="N20" s="162" t="s">
        <v>61</v>
      </c>
      <c r="O20" s="162"/>
      <c r="P20" s="163"/>
      <c r="AB20"/>
      <c r="AC20"/>
      <c r="AD20"/>
    </row>
    <row r="21" spans="1:31" x14ac:dyDescent="0.25">
      <c r="A21" s="81"/>
      <c r="B21" t="s">
        <v>151</v>
      </c>
      <c r="C21" s="155"/>
      <c r="D21" s="155"/>
      <c r="E21" s="156"/>
      <c r="F21" s="155"/>
      <c r="G21" s="155"/>
      <c r="H21" s="158"/>
      <c r="I21" s="155"/>
      <c r="J21" s="155"/>
      <c r="K21" s="155"/>
      <c r="L21" s="158"/>
      <c r="M21" s="153"/>
      <c r="N21" s="163"/>
      <c r="O21" s="164" t="s">
        <v>62</v>
      </c>
      <c r="P21" s="164" t="s">
        <v>63</v>
      </c>
      <c r="AB21"/>
      <c r="AC21"/>
      <c r="AD21"/>
    </row>
    <row r="22" spans="1:31" ht="14.45" customHeight="1" x14ac:dyDescent="0.25">
      <c r="A22" s="135"/>
      <c r="B22" t="s">
        <v>152</v>
      </c>
      <c r="C22" s="155"/>
      <c r="D22" s="155"/>
      <c r="E22" s="156"/>
      <c r="F22" s="155"/>
      <c r="G22" s="155"/>
      <c r="H22" s="158"/>
      <c r="I22" s="155"/>
      <c r="J22" s="155"/>
      <c r="K22" s="155"/>
      <c r="L22" s="158"/>
      <c r="M22" s="153"/>
      <c r="N22" s="163" t="s">
        <v>22</v>
      </c>
      <c r="O22" s="165">
        <v>10.199999999999999</v>
      </c>
      <c r="P22" s="165">
        <v>10.3</v>
      </c>
      <c r="R22" s="259"/>
      <c r="S22" s="259"/>
      <c r="T22" s="259"/>
      <c r="U22" s="259"/>
      <c r="V22" s="259"/>
      <c r="W22" s="259"/>
      <c r="Z22" s="259"/>
      <c r="AA22" s="259"/>
      <c r="AB22" s="259"/>
      <c r="AC22" s="259"/>
      <c r="AD22" s="259"/>
      <c r="AE22" s="259"/>
    </row>
    <row r="23" spans="1:31" x14ac:dyDescent="0.25">
      <c r="A23" s="136"/>
      <c r="B23" t="s">
        <v>153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60"/>
      <c r="M23" s="153"/>
      <c r="N23" s="163" t="s">
        <v>174</v>
      </c>
      <c r="O23" s="165">
        <v>60</v>
      </c>
      <c r="P23" s="165">
        <v>180</v>
      </c>
      <c r="AB23"/>
      <c r="AC23"/>
      <c r="AD23"/>
    </row>
    <row r="24" spans="1:31" x14ac:dyDescent="0.25">
      <c r="H24" s="151"/>
      <c r="I24" s="151"/>
      <c r="J24" s="151"/>
      <c r="L24" s="40"/>
      <c r="N24" s="163" t="s">
        <v>21</v>
      </c>
      <c r="O24" s="166">
        <f>O23/1000</f>
        <v>0.06</v>
      </c>
      <c r="P24" s="166">
        <f>P23/1000</f>
        <v>0.18</v>
      </c>
    </row>
    <row r="25" spans="1:31" x14ac:dyDescent="0.25">
      <c r="A25" s="26"/>
      <c r="H25" s="149"/>
      <c r="I25" s="161"/>
      <c r="J25" s="161"/>
      <c r="L25" s="40"/>
      <c r="O25" s="39"/>
      <c r="P25" s="39"/>
      <c r="AB25"/>
      <c r="AC25"/>
      <c r="AD25"/>
    </row>
    <row r="26" spans="1:31" ht="14.45" x14ac:dyDescent="0.3">
      <c r="A26" s="40"/>
      <c r="B26" s="39"/>
      <c r="C26" s="39"/>
      <c r="D26"/>
      <c r="H26" s="151"/>
      <c r="I26" s="151"/>
      <c r="J26" s="151"/>
      <c r="AB26"/>
      <c r="AC26"/>
      <c r="AD26"/>
    </row>
    <row r="27" spans="1:31" ht="14.45" x14ac:dyDescent="0.3">
      <c r="A27" s="26" t="s">
        <v>175</v>
      </c>
      <c r="AB27"/>
      <c r="AC27"/>
      <c r="AD27"/>
    </row>
    <row r="28" spans="1:31" x14ac:dyDescent="0.25">
      <c r="A28" s="163"/>
      <c r="B28" s="167" t="s">
        <v>47</v>
      </c>
      <c r="C28" s="167" t="s">
        <v>48</v>
      </c>
      <c r="D28" s="168" t="s">
        <v>49</v>
      </c>
      <c r="E28" s="168" t="s">
        <v>50</v>
      </c>
      <c r="F28" s="168" t="s">
        <v>51</v>
      </c>
      <c r="G28" s="168" t="s">
        <v>3</v>
      </c>
      <c r="H28" s="169" t="s">
        <v>176</v>
      </c>
      <c r="I28" s="175" t="s">
        <v>156</v>
      </c>
      <c r="J28" s="170" t="s">
        <v>169</v>
      </c>
      <c r="K28" s="174" t="s">
        <v>55</v>
      </c>
      <c r="L28" s="164" t="s">
        <v>170</v>
      </c>
      <c r="M28" s="164" t="s">
        <v>159</v>
      </c>
      <c r="N28" s="164" t="s">
        <v>171</v>
      </c>
      <c r="O28" s="176" t="s">
        <v>172</v>
      </c>
      <c r="Q28" s="27" t="s">
        <v>173</v>
      </c>
      <c r="R28" s="27" t="s">
        <v>143</v>
      </c>
      <c r="S28" s="39" t="s">
        <v>186</v>
      </c>
      <c r="T28" s="1" t="s">
        <v>187</v>
      </c>
      <c r="AB28"/>
      <c r="AC28"/>
      <c r="AD28"/>
    </row>
    <row r="29" spans="1:31" x14ac:dyDescent="0.25">
      <c r="A29" s="163">
        <v>1</v>
      </c>
      <c r="B29" s="165">
        <v>0</v>
      </c>
      <c r="C29" s="171">
        <f>$Q$16</f>
        <v>0</v>
      </c>
      <c r="D29" s="171">
        <f>$Q$17</f>
        <v>0</v>
      </c>
      <c r="E29" s="172">
        <f>O29/1000</f>
        <v>7.5112781954887216E-5</v>
      </c>
      <c r="F29" s="163">
        <f t="shared" ref="F29:F61" si="11">IF($B29,$C29,$D29)+$K29-IF($B29,$O$24/1000,$P$24/1000)</f>
        <v>9.8200000000000006E-3</v>
      </c>
      <c r="G29" s="163">
        <v>50000</v>
      </c>
      <c r="H29" s="163">
        <v>0</v>
      </c>
      <c r="I29" s="170">
        <v>400000</v>
      </c>
      <c r="J29" s="165">
        <v>10</v>
      </c>
      <c r="K29" s="177">
        <f>J29/1000</f>
        <v>0.01</v>
      </c>
      <c r="L29" s="164">
        <f>I29*J29</f>
        <v>4000000</v>
      </c>
      <c r="M29" s="164">
        <f>MAX($D$3:$D$15)*2</f>
        <v>30045.112781954886</v>
      </c>
      <c r="N29" s="179">
        <f t="shared" ref="N29:N61" si="12">L29/M29</f>
        <v>133.13313313313313</v>
      </c>
      <c r="O29" s="172">
        <f t="shared" ref="O29:O61" si="13">J29/N29</f>
        <v>7.5112781954887214E-2</v>
      </c>
      <c r="Q29" s="83">
        <f>SUM(N29:N131)</f>
        <v>6240.6156156156139</v>
      </c>
      <c r="R29" s="181">
        <f>Q29/60</f>
        <v>104.01026026026024</v>
      </c>
      <c r="S29" s="39">
        <v>0</v>
      </c>
      <c r="T29" s="78">
        <f>S29/1000000</f>
        <v>0</v>
      </c>
      <c r="AB29"/>
      <c r="AC29"/>
      <c r="AD29"/>
    </row>
    <row r="30" spans="1:31" x14ac:dyDescent="0.25">
      <c r="A30" s="163">
        <f t="shared" ref="A30:A31" si="14">A29+1</f>
        <v>2</v>
      </c>
      <c r="B30" s="165">
        <v>0</v>
      </c>
      <c r="C30" s="171">
        <f>C29+T30</f>
        <v>4.0000000000000003E-5</v>
      </c>
      <c r="D30" s="171">
        <f>D29</f>
        <v>0</v>
      </c>
      <c r="E30" s="172">
        <f t="shared" ref="E30:E96" si="15">O30/1000</f>
        <v>7.5112781954887216E-5</v>
      </c>
      <c r="F30" s="163">
        <f t="shared" si="11"/>
        <v>9.8200000000000006E-3</v>
      </c>
      <c r="G30" s="163">
        <v>50000</v>
      </c>
      <c r="H30" s="163">
        <v>0</v>
      </c>
      <c r="I30" s="170">
        <v>400000</v>
      </c>
      <c r="J30" s="165">
        <v>10</v>
      </c>
      <c r="K30" s="177">
        <f t="shared" ref="K30:K96" si="16">J30/1000</f>
        <v>0.01</v>
      </c>
      <c r="L30" s="164">
        <f>I30*J30</f>
        <v>4000000</v>
      </c>
      <c r="M30" s="164">
        <f t="shared" ref="M30:M96" si="17">MAX($D$3:$D$15)*2</f>
        <v>30045.112781954886</v>
      </c>
      <c r="N30" s="179">
        <f t="shared" si="12"/>
        <v>133.13313313313313</v>
      </c>
      <c r="O30" s="172">
        <f t="shared" si="13"/>
        <v>7.5112781954887214E-2</v>
      </c>
      <c r="S30" s="226">
        <v>40</v>
      </c>
      <c r="T30">
        <f>S30/1000000</f>
        <v>4.0000000000000003E-5</v>
      </c>
      <c r="AB30"/>
      <c r="AC30"/>
      <c r="AD30"/>
    </row>
    <row r="31" spans="1:31" x14ac:dyDescent="0.25">
      <c r="A31" s="163">
        <f t="shared" si="14"/>
        <v>3</v>
      </c>
      <c r="B31" s="165">
        <v>0</v>
      </c>
      <c r="C31" s="171">
        <f t="shared" ref="C31:C48" si="18">C30+T31</f>
        <v>1.2000000000000002E-4</v>
      </c>
      <c r="D31" s="171">
        <f t="shared" ref="D31:D97" si="19">D30</f>
        <v>0</v>
      </c>
      <c r="E31" s="172">
        <f t="shared" si="15"/>
        <v>7.5112781954887216E-5</v>
      </c>
      <c r="F31" s="163">
        <f t="shared" si="11"/>
        <v>9.8200000000000006E-3</v>
      </c>
      <c r="G31" s="163">
        <v>50000</v>
      </c>
      <c r="H31" s="163">
        <v>0</v>
      </c>
      <c r="I31" s="170">
        <v>400000</v>
      </c>
      <c r="J31" s="165">
        <v>10</v>
      </c>
      <c r="K31" s="177">
        <f t="shared" si="16"/>
        <v>0.01</v>
      </c>
      <c r="L31" s="164">
        <f>I31*J31</f>
        <v>4000000</v>
      </c>
      <c r="M31" s="164">
        <f t="shared" si="17"/>
        <v>30045.112781954886</v>
      </c>
      <c r="N31" s="179">
        <f t="shared" si="12"/>
        <v>133.13313313313313</v>
      </c>
      <c r="O31" s="172">
        <f t="shared" si="13"/>
        <v>7.5112781954887214E-2</v>
      </c>
      <c r="Q31" s="40"/>
      <c r="S31" s="226">
        <v>80</v>
      </c>
      <c r="T31" s="78">
        <f t="shared" ref="T31:T48" si="20">S31/1000000</f>
        <v>8.0000000000000007E-5</v>
      </c>
      <c r="AB31"/>
      <c r="AC31"/>
      <c r="AD31"/>
    </row>
    <row r="32" spans="1:31" x14ac:dyDescent="0.25">
      <c r="A32" s="163">
        <f>A31+1</f>
        <v>4</v>
      </c>
      <c r="B32" s="165">
        <v>0</v>
      </c>
      <c r="C32" s="171">
        <f t="shared" si="18"/>
        <v>2.4000000000000003E-4</v>
      </c>
      <c r="D32" s="171">
        <f t="shared" si="19"/>
        <v>0</v>
      </c>
      <c r="E32" s="172">
        <f t="shared" si="15"/>
        <v>7.5112781954887216E-5</v>
      </c>
      <c r="F32" s="163">
        <f t="shared" si="11"/>
        <v>9.8200000000000006E-3</v>
      </c>
      <c r="G32" s="163">
        <v>50000</v>
      </c>
      <c r="H32" s="163">
        <v>0</v>
      </c>
      <c r="I32" s="170">
        <v>400000</v>
      </c>
      <c r="J32" s="165">
        <v>10</v>
      </c>
      <c r="K32" s="177">
        <f t="shared" si="16"/>
        <v>0.01</v>
      </c>
      <c r="L32" s="164">
        <f t="shared" ref="L32:L98" si="21">I32*J32</f>
        <v>4000000</v>
      </c>
      <c r="M32" s="164">
        <f t="shared" si="17"/>
        <v>30045.112781954886</v>
      </c>
      <c r="N32" s="179">
        <f t="shared" si="12"/>
        <v>133.13313313313313</v>
      </c>
      <c r="O32" s="172">
        <f t="shared" si="13"/>
        <v>7.5112781954887214E-2</v>
      </c>
      <c r="S32" s="226">
        <v>120</v>
      </c>
      <c r="T32" s="78">
        <f t="shared" si="20"/>
        <v>1.2E-4</v>
      </c>
      <c r="AB32"/>
      <c r="AC32"/>
      <c r="AD32"/>
    </row>
    <row r="33" spans="1:30" x14ac:dyDescent="0.25">
      <c r="A33" s="163">
        <f t="shared" ref="A33:A36" si="22">A32+1</f>
        <v>5</v>
      </c>
      <c r="B33" s="165">
        <v>0</v>
      </c>
      <c r="C33" s="171">
        <f t="shared" si="18"/>
        <v>4.0000000000000007E-4</v>
      </c>
      <c r="D33" s="171">
        <f t="shared" si="19"/>
        <v>0</v>
      </c>
      <c r="E33" s="172">
        <f t="shared" si="15"/>
        <v>7.5112781954887216E-5</v>
      </c>
      <c r="F33" s="163">
        <f t="shared" si="11"/>
        <v>9.8200000000000006E-3</v>
      </c>
      <c r="G33" s="163">
        <v>50000</v>
      </c>
      <c r="H33" s="163">
        <v>0</v>
      </c>
      <c r="I33" s="170">
        <v>400000</v>
      </c>
      <c r="J33" s="165">
        <v>10</v>
      </c>
      <c r="K33" s="177">
        <f t="shared" si="16"/>
        <v>0.01</v>
      </c>
      <c r="L33" s="164">
        <f t="shared" si="21"/>
        <v>4000000</v>
      </c>
      <c r="M33" s="164">
        <f t="shared" si="17"/>
        <v>30045.112781954886</v>
      </c>
      <c r="N33" s="179">
        <f t="shared" si="12"/>
        <v>133.13313313313313</v>
      </c>
      <c r="O33" s="172">
        <f t="shared" si="13"/>
        <v>7.5112781954887214E-2</v>
      </c>
      <c r="Q33" s="40"/>
      <c r="S33" s="226">
        <v>160</v>
      </c>
      <c r="T33" s="78">
        <f t="shared" si="20"/>
        <v>1.6000000000000001E-4</v>
      </c>
      <c r="AB33"/>
      <c r="AC33"/>
      <c r="AD33"/>
    </row>
    <row r="34" spans="1:30" x14ac:dyDescent="0.25">
      <c r="A34" s="163">
        <f t="shared" si="22"/>
        <v>6</v>
      </c>
      <c r="B34" s="165">
        <v>0</v>
      </c>
      <c r="C34" s="171">
        <f t="shared" si="18"/>
        <v>6.0000000000000006E-4</v>
      </c>
      <c r="D34" s="171">
        <f t="shared" si="19"/>
        <v>0</v>
      </c>
      <c r="E34" s="172">
        <f t="shared" si="15"/>
        <v>7.5112781954887216E-5</v>
      </c>
      <c r="F34" s="163">
        <f t="shared" si="11"/>
        <v>9.8200000000000006E-3</v>
      </c>
      <c r="G34" s="163">
        <v>50000</v>
      </c>
      <c r="H34" s="163">
        <v>0</v>
      </c>
      <c r="I34" s="170">
        <v>400000</v>
      </c>
      <c r="J34" s="165">
        <v>10</v>
      </c>
      <c r="K34" s="177">
        <f t="shared" si="16"/>
        <v>0.01</v>
      </c>
      <c r="L34" s="164">
        <f t="shared" si="21"/>
        <v>4000000</v>
      </c>
      <c r="M34" s="164">
        <f t="shared" si="17"/>
        <v>30045.112781954886</v>
      </c>
      <c r="N34" s="179">
        <f t="shared" si="12"/>
        <v>133.13313313313313</v>
      </c>
      <c r="O34" s="172">
        <f t="shared" si="13"/>
        <v>7.5112781954887214E-2</v>
      </c>
      <c r="Q34" s="40"/>
      <c r="S34" s="226">
        <v>200</v>
      </c>
      <c r="T34" s="78">
        <f t="shared" si="20"/>
        <v>2.0000000000000001E-4</v>
      </c>
      <c r="AB34"/>
      <c r="AC34"/>
      <c r="AD34"/>
    </row>
    <row r="35" spans="1:30" x14ac:dyDescent="0.25">
      <c r="A35" s="163">
        <f t="shared" si="22"/>
        <v>7</v>
      </c>
      <c r="B35" s="165">
        <v>0</v>
      </c>
      <c r="C35" s="171">
        <f t="shared" si="18"/>
        <v>8.4000000000000003E-4</v>
      </c>
      <c r="D35" s="171">
        <f t="shared" si="19"/>
        <v>0</v>
      </c>
      <c r="E35" s="172">
        <f t="shared" si="15"/>
        <v>7.5112781954887216E-5</v>
      </c>
      <c r="F35" s="163">
        <f t="shared" si="11"/>
        <v>9.8200000000000006E-3</v>
      </c>
      <c r="G35" s="163">
        <v>50000</v>
      </c>
      <c r="H35" s="163">
        <v>0</v>
      </c>
      <c r="I35" s="170">
        <v>400000</v>
      </c>
      <c r="J35" s="165">
        <v>10</v>
      </c>
      <c r="K35" s="177">
        <f t="shared" si="16"/>
        <v>0.01</v>
      </c>
      <c r="L35" s="164">
        <f t="shared" si="21"/>
        <v>4000000</v>
      </c>
      <c r="M35" s="164">
        <f t="shared" si="17"/>
        <v>30045.112781954886</v>
      </c>
      <c r="N35" s="179">
        <f t="shared" si="12"/>
        <v>133.13313313313313</v>
      </c>
      <c r="O35" s="172">
        <f t="shared" si="13"/>
        <v>7.5112781954887214E-2</v>
      </c>
      <c r="S35" s="226">
        <v>240</v>
      </c>
      <c r="T35" s="78">
        <f t="shared" si="20"/>
        <v>2.4000000000000001E-4</v>
      </c>
      <c r="AB35"/>
      <c r="AC35"/>
      <c r="AD35"/>
    </row>
    <row r="36" spans="1:30" x14ac:dyDescent="0.25">
      <c r="A36" s="163">
        <f t="shared" si="22"/>
        <v>8</v>
      </c>
      <c r="B36" s="165">
        <v>0</v>
      </c>
      <c r="C36" s="171">
        <f t="shared" si="18"/>
        <v>1.1199999999999999E-3</v>
      </c>
      <c r="D36" s="171">
        <f t="shared" si="19"/>
        <v>0</v>
      </c>
      <c r="E36" s="172">
        <f t="shared" si="15"/>
        <v>7.5112781954887216E-5</v>
      </c>
      <c r="F36" s="163">
        <f t="shared" si="11"/>
        <v>9.8200000000000006E-3</v>
      </c>
      <c r="G36" s="163">
        <v>50000</v>
      </c>
      <c r="H36" s="163">
        <v>0</v>
      </c>
      <c r="I36" s="170">
        <v>400000</v>
      </c>
      <c r="J36" s="165">
        <v>10</v>
      </c>
      <c r="K36" s="177">
        <f t="shared" si="16"/>
        <v>0.01</v>
      </c>
      <c r="L36" s="164">
        <f t="shared" si="21"/>
        <v>4000000</v>
      </c>
      <c r="M36" s="164">
        <f t="shared" si="17"/>
        <v>30045.112781954886</v>
      </c>
      <c r="N36" s="179">
        <f t="shared" si="12"/>
        <v>133.13313313313313</v>
      </c>
      <c r="O36" s="172">
        <f t="shared" si="13"/>
        <v>7.5112781954887214E-2</v>
      </c>
      <c r="Q36" s="40"/>
      <c r="S36" s="226">
        <v>280</v>
      </c>
      <c r="T36" s="78">
        <f t="shared" si="20"/>
        <v>2.7999999999999998E-4</v>
      </c>
      <c r="AB36"/>
      <c r="AC36"/>
      <c r="AD36"/>
    </row>
    <row r="37" spans="1:30" x14ac:dyDescent="0.25">
      <c r="A37" s="163">
        <f>A36+1</f>
        <v>9</v>
      </c>
      <c r="B37" s="165">
        <v>0</v>
      </c>
      <c r="C37" s="171">
        <f t="shared" si="18"/>
        <v>1.4399999999999999E-3</v>
      </c>
      <c r="D37" s="171">
        <f t="shared" si="19"/>
        <v>0</v>
      </c>
      <c r="E37" s="172">
        <f t="shared" si="15"/>
        <v>7.5112781954887216E-5</v>
      </c>
      <c r="F37" s="163">
        <f t="shared" si="11"/>
        <v>9.8200000000000006E-3</v>
      </c>
      <c r="G37" s="163">
        <v>50000</v>
      </c>
      <c r="H37" s="163">
        <v>0</v>
      </c>
      <c r="I37" s="170">
        <v>400000</v>
      </c>
      <c r="J37" s="165">
        <v>10</v>
      </c>
      <c r="K37" s="177">
        <f t="shared" si="16"/>
        <v>0.01</v>
      </c>
      <c r="L37" s="164">
        <f t="shared" si="21"/>
        <v>4000000</v>
      </c>
      <c r="M37" s="164">
        <f t="shared" si="17"/>
        <v>30045.112781954886</v>
      </c>
      <c r="N37" s="179">
        <f t="shared" si="12"/>
        <v>133.13313313313313</v>
      </c>
      <c r="O37" s="172">
        <f t="shared" si="13"/>
        <v>7.5112781954887214E-2</v>
      </c>
      <c r="S37" s="226">
        <v>320</v>
      </c>
      <c r="T37" s="78">
        <f t="shared" si="20"/>
        <v>3.2000000000000003E-4</v>
      </c>
      <c r="AB37"/>
      <c r="AC37"/>
      <c r="AD37"/>
    </row>
    <row r="38" spans="1:30" x14ac:dyDescent="0.25">
      <c r="A38" s="163">
        <f t="shared" ref="A38:A104" si="23">A37+1</f>
        <v>10</v>
      </c>
      <c r="B38" s="165">
        <v>0</v>
      </c>
      <c r="C38" s="171">
        <f t="shared" si="18"/>
        <v>1.8E-3</v>
      </c>
      <c r="D38" s="171">
        <f t="shared" si="19"/>
        <v>0</v>
      </c>
      <c r="E38" s="172">
        <f t="shared" si="15"/>
        <v>7.5112781954887216E-5</v>
      </c>
      <c r="F38" s="163">
        <f t="shared" si="11"/>
        <v>9.8200000000000006E-3</v>
      </c>
      <c r="G38" s="163">
        <v>50000</v>
      </c>
      <c r="H38" s="163">
        <v>0</v>
      </c>
      <c r="I38" s="170">
        <v>400000</v>
      </c>
      <c r="J38" s="165">
        <v>10</v>
      </c>
      <c r="K38" s="177">
        <f t="shared" si="16"/>
        <v>0.01</v>
      </c>
      <c r="L38" s="164">
        <f t="shared" si="21"/>
        <v>4000000</v>
      </c>
      <c r="M38" s="164">
        <f t="shared" si="17"/>
        <v>30045.112781954886</v>
      </c>
      <c r="N38" s="179">
        <f t="shared" si="12"/>
        <v>133.13313313313313</v>
      </c>
      <c r="O38" s="172">
        <f t="shared" si="13"/>
        <v>7.5112781954887214E-2</v>
      </c>
      <c r="Q38" s="40"/>
      <c r="S38" s="226">
        <v>360</v>
      </c>
      <c r="T38" s="78">
        <f t="shared" si="20"/>
        <v>3.6000000000000002E-4</v>
      </c>
      <c r="AB38"/>
      <c r="AC38"/>
      <c r="AD38"/>
    </row>
    <row r="39" spans="1:30" x14ac:dyDescent="0.25">
      <c r="A39" s="163">
        <f t="shared" si="23"/>
        <v>11</v>
      </c>
      <c r="B39" s="165">
        <v>0</v>
      </c>
      <c r="C39" s="171">
        <f t="shared" si="18"/>
        <v>2.2000000000000001E-3</v>
      </c>
      <c r="D39" s="171">
        <f t="shared" si="19"/>
        <v>0</v>
      </c>
      <c r="E39" s="172">
        <f t="shared" si="15"/>
        <v>7.5112781954887216E-5</v>
      </c>
      <c r="F39" s="163">
        <f t="shared" si="11"/>
        <v>9.8200000000000006E-3</v>
      </c>
      <c r="G39" s="163">
        <v>50000</v>
      </c>
      <c r="H39" s="163">
        <v>0</v>
      </c>
      <c r="I39" s="170">
        <v>400000</v>
      </c>
      <c r="J39" s="165">
        <v>10</v>
      </c>
      <c r="K39" s="177">
        <f t="shared" si="16"/>
        <v>0.01</v>
      </c>
      <c r="L39" s="164">
        <f t="shared" si="21"/>
        <v>4000000</v>
      </c>
      <c r="M39" s="164">
        <f t="shared" si="17"/>
        <v>30045.112781954886</v>
      </c>
      <c r="N39" s="179">
        <f t="shared" si="12"/>
        <v>133.13313313313313</v>
      </c>
      <c r="O39" s="172">
        <f t="shared" si="13"/>
        <v>7.5112781954887214E-2</v>
      </c>
      <c r="Q39" s="40"/>
      <c r="S39" s="226">
        <v>400</v>
      </c>
      <c r="T39" s="78">
        <f t="shared" si="20"/>
        <v>4.0000000000000002E-4</v>
      </c>
      <c r="AB39"/>
      <c r="AC39"/>
      <c r="AD39"/>
    </row>
    <row r="40" spans="1:30" x14ac:dyDescent="0.25">
      <c r="A40" s="163">
        <f t="shared" si="23"/>
        <v>12</v>
      </c>
      <c r="B40" s="165">
        <v>0</v>
      </c>
      <c r="C40" s="171">
        <f t="shared" si="18"/>
        <v>2.64E-3</v>
      </c>
      <c r="D40" s="171">
        <f t="shared" si="19"/>
        <v>0</v>
      </c>
      <c r="E40" s="172">
        <f t="shared" si="15"/>
        <v>7.5112781954887216E-5</v>
      </c>
      <c r="F40" s="163">
        <f t="shared" si="11"/>
        <v>9.8200000000000006E-3</v>
      </c>
      <c r="G40" s="163">
        <v>50000</v>
      </c>
      <c r="H40" s="163">
        <v>0</v>
      </c>
      <c r="I40" s="170">
        <v>400000</v>
      </c>
      <c r="J40" s="165">
        <v>10</v>
      </c>
      <c r="K40" s="177">
        <f t="shared" si="16"/>
        <v>0.01</v>
      </c>
      <c r="L40" s="164">
        <f t="shared" si="21"/>
        <v>4000000</v>
      </c>
      <c r="M40" s="164">
        <f t="shared" si="17"/>
        <v>30045.112781954886</v>
      </c>
      <c r="N40" s="179">
        <f t="shared" si="12"/>
        <v>133.13313313313313</v>
      </c>
      <c r="O40" s="172">
        <f t="shared" si="13"/>
        <v>7.5112781954887214E-2</v>
      </c>
      <c r="S40" s="226">
        <v>440</v>
      </c>
      <c r="T40" s="78">
        <f t="shared" si="20"/>
        <v>4.4000000000000002E-4</v>
      </c>
      <c r="AB40"/>
      <c r="AC40"/>
      <c r="AD40"/>
    </row>
    <row r="41" spans="1:30" x14ac:dyDescent="0.25">
      <c r="A41" s="163">
        <f t="shared" si="23"/>
        <v>13</v>
      </c>
      <c r="B41" s="165">
        <v>0</v>
      </c>
      <c r="C41" s="171">
        <f t="shared" si="18"/>
        <v>3.1199999999999999E-3</v>
      </c>
      <c r="D41" s="171">
        <f t="shared" si="19"/>
        <v>0</v>
      </c>
      <c r="E41" s="172">
        <f t="shared" si="15"/>
        <v>7.5112781954887216E-5</v>
      </c>
      <c r="F41" s="163">
        <f t="shared" si="11"/>
        <v>9.8200000000000006E-3</v>
      </c>
      <c r="G41" s="163">
        <v>50000</v>
      </c>
      <c r="H41" s="163">
        <v>0</v>
      </c>
      <c r="I41" s="170">
        <v>400000</v>
      </c>
      <c r="J41" s="165">
        <v>10</v>
      </c>
      <c r="K41" s="177">
        <f t="shared" si="16"/>
        <v>0.01</v>
      </c>
      <c r="L41" s="164">
        <f t="shared" si="21"/>
        <v>4000000</v>
      </c>
      <c r="M41" s="164">
        <f t="shared" si="17"/>
        <v>30045.112781954886</v>
      </c>
      <c r="N41" s="179">
        <f t="shared" si="12"/>
        <v>133.13313313313313</v>
      </c>
      <c r="O41" s="172">
        <f t="shared" si="13"/>
        <v>7.5112781954887214E-2</v>
      </c>
      <c r="Q41" s="40"/>
      <c r="S41" s="226">
        <v>480</v>
      </c>
      <c r="T41" s="78">
        <f t="shared" si="20"/>
        <v>4.8000000000000001E-4</v>
      </c>
      <c r="AB41"/>
      <c r="AC41"/>
      <c r="AD41"/>
    </row>
    <row r="42" spans="1:30" x14ac:dyDescent="0.25">
      <c r="A42" s="163">
        <f>A41+1</f>
        <v>14</v>
      </c>
      <c r="B42" s="165">
        <v>0</v>
      </c>
      <c r="C42" s="171">
        <f t="shared" si="18"/>
        <v>3.64E-3</v>
      </c>
      <c r="D42" s="171">
        <f t="shared" si="19"/>
        <v>0</v>
      </c>
      <c r="E42" s="172">
        <f t="shared" si="15"/>
        <v>7.5112781954887216E-5</v>
      </c>
      <c r="F42" s="163">
        <f t="shared" si="11"/>
        <v>9.8200000000000006E-3</v>
      </c>
      <c r="G42" s="163">
        <v>50000</v>
      </c>
      <c r="H42" s="163">
        <v>0</v>
      </c>
      <c r="I42" s="170">
        <v>400000</v>
      </c>
      <c r="J42" s="165">
        <v>10</v>
      </c>
      <c r="K42" s="177">
        <f t="shared" si="16"/>
        <v>0.01</v>
      </c>
      <c r="L42" s="164">
        <f t="shared" si="21"/>
        <v>4000000</v>
      </c>
      <c r="M42" s="164">
        <f t="shared" si="17"/>
        <v>30045.112781954886</v>
      </c>
      <c r="N42" s="179">
        <f t="shared" si="12"/>
        <v>133.13313313313313</v>
      </c>
      <c r="O42" s="172">
        <f t="shared" si="13"/>
        <v>7.5112781954887214E-2</v>
      </c>
      <c r="S42" s="226">
        <v>520</v>
      </c>
      <c r="T42" s="78">
        <f t="shared" si="20"/>
        <v>5.1999999999999995E-4</v>
      </c>
      <c r="AB42"/>
      <c r="AC42"/>
      <c r="AD42"/>
    </row>
    <row r="43" spans="1:30" x14ac:dyDescent="0.25">
      <c r="A43" s="163">
        <f t="shared" si="23"/>
        <v>15</v>
      </c>
      <c r="B43" s="165">
        <v>0</v>
      </c>
      <c r="C43" s="171">
        <f t="shared" si="18"/>
        <v>4.1999999999999997E-3</v>
      </c>
      <c r="D43" s="171">
        <f t="shared" si="19"/>
        <v>0</v>
      </c>
      <c r="E43" s="172">
        <f t="shared" si="15"/>
        <v>7.5112781954887216E-5</v>
      </c>
      <c r="F43" s="163">
        <f t="shared" si="11"/>
        <v>9.8200000000000006E-3</v>
      </c>
      <c r="G43" s="163">
        <v>50000</v>
      </c>
      <c r="H43" s="163">
        <v>0</v>
      </c>
      <c r="I43" s="170">
        <v>400000</v>
      </c>
      <c r="J43" s="165">
        <v>10</v>
      </c>
      <c r="K43" s="177">
        <f t="shared" si="16"/>
        <v>0.01</v>
      </c>
      <c r="L43" s="164">
        <f t="shared" si="21"/>
        <v>4000000</v>
      </c>
      <c r="M43" s="164">
        <f t="shared" si="17"/>
        <v>30045.112781954886</v>
      </c>
      <c r="N43" s="179">
        <f t="shared" si="12"/>
        <v>133.13313313313313</v>
      </c>
      <c r="O43" s="172">
        <f t="shared" si="13"/>
        <v>7.5112781954887214E-2</v>
      </c>
      <c r="Q43" s="40"/>
      <c r="S43" s="226">
        <v>560</v>
      </c>
      <c r="T43" s="78">
        <f t="shared" si="20"/>
        <v>5.5999999999999995E-4</v>
      </c>
      <c r="AB43"/>
      <c r="AC43"/>
      <c r="AD43"/>
    </row>
    <row r="44" spans="1:30" x14ac:dyDescent="0.25">
      <c r="A44" s="163">
        <f t="shared" si="23"/>
        <v>16</v>
      </c>
      <c r="B44" s="165">
        <v>0</v>
      </c>
      <c r="C44" s="171">
        <f t="shared" si="18"/>
        <v>4.7999999999999996E-3</v>
      </c>
      <c r="D44" s="171">
        <f t="shared" si="19"/>
        <v>0</v>
      </c>
      <c r="E44" s="172">
        <f t="shared" si="15"/>
        <v>7.5112781954887216E-5</v>
      </c>
      <c r="F44" s="163">
        <f t="shared" si="11"/>
        <v>9.8200000000000006E-3</v>
      </c>
      <c r="G44" s="163">
        <v>50000</v>
      </c>
      <c r="H44" s="163">
        <v>0</v>
      </c>
      <c r="I44" s="170">
        <v>400000</v>
      </c>
      <c r="J44" s="165">
        <v>10</v>
      </c>
      <c r="K44" s="177">
        <f t="shared" si="16"/>
        <v>0.01</v>
      </c>
      <c r="L44" s="164">
        <f t="shared" si="21"/>
        <v>4000000</v>
      </c>
      <c r="M44" s="164">
        <f t="shared" si="17"/>
        <v>30045.112781954886</v>
      </c>
      <c r="N44" s="179">
        <f t="shared" si="12"/>
        <v>133.13313313313313</v>
      </c>
      <c r="O44" s="172">
        <f t="shared" si="13"/>
        <v>7.5112781954887214E-2</v>
      </c>
      <c r="Q44" s="40"/>
      <c r="S44" s="226">
        <v>600</v>
      </c>
      <c r="T44" s="78">
        <f t="shared" si="20"/>
        <v>5.9999999999999995E-4</v>
      </c>
      <c r="AB44"/>
      <c r="AC44"/>
      <c r="AD44"/>
    </row>
    <row r="45" spans="1:30" x14ac:dyDescent="0.25">
      <c r="A45" s="163">
        <f t="shared" si="23"/>
        <v>17</v>
      </c>
      <c r="B45" s="165">
        <v>0</v>
      </c>
      <c r="C45" s="171">
        <f t="shared" si="18"/>
        <v>5.4999999999999997E-3</v>
      </c>
      <c r="D45" s="171">
        <f t="shared" si="19"/>
        <v>0</v>
      </c>
      <c r="E45" s="172">
        <f t="shared" si="15"/>
        <v>7.5112781954887216E-5</v>
      </c>
      <c r="F45" s="163">
        <f t="shared" si="11"/>
        <v>9.8200000000000006E-3</v>
      </c>
      <c r="G45" s="163">
        <v>50000</v>
      </c>
      <c r="H45" s="163">
        <v>0</v>
      </c>
      <c r="I45" s="170">
        <v>400000</v>
      </c>
      <c r="J45" s="165">
        <v>10</v>
      </c>
      <c r="K45" s="177">
        <f t="shared" si="16"/>
        <v>0.01</v>
      </c>
      <c r="L45" s="164">
        <f t="shared" si="21"/>
        <v>4000000</v>
      </c>
      <c r="M45" s="164">
        <f t="shared" si="17"/>
        <v>30045.112781954886</v>
      </c>
      <c r="N45" s="179">
        <f t="shared" si="12"/>
        <v>133.13313313313313</v>
      </c>
      <c r="O45" s="172">
        <f t="shared" si="13"/>
        <v>7.5112781954887214E-2</v>
      </c>
      <c r="S45" s="226">
        <v>700</v>
      </c>
      <c r="T45" s="78">
        <f t="shared" si="20"/>
        <v>6.9999999999999999E-4</v>
      </c>
      <c r="AB45"/>
      <c r="AC45"/>
      <c r="AD45"/>
    </row>
    <row r="46" spans="1:30" x14ac:dyDescent="0.25">
      <c r="A46" s="163">
        <f t="shared" si="23"/>
        <v>18</v>
      </c>
      <c r="B46" s="165">
        <v>0</v>
      </c>
      <c r="C46" s="171">
        <f t="shared" si="18"/>
        <v>6.3E-3</v>
      </c>
      <c r="D46" s="171">
        <f t="shared" si="19"/>
        <v>0</v>
      </c>
      <c r="E46" s="172">
        <f t="shared" si="15"/>
        <v>7.5112781954887216E-5</v>
      </c>
      <c r="F46" s="163">
        <f t="shared" si="11"/>
        <v>9.8200000000000006E-3</v>
      </c>
      <c r="G46" s="163">
        <v>50000</v>
      </c>
      <c r="H46" s="163">
        <v>0</v>
      </c>
      <c r="I46" s="170">
        <v>400000</v>
      </c>
      <c r="J46" s="165">
        <v>10</v>
      </c>
      <c r="K46" s="177">
        <f t="shared" si="16"/>
        <v>0.01</v>
      </c>
      <c r="L46" s="164">
        <f t="shared" si="21"/>
        <v>4000000</v>
      </c>
      <c r="M46" s="164">
        <f t="shared" si="17"/>
        <v>30045.112781954886</v>
      </c>
      <c r="N46" s="179">
        <f t="shared" si="12"/>
        <v>133.13313313313313</v>
      </c>
      <c r="O46" s="172">
        <f t="shared" si="13"/>
        <v>7.5112781954887214E-2</v>
      </c>
      <c r="Q46" s="40"/>
      <c r="S46" s="226">
        <v>800</v>
      </c>
      <c r="T46" s="78">
        <f t="shared" si="20"/>
        <v>8.0000000000000004E-4</v>
      </c>
      <c r="AB46"/>
      <c r="AC46"/>
      <c r="AD46"/>
    </row>
    <row r="47" spans="1:30" x14ac:dyDescent="0.25">
      <c r="A47" s="163">
        <f>A46+1</f>
        <v>19</v>
      </c>
      <c r="B47" s="165">
        <v>0</v>
      </c>
      <c r="C47" s="171">
        <f t="shared" si="18"/>
        <v>7.1999999999999998E-3</v>
      </c>
      <c r="D47" s="171">
        <f t="shared" si="19"/>
        <v>0</v>
      </c>
      <c r="E47" s="172">
        <f t="shared" si="15"/>
        <v>7.5112781954887216E-5</v>
      </c>
      <c r="F47" s="163">
        <f t="shared" si="11"/>
        <v>9.8200000000000006E-3</v>
      </c>
      <c r="G47" s="163">
        <v>50000</v>
      </c>
      <c r="H47" s="163">
        <v>0</v>
      </c>
      <c r="I47" s="170">
        <v>400000</v>
      </c>
      <c r="J47" s="165">
        <v>10</v>
      </c>
      <c r="K47" s="177">
        <f t="shared" si="16"/>
        <v>0.01</v>
      </c>
      <c r="L47" s="164">
        <f t="shared" si="21"/>
        <v>4000000</v>
      </c>
      <c r="M47" s="164">
        <f t="shared" si="17"/>
        <v>30045.112781954886</v>
      </c>
      <c r="N47" s="179">
        <f t="shared" si="12"/>
        <v>133.13313313313313</v>
      </c>
      <c r="O47" s="172">
        <f t="shared" si="13"/>
        <v>7.5112781954887214E-2</v>
      </c>
      <c r="S47" s="226">
        <v>900</v>
      </c>
      <c r="T47" s="78">
        <f t="shared" si="20"/>
        <v>8.9999999999999998E-4</v>
      </c>
      <c r="AB47"/>
      <c r="AC47"/>
      <c r="AD47"/>
    </row>
    <row r="48" spans="1:30" x14ac:dyDescent="0.25">
      <c r="A48" s="163">
        <f t="shared" si="23"/>
        <v>20</v>
      </c>
      <c r="B48" s="165">
        <v>0</v>
      </c>
      <c r="C48" s="171">
        <f t="shared" si="18"/>
        <v>8.199999999999999E-3</v>
      </c>
      <c r="D48" s="171">
        <f t="shared" si="19"/>
        <v>0</v>
      </c>
      <c r="E48" s="172">
        <f t="shared" si="15"/>
        <v>7.5112781954887216E-5</v>
      </c>
      <c r="F48" s="163">
        <f t="shared" si="11"/>
        <v>9.8200000000000006E-3</v>
      </c>
      <c r="G48" s="163">
        <v>50000</v>
      </c>
      <c r="H48" s="163">
        <v>0</v>
      </c>
      <c r="I48" s="170">
        <v>400000</v>
      </c>
      <c r="J48" s="165">
        <v>10</v>
      </c>
      <c r="K48" s="177">
        <f t="shared" si="16"/>
        <v>0.01</v>
      </c>
      <c r="L48" s="164">
        <f t="shared" si="21"/>
        <v>4000000</v>
      </c>
      <c r="M48" s="164">
        <f t="shared" si="17"/>
        <v>30045.112781954886</v>
      </c>
      <c r="N48" s="179">
        <f t="shared" si="12"/>
        <v>133.13313313313313</v>
      </c>
      <c r="O48" s="172">
        <f t="shared" si="13"/>
        <v>7.5112781954887214E-2</v>
      </c>
      <c r="Q48" s="40"/>
      <c r="S48" s="226">
        <v>1000</v>
      </c>
      <c r="T48" s="78">
        <f t="shared" si="20"/>
        <v>1E-3</v>
      </c>
      <c r="AB48"/>
      <c r="AC48"/>
      <c r="AD48"/>
    </row>
    <row r="49" spans="1:30" s="78" customFormat="1" x14ac:dyDescent="0.25">
      <c r="A49" s="163"/>
      <c r="B49" s="177"/>
      <c r="C49" s="227"/>
      <c r="D49" s="227"/>
      <c r="E49" s="228"/>
      <c r="F49" s="177"/>
      <c r="G49" s="177"/>
      <c r="H49" s="177"/>
      <c r="I49" s="174"/>
      <c r="J49" s="177"/>
      <c r="K49" s="177"/>
      <c r="L49" s="164"/>
      <c r="M49" s="164"/>
      <c r="N49" s="179"/>
      <c r="O49" s="172"/>
      <c r="Q49" s="40"/>
      <c r="S49" s="226"/>
    </row>
    <row r="50" spans="1:30" x14ac:dyDescent="0.25">
      <c r="A50" s="163">
        <f>A48+1</f>
        <v>21</v>
      </c>
      <c r="B50" s="165">
        <v>0</v>
      </c>
      <c r="C50" s="171">
        <f>C48+0.005</f>
        <v>1.32E-2</v>
      </c>
      <c r="D50" s="171">
        <f>D48</f>
        <v>0</v>
      </c>
      <c r="E50" s="228">
        <f t="shared" si="15"/>
        <v>3.0045112781954882E-5</v>
      </c>
      <c r="F50" s="177">
        <f t="shared" si="11"/>
        <v>9.8200000000000006E-3</v>
      </c>
      <c r="G50" s="177">
        <v>50000</v>
      </c>
      <c r="H50" s="177">
        <v>0</v>
      </c>
      <c r="I50" s="170">
        <v>1000000</v>
      </c>
      <c r="J50" s="165">
        <v>10</v>
      </c>
      <c r="K50" s="177">
        <f t="shared" si="16"/>
        <v>0.01</v>
      </c>
      <c r="L50" s="164">
        <f t="shared" si="21"/>
        <v>10000000</v>
      </c>
      <c r="M50" s="164">
        <f t="shared" si="17"/>
        <v>30045.112781954886</v>
      </c>
      <c r="N50" s="179">
        <f t="shared" si="12"/>
        <v>332.83283283283288</v>
      </c>
      <c r="O50" s="172">
        <f t="shared" si="13"/>
        <v>3.0045112781954882E-2</v>
      </c>
      <c r="Q50" s="40"/>
      <c r="S50" s="63"/>
      <c r="T50" s="226"/>
      <c r="AB50"/>
      <c r="AC50"/>
      <c r="AD50"/>
    </row>
    <row r="51" spans="1:30" x14ac:dyDescent="0.25">
      <c r="A51" s="163">
        <f t="shared" si="23"/>
        <v>22</v>
      </c>
      <c r="B51" s="165">
        <v>0</v>
      </c>
      <c r="C51" s="171">
        <f t="shared" ref="C51:C98" si="24">C50+0.001</f>
        <v>1.4200000000000001E-2</v>
      </c>
      <c r="D51" s="171">
        <f t="shared" si="19"/>
        <v>0</v>
      </c>
      <c r="E51" s="172">
        <f t="shared" si="15"/>
        <v>3.3383458646616537E-5</v>
      </c>
      <c r="F51" s="163">
        <f t="shared" si="11"/>
        <v>9.8200000000000006E-3</v>
      </c>
      <c r="G51" s="163">
        <v>50000</v>
      </c>
      <c r="H51" s="163">
        <v>0</v>
      </c>
      <c r="I51" s="170">
        <v>900000</v>
      </c>
      <c r="J51" s="165">
        <v>10</v>
      </c>
      <c r="K51" s="177">
        <f t="shared" si="16"/>
        <v>0.01</v>
      </c>
      <c r="L51" s="164">
        <f t="shared" si="21"/>
        <v>9000000</v>
      </c>
      <c r="M51" s="164">
        <f t="shared" si="17"/>
        <v>30045.112781954886</v>
      </c>
      <c r="N51" s="179">
        <f t="shared" si="12"/>
        <v>299.54954954954957</v>
      </c>
      <c r="O51" s="172">
        <f t="shared" si="13"/>
        <v>3.3383458646616536E-2</v>
      </c>
      <c r="S51" s="63"/>
      <c r="T51" s="226"/>
      <c r="AB51"/>
      <c r="AC51"/>
      <c r="AD51"/>
    </row>
    <row r="52" spans="1:30" x14ac:dyDescent="0.25">
      <c r="A52" s="163">
        <f t="shared" si="23"/>
        <v>23</v>
      </c>
      <c r="B52" s="165">
        <v>0</v>
      </c>
      <c r="C52" s="171">
        <f t="shared" si="24"/>
        <v>1.5200000000000002E-2</v>
      </c>
      <c r="D52" s="171">
        <f t="shared" si="19"/>
        <v>0</v>
      </c>
      <c r="E52" s="172">
        <f t="shared" si="15"/>
        <v>3.7556390977443608E-5</v>
      </c>
      <c r="F52" s="163">
        <f t="shared" si="11"/>
        <v>9.8200000000000006E-3</v>
      </c>
      <c r="G52" s="163">
        <v>50000</v>
      </c>
      <c r="H52" s="163">
        <v>0</v>
      </c>
      <c r="I52" s="170">
        <v>800000</v>
      </c>
      <c r="J52" s="165">
        <v>10</v>
      </c>
      <c r="K52" s="177">
        <f t="shared" si="16"/>
        <v>0.01</v>
      </c>
      <c r="L52" s="164">
        <f t="shared" si="21"/>
        <v>8000000</v>
      </c>
      <c r="M52" s="164">
        <f t="shared" si="17"/>
        <v>30045.112781954886</v>
      </c>
      <c r="N52" s="179">
        <f t="shared" si="12"/>
        <v>266.26626626626626</v>
      </c>
      <c r="O52" s="172">
        <f t="shared" si="13"/>
        <v>3.7556390977443607E-2</v>
      </c>
      <c r="Q52" s="40"/>
      <c r="S52" s="63"/>
      <c r="T52" s="226"/>
      <c r="AB52"/>
      <c r="AC52"/>
      <c r="AD52"/>
    </row>
    <row r="53" spans="1:30" x14ac:dyDescent="0.25">
      <c r="A53" s="163">
        <f>A52+1</f>
        <v>24</v>
      </c>
      <c r="B53" s="165">
        <v>0</v>
      </c>
      <c r="C53" s="171">
        <f t="shared" si="24"/>
        <v>1.6200000000000003E-2</v>
      </c>
      <c r="D53" s="171">
        <f t="shared" si="19"/>
        <v>0</v>
      </c>
      <c r="E53" s="172">
        <f t="shared" si="15"/>
        <v>4.292158968850698E-5</v>
      </c>
      <c r="F53" s="163">
        <f t="shared" si="11"/>
        <v>9.8200000000000006E-3</v>
      </c>
      <c r="G53" s="163">
        <v>50000</v>
      </c>
      <c r="H53" s="163">
        <v>0</v>
      </c>
      <c r="I53" s="170">
        <v>700000</v>
      </c>
      <c r="J53" s="165">
        <v>10</v>
      </c>
      <c r="K53" s="177">
        <f t="shared" si="16"/>
        <v>0.01</v>
      </c>
      <c r="L53" s="164">
        <f t="shared" si="21"/>
        <v>7000000</v>
      </c>
      <c r="M53" s="164">
        <f t="shared" si="17"/>
        <v>30045.112781954886</v>
      </c>
      <c r="N53" s="179">
        <f t="shared" si="12"/>
        <v>232.982982982983</v>
      </c>
      <c r="O53" s="172">
        <f t="shared" si="13"/>
        <v>4.2921589688506977E-2</v>
      </c>
      <c r="S53" s="39"/>
      <c r="T53" s="149"/>
      <c r="AB53"/>
      <c r="AC53"/>
      <c r="AD53"/>
    </row>
    <row r="54" spans="1:30" x14ac:dyDescent="0.25">
      <c r="A54" s="163">
        <f t="shared" si="23"/>
        <v>25</v>
      </c>
      <c r="B54" s="165">
        <v>0</v>
      </c>
      <c r="C54" s="171">
        <f t="shared" si="24"/>
        <v>1.7200000000000003E-2</v>
      </c>
      <c r="D54" s="171">
        <f t="shared" si="19"/>
        <v>0</v>
      </c>
      <c r="E54" s="172">
        <f t="shared" si="15"/>
        <v>5.0075187969924806E-5</v>
      </c>
      <c r="F54" s="163">
        <f t="shared" si="11"/>
        <v>9.8200000000000006E-3</v>
      </c>
      <c r="G54" s="163">
        <v>50000</v>
      </c>
      <c r="H54" s="163">
        <v>0</v>
      </c>
      <c r="I54" s="170">
        <v>600000</v>
      </c>
      <c r="J54" s="165">
        <v>10</v>
      </c>
      <c r="K54" s="177">
        <f t="shared" si="16"/>
        <v>0.01</v>
      </c>
      <c r="L54" s="164">
        <f t="shared" si="21"/>
        <v>6000000</v>
      </c>
      <c r="M54" s="164">
        <f t="shared" si="17"/>
        <v>30045.112781954886</v>
      </c>
      <c r="N54" s="179">
        <f t="shared" si="12"/>
        <v>199.69969969969972</v>
      </c>
      <c r="O54" s="172">
        <f t="shared" si="13"/>
        <v>5.0075187969924807E-2</v>
      </c>
      <c r="Q54" s="40"/>
      <c r="S54" s="39"/>
      <c r="T54" s="149"/>
      <c r="AB54"/>
      <c r="AC54"/>
      <c r="AD54"/>
    </row>
    <row r="55" spans="1:30" x14ac:dyDescent="0.25">
      <c r="A55" s="163">
        <f t="shared" si="23"/>
        <v>26</v>
      </c>
      <c r="B55" s="165">
        <v>0</v>
      </c>
      <c r="C55" s="171">
        <f t="shared" si="24"/>
        <v>1.8200000000000004E-2</v>
      </c>
      <c r="D55" s="171">
        <f t="shared" si="19"/>
        <v>0</v>
      </c>
      <c r="E55" s="172">
        <f t="shared" si="15"/>
        <v>6.0090225563909763E-5</v>
      </c>
      <c r="F55" s="163">
        <f t="shared" si="11"/>
        <v>9.8200000000000006E-3</v>
      </c>
      <c r="G55" s="163">
        <v>50000</v>
      </c>
      <c r="H55" s="163">
        <v>0</v>
      </c>
      <c r="I55" s="170">
        <v>500000</v>
      </c>
      <c r="J55" s="165">
        <v>10</v>
      </c>
      <c r="K55" s="177">
        <f t="shared" si="16"/>
        <v>0.01</v>
      </c>
      <c r="L55" s="164">
        <f t="shared" si="21"/>
        <v>5000000</v>
      </c>
      <c r="M55" s="164">
        <f t="shared" si="17"/>
        <v>30045.112781954886</v>
      </c>
      <c r="N55" s="179">
        <f t="shared" si="12"/>
        <v>166.41641641641644</v>
      </c>
      <c r="O55" s="172">
        <f t="shared" si="13"/>
        <v>6.0090225563909763E-2</v>
      </c>
      <c r="Q55" s="40"/>
      <c r="S55" s="39"/>
      <c r="T55" s="149"/>
      <c r="AB55"/>
      <c r="AC55"/>
      <c r="AD55"/>
    </row>
    <row r="56" spans="1:30" x14ac:dyDescent="0.25">
      <c r="A56" s="163">
        <f t="shared" si="23"/>
        <v>27</v>
      </c>
      <c r="B56" s="165">
        <v>0</v>
      </c>
      <c r="C56" s="171">
        <f t="shared" si="24"/>
        <v>1.9200000000000005E-2</v>
      </c>
      <c r="D56" s="171">
        <f t="shared" si="19"/>
        <v>0</v>
      </c>
      <c r="E56" s="172">
        <f t="shared" si="15"/>
        <v>6.6766917293233075E-5</v>
      </c>
      <c r="F56" s="163">
        <f t="shared" si="11"/>
        <v>9.8200000000000006E-3</v>
      </c>
      <c r="G56" s="163">
        <v>50000</v>
      </c>
      <c r="H56" s="163">
        <v>0</v>
      </c>
      <c r="I56" s="170">
        <v>450000</v>
      </c>
      <c r="J56" s="165">
        <v>10</v>
      </c>
      <c r="K56" s="177">
        <f t="shared" si="16"/>
        <v>0.01</v>
      </c>
      <c r="L56" s="164">
        <f t="shared" si="21"/>
        <v>4500000</v>
      </c>
      <c r="M56" s="164">
        <f t="shared" si="17"/>
        <v>30045.112781954886</v>
      </c>
      <c r="N56" s="179">
        <f t="shared" si="12"/>
        <v>149.77477477477478</v>
      </c>
      <c r="O56" s="172">
        <f t="shared" si="13"/>
        <v>6.6766917293233072E-2</v>
      </c>
      <c r="S56" s="39"/>
      <c r="T56" s="149"/>
      <c r="AB56"/>
      <c r="AC56"/>
      <c r="AD56"/>
    </row>
    <row r="57" spans="1:30" x14ac:dyDescent="0.25">
      <c r="A57" s="163">
        <f t="shared" si="23"/>
        <v>28</v>
      </c>
      <c r="B57" s="165">
        <v>0</v>
      </c>
      <c r="C57" s="171">
        <f t="shared" si="24"/>
        <v>2.0200000000000006E-2</v>
      </c>
      <c r="D57" s="171">
        <f t="shared" si="19"/>
        <v>0</v>
      </c>
      <c r="E57" s="172">
        <f t="shared" si="15"/>
        <v>7.5112781954887216E-5</v>
      </c>
      <c r="F57" s="163">
        <f t="shared" si="11"/>
        <v>9.8200000000000006E-3</v>
      </c>
      <c r="G57" s="163">
        <v>50000</v>
      </c>
      <c r="H57" s="163">
        <v>0</v>
      </c>
      <c r="I57" s="170">
        <v>400000</v>
      </c>
      <c r="J57" s="165">
        <v>10</v>
      </c>
      <c r="K57" s="177">
        <f t="shared" si="16"/>
        <v>0.01</v>
      </c>
      <c r="L57" s="164">
        <f t="shared" si="21"/>
        <v>4000000</v>
      </c>
      <c r="M57" s="164">
        <f t="shared" si="17"/>
        <v>30045.112781954886</v>
      </c>
      <c r="N57" s="179">
        <f t="shared" si="12"/>
        <v>133.13313313313313</v>
      </c>
      <c r="O57" s="172">
        <f t="shared" si="13"/>
        <v>7.5112781954887214E-2</v>
      </c>
      <c r="Q57" s="40"/>
      <c r="S57" s="39"/>
      <c r="T57" s="149"/>
      <c r="AB57"/>
      <c r="AC57"/>
      <c r="AD57"/>
    </row>
    <row r="58" spans="1:30" x14ac:dyDescent="0.25">
      <c r="A58" s="163">
        <f>A57+1</f>
        <v>29</v>
      </c>
      <c r="B58" s="165">
        <v>0</v>
      </c>
      <c r="C58" s="171">
        <f t="shared" si="24"/>
        <v>2.1200000000000007E-2</v>
      </c>
      <c r="D58" s="171">
        <f t="shared" si="19"/>
        <v>0</v>
      </c>
      <c r="E58" s="172">
        <f t="shared" si="15"/>
        <v>8.5843179377013959E-5</v>
      </c>
      <c r="F58" s="163">
        <f t="shared" si="11"/>
        <v>9.8200000000000006E-3</v>
      </c>
      <c r="G58" s="163">
        <v>50000</v>
      </c>
      <c r="H58" s="163">
        <v>0</v>
      </c>
      <c r="I58" s="170">
        <v>350000</v>
      </c>
      <c r="J58" s="165">
        <v>10</v>
      </c>
      <c r="K58" s="177">
        <f t="shared" si="16"/>
        <v>0.01</v>
      </c>
      <c r="L58" s="164">
        <f t="shared" si="21"/>
        <v>3500000</v>
      </c>
      <c r="M58" s="164">
        <f t="shared" si="17"/>
        <v>30045.112781954886</v>
      </c>
      <c r="N58" s="179">
        <f t="shared" si="12"/>
        <v>116.4914914914915</v>
      </c>
      <c r="O58" s="172">
        <f t="shared" si="13"/>
        <v>8.5843179377013953E-2</v>
      </c>
      <c r="S58" s="39"/>
      <c r="T58" s="149"/>
      <c r="AB58"/>
      <c r="AC58"/>
      <c r="AD58"/>
    </row>
    <row r="59" spans="1:30" x14ac:dyDescent="0.25">
      <c r="A59" s="163">
        <f t="shared" si="23"/>
        <v>30</v>
      </c>
      <c r="B59" s="165">
        <v>0</v>
      </c>
      <c r="C59" s="171">
        <f t="shared" si="24"/>
        <v>2.2200000000000008E-2</v>
      </c>
      <c r="D59" s="171">
        <f t="shared" si="19"/>
        <v>0</v>
      </c>
      <c r="E59" s="172">
        <f t="shared" si="15"/>
        <v>1.0015037593984961E-4</v>
      </c>
      <c r="F59" s="163">
        <f t="shared" si="11"/>
        <v>9.8200000000000006E-3</v>
      </c>
      <c r="G59" s="163">
        <v>50000</v>
      </c>
      <c r="H59" s="163">
        <v>0</v>
      </c>
      <c r="I59" s="170">
        <v>300000</v>
      </c>
      <c r="J59" s="165">
        <v>10</v>
      </c>
      <c r="K59" s="177">
        <f t="shared" si="16"/>
        <v>0.01</v>
      </c>
      <c r="L59" s="164">
        <f t="shared" si="21"/>
        <v>3000000</v>
      </c>
      <c r="M59" s="164">
        <f t="shared" si="17"/>
        <v>30045.112781954886</v>
      </c>
      <c r="N59" s="179">
        <f t="shared" si="12"/>
        <v>99.849849849849861</v>
      </c>
      <c r="O59" s="172">
        <f t="shared" si="13"/>
        <v>0.10015037593984961</v>
      </c>
      <c r="Q59" s="40"/>
      <c r="S59" s="39"/>
      <c r="T59" s="149"/>
      <c r="AB59"/>
      <c r="AC59"/>
      <c r="AD59"/>
    </row>
    <row r="60" spans="1:30" x14ac:dyDescent="0.25">
      <c r="A60" s="163">
        <f>A59+1</f>
        <v>31</v>
      </c>
      <c r="B60" s="165">
        <v>0</v>
      </c>
      <c r="C60" s="171">
        <f>C59+0.001</f>
        <v>2.3200000000000009E-2</v>
      </c>
      <c r="D60" s="171">
        <f>D59</f>
        <v>0</v>
      </c>
      <c r="E60" s="172">
        <f t="shared" si="15"/>
        <v>1.2018045112781953E-4</v>
      </c>
      <c r="F60" s="163">
        <f t="shared" si="11"/>
        <v>9.8200000000000006E-3</v>
      </c>
      <c r="G60" s="163">
        <v>50000</v>
      </c>
      <c r="H60" s="163">
        <v>0</v>
      </c>
      <c r="I60" s="170">
        <v>250000</v>
      </c>
      <c r="J60" s="165">
        <v>10</v>
      </c>
      <c r="K60" s="177">
        <f t="shared" si="16"/>
        <v>0.01</v>
      </c>
      <c r="L60" s="164">
        <f t="shared" si="21"/>
        <v>2500000</v>
      </c>
      <c r="M60" s="164">
        <f t="shared" si="17"/>
        <v>30045.112781954886</v>
      </c>
      <c r="N60" s="179">
        <f t="shared" si="12"/>
        <v>83.20820820820822</v>
      </c>
      <c r="O60" s="172">
        <f t="shared" si="13"/>
        <v>0.12018045112781953</v>
      </c>
      <c r="Q60" s="40"/>
      <c r="S60" s="39"/>
      <c r="T60" s="149"/>
      <c r="AB60"/>
      <c r="AC60"/>
      <c r="AD60"/>
    </row>
    <row r="61" spans="1:30" x14ac:dyDescent="0.25">
      <c r="A61" s="163">
        <f t="shared" si="23"/>
        <v>32</v>
      </c>
      <c r="B61" s="165">
        <v>0</v>
      </c>
      <c r="C61" s="171">
        <f t="shared" si="24"/>
        <v>2.420000000000001E-2</v>
      </c>
      <c r="D61" s="171">
        <f t="shared" si="19"/>
        <v>0</v>
      </c>
      <c r="E61" s="172">
        <f t="shared" si="15"/>
        <v>1.5022556390977443E-4</v>
      </c>
      <c r="F61" s="163">
        <f t="shared" si="11"/>
        <v>9.8200000000000006E-3</v>
      </c>
      <c r="G61" s="163">
        <v>50000</v>
      </c>
      <c r="H61" s="163">
        <v>0</v>
      </c>
      <c r="I61" s="170">
        <v>200000</v>
      </c>
      <c r="J61" s="165">
        <v>10</v>
      </c>
      <c r="K61" s="177">
        <f t="shared" si="16"/>
        <v>0.01</v>
      </c>
      <c r="L61" s="164">
        <f t="shared" si="21"/>
        <v>2000000</v>
      </c>
      <c r="M61" s="164">
        <f t="shared" si="17"/>
        <v>30045.112781954886</v>
      </c>
      <c r="N61" s="179">
        <f t="shared" si="12"/>
        <v>66.566566566566564</v>
      </c>
      <c r="O61" s="172">
        <f t="shared" si="13"/>
        <v>0.15022556390977443</v>
      </c>
      <c r="S61" s="39"/>
      <c r="T61" s="149"/>
      <c r="AB61"/>
      <c r="AC61"/>
      <c r="AD61"/>
    </row>
    <row r="62" spans="1:30" x14ac:dyDescent="0.25">
      <c r="A62" s="163">
        <f t="shared" si="23"/>
        <v>33</v>
      </c>
      <c r="B62" s="165">
        <v>0</v>
      </c>
      <c r="C62" s="171">
        <f t="shared" si="24"/>
        <v>2.5200000000000011E-2</v>
      </c>
      <c r="D62" s="171">
        <f t="shared" si="19"/>
        <v>0</v>
      </c>
      <c r="E62" s="172">
        <f t="shared" si="15"/>
        <v>2.0030075187969922E-4</v>
      </c>
      <c r="F62" s="163">
        <f t="shared" ref="F62:F95" si="25">IF($B62,$C62,$D62)+$K62-IF($B62,$O$24/1000,$P$24/1000)</f>
        <v>9.8200000000000006E-3</v>
      </c>
      <c r="G62" s="163">
        <v>50000</v>
      </c>
      <c r="H62" s="163">
        <v>0</v>
      </c>
      <c r="I62" s="170">
        <v>150000</v>
      </c>
      <c r="J62" s="165">
        <v>10</v>
      </c>
      <c r="K62" s="177">
        <f t="shared" si="16"/>
        <v>0.01</v>
      </c>
      <c r="L62" s="164">
        <f t="shared" si="21"/>
        <v>1500000</v>
      </c>
      <c r="M62" s="164">
        <f t="shared" si="17"/>
        <v>30045.112781954886</v>
      </c>
      <c r="N62" s="179">
        <f t="shared" ref="N62:N95" si="26">L62/M62</f>
        <v>49.92492492492493</v>
      </c>
      <c r="O62" s="172">
        <f t="shared" ref="O62:O95" si="27">J62/N62</f>
        <v>0.20030075187969923</v>
      </c>
      <c r="Q62" s="40"/>
      <c r="S62" s="39"/>
      <c r="T62" s="149"/>
      <c r="AB62"/>
      <c r="AC62"/>
      <c r="AD62"/>
    </row>
    <row r="63" spans="1:30" x14ac:dyDescent="0.25">
      <c r="A63" s="163">
        <f>A62+1</f>
        <v>34</v>
      </c>
      <c r="B63" s="165">
        <v>0</v>
      </c>
      <c r="C63" s="171">
        <f t="shared" si="24"/>
        <v>2.6200000000000011E-2</v>
      </c>
      <c r="D63" s="171">
        <f t="shared" si="19"/>
        <v>0</v>
      </c>
      <c r="E63" s="172">
        <f t="shared" si="15"/>
        <v>3.0045112781954886E-4</v>
      </c>
      <c r="F63" s="163">
        <f t="shared" si="25"/>
        <v>9.8200000000000006E-3</v>
      </c>
      <c r="G63" s="163">
        <v>50000</v>
      </c>
      <c r="H63" s="163">
        <v>0</v>
      </c>
      <c r="I63" s="170">
        <v>100000</v>
      </c>
      <c r="J63" s="165">
        <v>10</v>
      </c>
      <c r="K63" s="177">
        <f t="shared" si="16"/>
        <v>0.01</v>
      </c>
      <c r="L63" s="164">
        <f t="shared" si="21"/>
        <v>1000000</v>
      </c>
      <c r="M63" s="164">
        <f t="shared" si="17"/>
        <v>30045.112781954886</v>
      </c>
      <c r="N63" s="179">
        <f t="shared" si="26"/>
        <v>33.283283283283282</v>
      </c>
      <c r="O63" s="172">
        <f t="shared" si="27"/>
        <v>0.30045112781954886</v>
      </c>
      <c r="S63" s="39"/>
      <c r="T63" s="149"/>
      <c r="AB63"/>
      <c r="AC63"/>
      <c r="AD63"/>
    </row>
    <row r="64" spans="1:30" x14ac:dyDescent="0.25">
      <c r="A64" s="163">
        <f t="shared" si="23"/>
        <v>35</v>
      </c>
      <c r="B64" s="165">
        <v>0</v>
      </c>
      <c r="C64" s="171">
        <f t="shared" si="24"/>
        <v>2.7200000000000012E-2</v>
      </c>
      <c r="D64" s="171">
        <f t="shared" si="19"/>
        <v>0</v>
      </c>
      <c r="E64" s="172">
        <f t="shared" si="15"/>
        <v>6.0090225563909773E-4</v>
      </c>
      <c r="F64" s="163">
        <f t="shared" si="25"/>
        <v>9.8200000000000006E-3</v>
      </c>
      <c r="G64" s="163">
        <v>50000</v>
      </c>
      <c r="H64" s="163">
        <v>0</v>
      </c>
      <c r="I64" s="170">
        <v>50000</v>
      </c>
      <c r="J64" s="165">
        <v>10</v>
      </c>
      <c r="K64" s="177">
        <f t="shared" si="16"/>
        <v>0.01</v>
      </c>
      <c r="L64" s="164">
        <f t="shared" si="21"/>
        <v>500000</v>
      </c>
      <c r="M64" s="164">
        <f t="shared" si="17"/>
        <v>30045.112781954886</v>
      </c>
      <c r="N64" s="179">
        <f t="shared" si="26"/>
        <v>16.641641641641641</v>
      </c>
      <c r="O64" s="172">
        <f t="shared" si="27"/>
        <v>0.60090225563909772</v>
      </c>
      <c r="Q64" s="40"/>
      <c r="S64" s="39"/>
      <c r="T64" s="149"/>
      <c r="AB64"/>
      <c r="AC64"/>
      <c r="AD64"/>
    </row>
    <row r="65" spans="1:30" s="151" customFormat="1" x14ac:dyDescent="0.25">
      <c r="A65" s="177"/>
      <c r="B65" s="177"/>
      <c r="C65" s="227"/>
      <c r="D65" s="227"/>
      <c r="E65" s="228"/>
      <c r="F65" s="177"/>
      <c r="G65" s="177"/>
      <c r="H65" s="177"/>
      <c r="I65" s="174"/>
      <c r="J65" s="177"/>
      <c r="K65" s="177"/>
      <c r="L65" s="174"/>
      <c r="M65" s="174"/>
      <c r="N65" s="229"/>
      <c r="O65" s="228"/>
      <c r="Q65" s="230"/>
      <c r="S65" s="231"/>
      <c r="T65" s="149"/>
    </row>
    <row r="66" spans="1:30" x14ac:dyDescent="0.25">
      <c r="A66" s="163">
        <f>A64+1</f>
        <v>36</v>
      </c>
      <c r="B66" s="165">
        <v>0</v>
      </c>
      <c r="C66" s="171">
        <f>C64+0.005</f>
        <v>3.2200000000000013E-2</v>
      </c>
      <c r="D66" s="171">
        <f>D64</f>
        <v>0</v>
      </c>
      <c r="E66" s="172">
        <f t="shared" si="15"/>
        <v>7.5112781954887216E-5</v>
      </c>
      <c r="F66" s="163">
        <f t="shared" si="25"/>
        <v>9.8200000000000006E-3</v>
      </c>
      <c r="G66" s="163">
        <v>50000</v>
      </c>
      <c r="H66" s="163">
        <v>0</v>
      </c>
      <c r="I66" s="170">
        <v>400000</v>
      </c>
      <c r="J66" s="165">
        <v>10</v>
      </c>
      <c r="K66" s="177">
        <f t="shared" si="16"/>
        <v>0.01</v>
      </c>
      <c r="L66" s="164">
        <f t="shared" si="21"/>
        <v>4000000</v>
      </c>
      <c r="M66" s="164">
        <f t="shared" si="17"/>
        <v>30045.112781954886</v>
      </c>
      <c r="N66" s="179">
        <f t="shared" si="26"/>
        <v>133.13313313313313</v>
      </c>
      <c r="O66" s="172">
        <f t="shared" si="27"/>
        <v>7.5112781954887214E-2</v>
      </c>
      <c r="Q66" s="40"/>
      <c r="S66" s="39"/>
      <c r="T66" s="149"/>
      <c r="AB66"/>
      <c r="AC66"/>
      <c r="AD66"/>
    </row>
    <row r="67" spans="1:30" x14ac:dyDescent="0.25">
      <c r="A67" s="163">
        <f t="shared" si="23"/>
        <v>37</v>
      </c>
      <c r="B67" s="165">
        <v>0</v>
      </c>
      <c r="C67" s="171">
        <f t="shared" si="24"/>
        <v>3.3200000000000014E-2</v>
      </c>
      <c r="D67" s="171">
        <f t="shared" si="19"/>
        <v>0</v>
      </c>
      <c r="E67" s="172">
        <f t="shared" si="15"/>
        <v>7.5112781954887216E-5</v>
      </c>
      <c r="F67" s="163">
        <f t="shared" si="25"/>
        <v>9.8200000000000006E-3</v>
      </c>
      <c r="G67" s="163">
        <v>50000</v>
      </c>
      <c r="H67" s="163">
        <v>0</v>
      </c>
      <c r="I67" s="170">
        <v>400000</v>
      </c>
      <c r="J67" s="165">
        <v>10</v>
      </c>
      <c r="K67" s="177">
        <f t="shared" si="16"/>
        <v>0.01</v>
      </c>
      <c r="L67" s="164">
        <f t="shared" si="21"/>
        <v>4000000</v>
      </c>
      <c r="M67" s="164">
        <f t="shared" si="17"/>
        <v>30045.112781954886</v>
      </c>
      <c r="N67" s="179">
        <f t="shared" si="26"/>
        <v>133.13313313313313</v>
      </c>
      <c r="O67" s="172">
        <f t="shared" si="27"/>
        <v>7.5112781954887214E-2</v>
      </c>
      <c r="S67" s="39"/>
      <c r="T67" s="149"/>
      <c r="AB67"/>
      <c r="AC67"/>
      <c r="AD67"/>
    </row>
    <row r="68" spans="1:30" x14ac:dyDescent="0.25">
      <c r="A68" s="163">
        <f t="shared" si="23"/>
        <v>38</v>
      </c>
      <c r="B68" s="165">
        <v>0</v>
      </c>
      <c r="C68" s="171">
        <f t="shared" si="24"/>
        <v>3.4200000000000015E-2</v>
      </c>
      <c r="D68" s="171">
        <f t="shared" si="19"/>
        <v>0</v>
      </c>
      <c r="E68" s="172">
        <f t="shared" si="15"/>
        <v>7.5112781954887216E-5</v>
      </c>
      <c r="F68" s="163">
        <f t="shared" si="25"/>
        <v>9.8200000000000006E-3</v>
      </c>
      <c r="G68" s="163">
        <v>50000</v>
      </c>
      <c r="H68" s="163">
        <v>0</v>
      </c>
      <c r="I68" s="170">
        <v>400000</v>
      </c>
      <c r="J68" s="165">
        <v>10</v>
      </c>
      <c r="K68" s="177">
        <f t="shared" si="16"/>
        <v>0.01</v>
      </c>
      <c r="L68" s="164">
        <f t="shared" si="21"/>
        <v>4000000</v>
      </c>
      <c r="M68" s="164">
        <f t="shared" si="17"/>
        <v>30045.112781954886</v>
      </c>
      <c r="N68" s="179">
        <f t="shared" si="26"/>
        <v>133.13313313313313</v>
      </c>
      <c r="O68" s="172">
        <f t="shared" si="27"/>
        <v>7.5112781954887214E-2</v>
      </c>
      <c r="Q68" s="40"/>
      <c r="S68" s="39"/>
      <c r="T68" s="149"/>
      <c r="AB68"/>
      <c r="AC68"/>
      <c r="AD68"/>
    </row>
    <row r="69" spans="1:30" x14ac:dyDescent="0.25">
      <c r="A69" s="163">
        <f>A68+1</f>
        <v>39</v>
      </c>
      <c r="B69" s="165">
        <v>0</v>
      </c>
      <c r="C69" s="171">
        <f t="shared" si="24"/>
        <v>3.5200000000000016E-2</v>
      </c>
      <c r="D69" s="171">
        <f t="shared" si="19"/>
        <v>0</v>
      </c>
      <c r="E69" s="172">
        <f t="shared" si="15"/>
        <v>7.5112781954887216E-5</v>
      </c>
      <c r="F69" s="163">
        <f t="shared" si="25"/>
        <v>9.8200000000000006E-3</v>
      </c>
      <c r="G69" s="163">
        <v>50000</v>
      </c>
      <c r="H69" s="163">
        <v>0</v>
      </c>
      <c r="I69" s="170">
        <v>400000</v>
      </c>
      <c r="J69" s="165">
        <v>10</v>
      </c>
      <c r="K69" s="177">
        <f t="shared" si="16"/>
        <v>0.01</v>
      </c>
      <c r="L69" s="164">
        <f t="shared" si="21"/>
        <v>4000000</v>
      </c>
      <c r="M69" s="164">
        <f t="shared" si="17"/>
        <v>30045.112781954886</v>
      </c>
      <c r="N69" s="179">
        <f t="shared" si="26"/>
        <v>133.13313313313313</v>
      </c>
      <c r="O69" s="172">
        <f t="shared" si="27"/>
        <v>7.5112781954887214E-2</v>
      </c>
      <c r="S69" s="39"/>
      <c r="T69" s="149"/>
      <c r="AB69"/>
      <c r="AC69"/>
      <c r="AD69"/>
    </row>
    <row r="70" spans="1:30" x14ac:dyDescent="0.25">
      <c r="A70" s="163">
        <f t="shared" si="23"/>
        <v>40</v>
      </c>
      <c r="B70" s="165">
        <v>0</v>
      </c>
      <c r="C70" s="171">
        <f t="shared" si="24"/>
        <v>3.6200000000000017E-2</v>
      </c>
      <c r="D70" s="171">
        <f t="shared" si="19"/>
        <v>0</v>
      </c>
      <c r="E70" s="172">
        <f t="shared" si="15"/>
        <v>7.5112781954887216E-5</v>
      </c>
      <c r="F70" s="163">
        <f t="shared" si="25"/>
        <v>9.8200000000000006E-3</v>
      </c>
      <c r="G70" s="163">
        <v>50000</v>
      </c>
      <c r="H70" s="163">
        <v>0</v>
      </c>
      <c r="I70" s="170">
        <v>400000</v>
      </c>
      <c r="J70" s="165">
        <v>10</v>
      </c>
      <c r="K70" s="177">
        <f t="shared" si="16"/>
        <v>0.01</v>
      </c>
      <c r="L70" s="164">
        <f t="shared" si="21"/>
        <v>4000000</v>
      </c>
      <c r="M70" s="164">
        <f t="shared" si="17"/>
        <v>30045.112781954886</v>
      </c>
      <c r="N70" s="179">
        <f t="shared" si="26"/>
        <v>133.13313313313313</v>
      </c>
      <c r="O70" s="172">
        <f t="shared" si="27"/>
        <v>7.5112781954887214E-2</v>
      </c>
      <c r="Q70" s="40"/>
      <c r="S70" s="39"/>
      <c r="T70" s="149"/>
      <c r="AB70"/>
      <c r="AC70"/>
      <c r="AD70"/>
    </row>
    <row r="71" spans="1:30" x14ac:dyDescent="0.25">
      <c r="A71" s="163">
        <f t="shared" si="23"/>
        <v>41</v>
      </c>
      <c r="B71" s="165">
        <v>0</v>
      </c>
      <c r="C71" s="171">
        <f t="shared" si="24"/>
        <v>3.7200000000000018E-2</v>
      </c>
      <c r="D71" s="171">
        <f t="shared" si="19"/>
        <v>0</v>
      </c>
      <c r="E71" s="172">
        <f t="shared" si="15"/>
        <v>7.5112781954887216E-5</v>
      </c>
      <c r="F71" s="163">
        <f t="shared" si="25"/>
        <v>9.8200000000000006E-3</v>
      </c>
      <c r="G71" s="163">
        <v>50000</v>
      </c>
      <c r="H71" s="163">
        <v>0</v>
      </c>
      <c r="I71" s="170">
        <v>400000</v>
      </c>
      <c r="J71" s="165">
        <v>10</v>
      </c>
      <c r="K71" s="177">
        <f t="shared" si="16"/>
        <v>0.01</v>
      </c>
      <c r="L71" s="164">
        <f t="shared" si="21"/>
        <v>4000000</v>
      </c>
      <c r="M71" s="164">
        <f t="shared" si="17"/>
        <v>30045.112781954886</v>
      </c>
      <c r="N71" s="179">
        <f t="shared" si="26"/>
        <v>133.13313313313313</v>
      </c>
      <c r="O71" s="172">
        <f t="shared" si="27"/>
        <v>7.5112781954887214E-2</v>
      </c>
      <c r="Q71" s="40"/>
      <c r="S71" s="39"/>
      <c r="T71" s="149"/>
      <c r="AB71"/>
      <c r="AC71"/>
      <c r="AD71"/>
    </row>
    <row r="72" spans="1:30" x14ac:dyDescent="0.25">
      <c r="A72" s="163">
        <f t="shared" si="23"/>
        <v>42</v>
      </c>
      <c r="B72" s="165">
        <v>0</v>
      </c>
      <c r="C72" s="171">
        <f t="shared" si="24"/>
        <v>3.8200000000000019E-2</v>
      </c>
      <c r="D72" s="171">
        <f t="shared" si="19"/>
        <v>0</v>
      </c>
      <c r="E72" s="172">
        <f t="shared" si="15"/>
        <v>7.5112781954887216E-5</v>
      </c>
      <c r="F72" s="163">
        <f t="shared" si="25"/>
        <v>9.8200000000000006E-3</v>
      </c>
      <c r="G72" s="163">
        <v>50000</v>
      </c>
      <c r="H72" s="163">
        <v>0</v>
      </c>
      <c r="I72" s="170">
        <v>400000</v>
      </c>
      <c r="J72" s="165">
        <v>10</v>
      </c>
      <c r="K72" s="177">
        <f t="shared" si="16"/>
        <v>0.01</v>
      </c>
      <c r="L72" s="164">
        <f t="shared" si="21"/>
        <v>4000000</v>
      </c>
      <c r="M72" s="164">
        <f t="shared" si="17"/>
        <v>30045.112781954886</v>
      </c>
      <c r="N72" s="179">
        <f t="shared" si="26"/>
        <v>133.13313313313313</v>
      </c>
      <c r="O72" s="172">
        <f t="shared" si="27"/>
        <v>7.5112781954887214E-2</v>
      </c>
      <c r="S72" s="39"/>
      <c r="T72" s="149"/>
      <c r="AB72"/>
      <c r="AC72"/>
      <c r="AD72"/>
    </row>
    <row r="73" spans="1:30" x14ac:dyDescent="0.25">
      <c r="A73" s="163">
        <f t="shared" si="23"/>
        <v>43</v>
      </c>
      <c r="B73" s="165">
        <v>0</v>
      </c>
      <c r="C73" s="171">
        <f t="shared" si="24"/>
        <v>3.920000000000002E-2</v>
      </c>
      <c r="D73" s="171">
        <f t="shared" si="19"/>
        <v>0</v>
      </c>
      <c r="E73" s="172">
        <f t="shared" si="15"/>
        <v>7.5112781954887216E-5</v>
      </c>
      <c r="F73" s="163">
        <f t="shared" si="25"/>
        <v>9.8200000000000006E-3</v>
      </c>
      <c r="G73" s="163">
        <v>50000</v>
      </c>
      <c r="H73" s="163">
        <v>0</v>
      </c>
      <c r="I73" s="170">
        <v>400000</v>
      </c>
      <c r="J73" s="165">
        <v>10</v>
      </c>
      <c r="K73" s="177">
        <f t="shared" si="16"/>
        <v>0.01</v>
      </c>
      <c r="L73" s="164">
        <f t="shared" si="21"/>
        <v>4000000</v>
      </c>
      <c r="M73" s="164">
        <f t="shared" si="17"/>
        <v>30045.112781954886</v>
      </c>
      <c r="N73" s="179">
        <f t="shared" si="26"/>
        <v>133.13313313313313</v>
      </c>
      <c r="O73" s="172">
        <f t="shared" si="27"/>
        <v>7.5112781954887214E-2</v>
      </c>
      <c r="Q73" s="40"/>
      <c r="S73" s="39"/>
      <c r="T73" s="149"/>
      <c r="AB73"/>
      <c r="AC73"/>
      <c r="AD73"/>
    </row>
    <row r="74" spans="1:30" x14ac:dyDescent="0.25">
      <c r="A74" s="163">
        <f>A73+1</f>
        <v>44</v>
      </c>
      <c r="B74" s="165">
        <v>0</v>
      </c>
      <c r="C74" s="171">
        <f t="shared" si="24"/>
        <v>4.020000000000002E-2</v>
      </c>
      <c r="D74" s="171">
        <f t="shared" si="19"/>
        <v>0</v>
      </c>
      <c r="E74" s="172">
        <f t="shared" si="15"/>
        <v>7.5112781954887216E-5</v>
      </c>
      <c r="F74" s="163">
        <f t="shared" si="25"/>
        <v>9.8200000000000006E-3</v>
      </c>
      <c r="G74" s="163">
        <v>50000</v>
      </c>
      <c r="H74" s="163">
        <v>0</v>
      </c>
      <c r="I74" s="170">
        <v>400000</v>
      </c>
      <c r="J74" s="165">
        <v>10</v>
      </c>
      <c r="K74" s="177">
        <f t="shared" si="16"/>
        <v>0.01</v>
      </c>
      <c r="L74" s="164">
        <f t="shared" si="21"/>
        <v>4000000</v>
      </c>
      <c r="M74" s="164">
        <f t="shared" si="17"/>
        <v>30045.112781954886</v>
      </c>
      <c r="N74" s="179">
        <f t="shared" si="26"/>
        <v>133.13313313313313</v>
      </c>
      <c r="O74" s="172">
        <f t="shared" si="27"/>
        <v>7.5112781954887214E-2</v>
      </c>
      <c r="S74" s="39" t="s">
        <v>189</v>
      </c>
      <c r="T74" s="149"/>
      <c r="AB74"/>
      <c r="AC74"/>
      <c r="AD74"/>
    </row>
    <row r="75" spans="1:30" x14ac:dyDescent="0.25">
      <c r="A75" s="163">
        <f t="shared" si="23"/>
        <v>45</v>
      </c>
      <c r="B75" s="165">
        <v>0</v>
      </c>
      <c r="C75" s="171">
        <f t="shared" si="24"/>
        <v>4.1200000000000021E-2</v>
      </c>
      <c r="D75" s="171">
        <f t="shared" si="19"/>
        <v>0</v>
      </c>
      <c r="E75" s="172">
        <f t="shared" si="15"/>
        <v>7.5112781954887216E-5</v>
      </c>
      <c r="F75" s="163">
        <f t="shared" si="25"/>
        <v>9.8200000000000006E-3</v>
      </c>
      <c r="G75" s="163">
        <v>50000</v>
      </c>
      <c r="H75" s="163">
        <v>0</v>
      </c>
      <c r="I75" s="170">
        <v>400000</v>
      </c>
      <c r="J75" s="165">
        <v>10</v>
      </c>
      <c r="K75" s="177">
        <f t="shared" si="16"/>
        <v>0.01</v>
      </c>
      <c r="L75" s="164">
        <f t="shared" si="21"/>
        <v>4000000</v>
      </c>
      <c r="M75" s="164">
        <f t="shared" si="17"/>
        <v>30045.112781954886</v>
      </c>
      <c r="N75" s="179">
        <f t="shared" si="26"/>
        <v>133.13313313313313</v>
      </c>
      <c r="O75" s="172">
        <f t="shared" si="27"/>
        <v>7.5112781954887214E-2</v>
      </c>
      <c r="Q75" s="40"/>
      <c r="S75" s="39">
        <f>ABS(C75-C29)</f>
        <v>4.1200000000000021E-2</v>
      </c>
      <c r="T75" s="149"/>
      <c r="AB75"/>
      <c r="AC75"/>
      <c r="AD75"/>
    </row>
    <row r="76" spans="1:30" s="151" customFormat="1" x14ac:dyDescent="0.25">
      <c r="A76" s="177"/>
      <c r="B76" s="177"/>
      <c r="C76" s="227"/>
      <c r="D76" s="227"/>
      <c r="E76" s="228"/>
      <c r="F76" s="177"/>
      <c r="G76" s="177"/>
      <c r="H76" s="177"/>
      <c r="I76" s="174"/>
      <c r="J76" s="177"/>
      <c r="K76" s="177"/>
      <c r="L76" s="174"/>
      <c r="M76" s="174"/>
      <c r="N76" s="229"/>
      <c r="O76" s="228"/>
      <c r="Q76" s="230"/>
      <c r="S76" s="231"/>
      <c r="T76" s="149"/>
    </row>
    <row r="77" spans="1:30" x14ac:dyDescent="0.25">
      <c r="A77" s="163">
        <f>A75+1</f>
        <v>46</v>
      </c>
      <c r="B77" s="177">
        <v>0</v>
      </c>
      <c r="C77" s="227">
        <f>C75+0.001</f>
        <v>4.2200000000000022E-2</v>
      </c>
      <c r="D77" s="227">
        <f>D75</f>
        <v>0</v>
      </c>
      <c r="E77" s="228" t="e">
        <f t="shared" si="15"/>
        <v>#DIV/0!</v>
      </c>
      <c r="F77" s="177">
        <f t="shared" si="25"/>
        <v>-1.7999999999999998E-4</v>
      </c>
      <c r="G77" s="177">
        <v>50000</v>
      </c>
      <c r="H77" s="177">
        <v>0</v>
      </c>
      <c r="I77" s="174">
        <v>400000</v>
      </c>
      <c r="J77" s="177">
        <v>0</v>
      </c>
      <c r="K77" s="177">
        <f t="shared" si="16"/>
        <v>0</v>
      </c>
      <c r="L77" s="164">
        <f t="shared" si="21"/>
        <v>0</v>
      </c>
      <c r="M77" s="164">
        <f t="shared" si="17"/>
        <v>30045.112781954886</v>
      </c>
      <c r="N77" s="179">
        <f t="shared" si="26"/>
        <v>0</v>
      </c>
      <c r="O77" s="172" t="e">
        <f t="shared" si="27"/>
        <v>#DIV/0!</v>
      </c>
      <c r="Q77" s="40"/>
      <c r="S77" s="39"/>
      <c r="T77" s="149"/>
      <c r="AB77"/>
      <c r="AC77"/>
      <c r="AD77"/>
    </row>
    <row r="78" spans="1:30" x14ac:dyDescent="0.25">
      <c r="A78" s="163">
        <f t="shared" si="23"/>
        <v>47</v>
      </c>
      <c r="B78" s="177">
        <v>0</v>
      </c>
      <c r="C78" s="227">
        <f t="shared" si="24"/>
        <v>4.3200000000000023E-2</v>
      </c>
      <c r="D78" s="227">
        <f t="shared" si="19"/>
        <v>0</v>
      </c>
      <c r="E78" s="228" t="e">
        <f t="shared" si="15"/>
        <v>#DIV/0!</v>
      </c>
      <c r="F78" s="177">
        <f t="shared" si="25"/>
        <v>-1.7999999999999998E-4</v>
      </c>
      <c r="G78" s="177">
        <v>50000</v>
      </c>
      <c r="H78" s="177">
        <v>0</v>
      </c>
      <c r="I78" s="174">
        <v>400000</v>
      </c>
      <c r="J78" s="177">
        <v>0</v>
      </c>
      <c r="K78" s="177">
        <f t="shared" si="16"/>
        <v>0</v>
      </c>
      <c r="L78" s="164">
        <f t="shared" si="21"/>
        <v>0</v>
      </c>
      <c r="M78" s="164">
        <f t="shared" si="17"/>
        <v>30045.112781954886</v>
      </c>
      <c r="N78" s="179">
        <f t="shared" si="26"/>
        <v>0</v>
      </c>
      <c r="O78" s="172" t="e">
        <f t="shared" si="27"/>
        <v>#DIV/0!</v>
      </c>
      <c r="S78" s="39"/>
      <c r="T78" s="149"/>
      <c r="AB78"/>
      <c r="AC78"/>
      <c r="AD78"/>
    </row>
    <row r="79" spans="1:30" x14ac:dyDescent="0.25">
      <c r="A79" s="163">
        <f t="shared" si="23"/>
        <v>48</v>
      </c>
      <c r="B79" s="177">
        <v>0</v>
      </c>
      <c r="C79" s="227">
        <f t="shared" si="24"/>
        <v>4.4200000000000024E-2</v>
      </c>
      <c r="D79" s="227">
        <f t="shared" si="19"/>
        <v>0</v>
      </c>
      <c r="E79" s="228" t="e">
        <f t="shared" si="15"/>
        <v>#DIV/0!</v>
      </c>
      <c r="F79" s="177">
        <f t="shared" si="25"/>
        <v>-1.7999999999999998E-4</v>
      </c>
      <c r="G79" s="177">
        <v>50000</v>
      </c>
      <c r="H79" s="177">
        <v>0</v>
      </c>
      <c r="I79" s="174">
        <v>400000</v>
      </c>
      <c r="J79" s="177">
        <v>0</v>
      </c>
      <c r="K79" s="177">
        <f t="shared" si="16"/>
        <v>0</v>
      </c>
      <c r="L79" s="164">
        <f t="shared" si="21"/>
        <v>0</v>
      </c>
      <c r="M79" s="164">
        <f t="shared" si="17"/>
        <v>30045.112781954886</v>
      </c>
      <c r="N79" s="179">
        <f t="shared" si="26"/>
        <v>0</v>
      </c>
      <c r="O79" s="172" t="e">
        <f t="shared" si="27"/>
        <v>#DIV/0!</v>
      </c>
      <c r="Q79" s="40"/>
      <c r="S79" s="39"/>
      <c r="T79" s="149"/>
      <c r="AB79"/>
      <c r="AC79"/>
      <c r="AD79"/>
    </row>
    <row r="80" spans="1:30" x14ac:dyDescent="0.25">
      <c r="A80" s="163">
        <f>A79+1</f>
        <v>49</v>
      </c>
      <c r="B80" s="177">
        <v>0</v>
      </c>
      <c r="C80" s="227">
        <f t="shared" si="24"/>
        <v>4.5200000000000025E-2</v>
      </c>
      <c r="D80" s="227">
        <f t="shared" si="19"/>
        <v>0</v>
      </c>
      <c r="E80" s="228" t="e">
        <f t="shared" si="15"/>
        <v>#DIV/0!</v>
      </c>
      <c r="F80" s="177">
        <f t="shared" si="25"/>
        <v>-1.7999999999999998E-4</v>
      </c>
      <c r="G80" s="177">
        <v>50000</v>
      </c>
      <c r="H80" s="177">
        <v>0</v>
      </c>
      <c r="I80" s="174">
        <v>400000</v>
      </c>
      <c r="J80" s="177">
        <v>0</v>
      </c>
      <c r="K80" s="177">
        <f t="shared" si="16"/>
        <v>0</v>
      </c>
      <c r="L80" s="164">
        <f t="shared" si="21"/>
        <v>0</v>
      </c>
      <c r="M80" s="164">
        <f t="shared" si="17"/>
        <v>30045.112781954886</v>
      </c>
      <c r="N80" s="179">
        <f t="shared" si="26"/>
        <v>0</v>
      </c>
      <c r="O80" s="172" t="e">
        <f t="shared" si="27"/>
        <v>#DIV/0!</v>
      </c>
      <c r="S80" s="39"/>
      <c r="T80" s="149"/>
      <c r="AB80"/>
      <c r="AC80"/>
      <c r="AD80"/>
    </row>
    <row r="81" spans="1:30" x14ac:dyDescent="0.25">
      <c r="A81" s="163">
        <f t="shared" si="23"/>
        <v>50</v>
      </c>
      <c r="B81" s="177">
        <v>0</v>
      </c>
      <c r="C81" s="227">
        <f t="shared" si="24"/>
        <v>4.6200000000000026E-2</v>
      </c>
      <c r="D81" s="227">
        <f t="shared" si="19"/>
        <v>0</v>
      </c>
      <c r="E81" s="228" t="e">
        <f t="shared" si="15"/>
        <v>#DIV/0!</v>
      </c>
      <c r="F81" s="177">
        <f t="shared" si="25"/>
        <v>-1.7999999999999998E-4</v>
      </c>
      <c r="G81" s="177">
        <v>50000</v>
      </c>
      <c r="H81" s="177">
        <v>0</v>
      </c>
      <c r="I81" s="174">
        <v>400000</v>
      </c>
      <c r="J81" s="177">
        <v>0</v>
      </c>
      <c r="K81" s="177">
        <f t="shared" si="16"/>
        <v>0</v>
      </c>
      <c r="L81" s="164">
        <f t="shared" si="21"/>
        <v>0</v>
      </c>
      <c r="M81" s="164">
        <f t="shared" si="17"/>
        <v>30045.112781954886</v>
      </c>
      <c r="N81" s="179">
        <f t="shared" si="26"/>
        <v>0</v>
      </c>
      <c r="O81" s="172" t="e">
        <f t="shared" si="27"/>
        <v>#DIV/0!</v>
      </c>
      <c r="Q81" s="40"/>
      <c r="S81" s="39"/>
      <c r="T81" s="149"/>
      <c r="AB81"/>
      <c r="AC81"/>
      <c r="AD81"/>
    </row>
    <row r="82" spans="1:30" x14ac:dyDescent="0.25">
      <c r="A82" s="163">
        <f t="shared" si="23"/>
        <v>51</v>
      </c>
      <c r="B82" s="177">
        <v>0</v>
      </c>
      <c r="C82" s="227">
        <f t="shared" si="24"/>
        <v>4.7200000000000027E-2</v>
      </c>
      <c r="D82" s="227">
        <f t="shared" si="19"/>
        <v>0</v>
      </c>
      <c r="E82" s="228" t="e">
        <f t="shared" si="15"/>
        <v>#DIV/0!</v>
      </c>
      <c r="F82" s="177">
        <f t="shared" si="25"/>
        <v>-1.7999999999999998E-4</v>
      </c>
      <c r="G82" s="177">
        <v>50000</v>
      </c>
      <c r="H82" s="177">
        <v>0</v>
      </c>
      <c r="I82" s="174">
        <v>400000</v>
      </c>
      <c r="J82" s="177">
        <v>0</v>
      </c>
      <c r="K82" s="177">
        <f t="shared" si="16"/>
        <v>0</v>
      </c>
      <c r="L82" s="164">
        <f t="shared" si="21"/>
        <v>0</v>
      </c>
      <c r="M82" s="164">
        <f t="shared" si="17"/>
        <v>30045.112781954886</v>
      </c>
      <c r="N82" s="179">
        <f t="shared" si="26"/>
        <v>0</v>
      </c>
      <c r="O82" s="172" t="e">
        <f t="shared" si="27"/>
        <v>#DIV/0!</v>
      </c>
      <c r="Q82" s="40"/>
      <c r="S82" s="39"/>
      <c r="T82" s="149"/>
      <c r="AB82"/>
      <c r="AC82"/>
      <c r="AD82"/>
    </row>
    <row r="83" spans="1:30" x14ac:dyDescent="0.25">
      <c r="A83" s="163">
        <f t="shared" si="23"/>
        <v>52</v>
      </c>
      <c r="B83" s="177">
        <v>0</v>
      </c>
      <c r="C83" s="227">
        <f t="shared" si="24"/>
        <v>4.8200000000000028E-2</v>
      </c>
      <c r="D83" s="227">
        <f t="shared" si="19"/>
        <v>0</v>
      </c>
      <c r="E83" s="228" t="e">
        <f t="shared" si="15"/>
        <v>#DIV/0!</v>
      </c>
      <c r="F83" s="177">
        <f t="shared" si="25"/>
        <v>-1.7999999999999998E-4</v>
      </c>
      <c r="G83" s="177">
        <v>50000</v>
      </c>
      <c r="H83" s="177">
        <v>0</v>
      </c>
      <c r="I83" s="174">
        <v>400000</v>
      </c>
      <c r="J83" s="177">
        <v>0</v>
      </c>
      <c r="K83" s="177">
        <f t="shared" si="16"/>
        <v>0</v>
      </c>
      <c r="L83" s="164">
        <f t="shared" si="21"/>
        <v>0</v>
      </c>
      <c r="M83" s="164">
        <f t="shared" si="17"/>
        <v>30045.112781954886</v>
      </c>
      <c r="N83" s="179">
        <f t="shared" si="26"/>
        <v>0</v>
      </c>
      <c r="O83" s="172" t="e">
        <f t="shared" si="27"/>
        <v>#DIV/0!</v>
      </c>
      <c r="S83" s="39"/>
      <c r="T83" s="149"/>
      <c r="AB83"/>
      <c r="AC83"/>
      <c r="AD83"/>
    </row>
    <row r="84" spans="1:30" x14ac:dyDescent="0.25">
      <c r="A84" s="163">
        <f t="shared" si="23"/>
        <v>53</v>
      </c>
      <c r="B84" s="177">
        <v>0</v>
      </c>
      <c r="C84" s="227">
        <f t="shared" si="24"/>
        <v>4.9200000000000028E-2</v>
      </c>
      <c r="D84" s="227">
        <f t="shared" si="19"/>
        <v>0</v>
      </c>
      <c r="E84" s="228" t="e">
        <f t="shared" si="15"/>
        <v>#DIV/0!</v>
      </c>
      <c r="F84" s="177">
        <f t="shared" si="25"/>
        <v>-1.7999999999999998E-4</v>
      </c>
      <c r="G84" s="177">
        <v>50000</v>
      </c>
      <c r="H84" s="177">
        <v>0</v>
      </c>
      <c r="I84" s="174">
        <v>400000</v>
      </c>
      <c r="J84" s="177">
        <v>0</v>
      </c>
      <c r="K84" s="177">
        <f t="shared" si="16"/>
        <v>0</v>
      </c>
      <c r="L84" s="164">
        <f t="shared" si="21"/>
        <v>0</v>
      </c>
      <c r="M84" s="164">
        <f t="shared" si="17"/>
        <v>30045.112781954886</v>
      </c>
      <c r="N84" s="179">
        <f t="shared" si="26"/>
        <v>0</v>
      </c>
      <c r="O84" s="172" t="e">
        <f t="shared" si="27"/>
        <v>#DIV/0!</v>
      </c>
      <c r="Q84" s="40"/>
      <c r="S84" s="39"/>
      <c r="T84" s="149"/>
      <c r="AB84"/>
      <c r="AC84"/>
      <c r="AD84"/>
    </row>
    <row r="85" spans="1:30" x14ac:dyDescent="0.25">
      <c r="A85" s="163">
        <f>A84+1</f>
        <v>54</v>
      </c>
      <c r="B85" s="177">
        <v>0</v>
      </c>
      <c r="C85" s="227">
        <f t="shared" si="24"/>
        <v>5.0200000000000029E-2</v>
      </c>
      <c r="D85" s="227">
        <f t="shared" si="19"/>
        <v>0</v>
      </c>
      <c r="E85" s="228" t="e">
        <f t="shared" si="15"/>
        <v>#DIV/0!</v>
      </c>
      <c r="F85" s="177">
        <f t="shared" si="25"/>
        <v>-1.7999999999999998E-4</v>
      </c>
      <c r="G85" s="177">
        <v>50000</v>
      </c>
      <c r="H85" s="177">
        <v>0</v>
      </c>
      <c r="I85" s="174">
        <v>400000</v>
      </c>
      <c r="J85" s="177">
        <v>0</v>
      </c>
      <c r="K85" s="177">
        <f t="shared" si="16"/>
        <v>0</v>
      </c>
      <c r="L85" s="164">
        <f t="shared" si="21"/>
        <v>0</v>
      </c>
      <c r="M85" s="164">
        <f t="shared" si="17"/>
        <v>30045.112781954886</v>
      </c>
      <c r="N85" s="179">
        <f t="shared" si="26"/>
        <v>0</v>
      </c>
      <c r="O85" s="172" t="e">
        <f t="shared" si="27"/>
        <v>#DIV/0!</v>
      </c>
      <c r="S85" s="39"/>
      <c r="T85" s="149"/>
      <c r="AB85"/>
      <c r="AC85"/>
      <c r="AD85"/>
    </row>
    <row r="86" spans="1:30" x14ac:dyDescent="0.25">
      <c r="A86" s="163">
        <f t="shared" si="23"/>
        <v>55</v>
      </c>
      <c r="B86" s="177">
        <v>0</v>
      </c>
      <c r="C86" s="227">
        <f t="shared" si="24"/>
        <v>5.120000000000003E-2</v>
      </c>
      <c r="D86" s="227">
        <f t="shared" si="19"/>
        <v>0</v>
      </c>
      <c r="E86" s="228" t="e">
        <f t="shared" si="15"/>
        <v>#DIV/0!</v>
      </c>
      <c r="F86" s="177">
        <f t="shared" si="25"/>
        <v>-1.7999999999999998E-4</v>
      </c>
      <c r="G86" s="177">
        <v>50000</v>
      </c>
      <c r="H86" s="177">
        <v>0</v>
      </c>
      <c r="I86" s="174">
        <v>400000</v>
      </c>
      <c r="J86" s="177">
        <v>0</v>
      </c>
      <c r="K86" s="177">
        <f t="shared" si="16"/>
        <v>0</v>
      </c>
      <c r="L86" s="164">
        <f t="shared" si="21"/>
        <v>0</v>
      </c>
      <c r="M86" s="164">
        <f t="shared" si="17"/>
        <v>30045.112781954886</v>
      </c>
      <c r="N86" s="179">
        <f t="shared" si="26"/>
        <v>0</v>
      </c>
      <c r="O86" s="172" t="e">
        <f t="shared" si="27"/>
        <v>#DIV/0!</v>
      </c>
      <c r="Q86" s="40"/>
      <c r="S86" s="39"/>
      <c r="T86" s="149"/>
      <c r="AB86"/>
      <c r="AC86"/>
      <c r="AD86"/>
    </row>
    <row r="87" spans="1:30" x14ac:dyDescent="0.25">
      <c r="A87" s="163">
        <f t="shared" si="23"/>
        <v>56</v>
      </c>
      <c r="B87" s="177">
        <v>0</v>
      </c>
      <c r="C87" s="227">
        <f t="shared" si="24"/>
        <v>5.2200000000000031E-2</v>
      </c>
      <c r="D87" s="227">
        <f t="shared" si="19"/>
        <v>0</v>
      </c>
      <c r="E87" s="228" t="e">
        <f t="shared" si="15"/>
        <v>#DIV/0!</v>
      </c>
      <c r="F87" s="177">
        <f t="shared" si="25"/>
        <v>-1.7999999999999998E-4</v>
      </c>
      <c r="G87" s="177">
        <v>50000</v>
      </c>
      <c r="H87" s="177">
        <v>0</v>
      </c>
      <c r="I87" s="174">
        <v>400000</v>
      </c>
      <c r="J87" s="177">
        <v>0</v>
      </c>
      <c r="K87" s="177">
        <f t="shared" si="16"/>
        <v>0</v>
      </c>
      <c r="L87" s="164">
        <f t="shared" si="21"/>
        <v>0</v>
      </c>
      <c r="M87" s="164">
        <f t="shared" si="17"/>
        <v>30045.112781954886</v>
      </c>
      <c r="N87" s="179">
        <f t="shared" si="26"/>
        <v>0</v>
      </c>
      <c r="O87" s="172" t="e">
        <f t="shared" si="27"/>
        <v>#DIV/0!</v>
      </c>
      <c r="Q87" s="40"/>
      <c r="S87" s="39"/>
      <c r="T87" s="149"/>
      <c r="AB87"/>
      <c r="AC87"/>
      <c r="AD87"/>
    </row>
    <row r="88" spans="1:30" x14ac:dyDescent="0.25">
      <c r="A88" s="163">
        <f t="shared" si="23"/>
        <v>57</v>
      </c>
      <c r="B88" s="177">
        <v>0</v>
      </c>
      <c r="C88" s="227">
        <f t="shared" si="24"/>
        <v>5.3200000000000032E-2</v>
      </c>
      <c r="D88" s="227">
        <f t="shared" si="19"/>
        <v>0</v>
      </c>
      <c r="E88" s="228" t="e">
        <f t="shared" si="15"/>
        <v>#DIV/0!</v>
      </c>
      <c r="F88" s="177">
        <f t="shared" si="25"/>
        <v>-1.7999999999999998E-4</v>
      </c>
      <c r="G88" s="177">
        <v>50000</v>
      </c>
      <c r="H88" s="177">
        <v>0</v>
      </c>
      <c r="I88" s="174">
        <v>400000</v>
      </c>
      <c r="J88" s="177">
        <v>0</v>
      </c>
      <c r="K88" s="177">
        <f t="shared" si="16"/>
        <v>0</v>
      </c>
      <c r="L88" s="164">
        <f t="shared" si="21"/>
        <v>0</v>
      </c>
      <c r="M88" s="164">
        <f t="shared" si="17"/>
        <v>30045.112781954886</v>
      </c>
      <c r="N88" s="179">
        <f t="shared" si="26"/>
        <v>0</v>
      </c>
      <c r="O88" s="172" t="e">
        <f t="shared" si="27"/>
        <v>#DIV/0!</v>
      </c>
      <c r="S88" s="39"/>
      <c r="T88" s="149"/>
      <c r="AB88"/>
      <c r="AC88"/>
      <c r="AD88"/>
    </row>
    <row r="89" spans="1:30" x14ac:dyDescent="0.25">
      <c r="A89" s="163">
        <f t="shared" si="23"/>
        <v>58</v>
      </c>
      <c r="B89" s="177">
        <v>0</v>
      </c>
      <c r="C89" s="227">
        <f t="shared" si="24"/>
        <v>5.4200000000000033E-2</v>
      </c>
      <c r="D89" s="227">
        <f t="shared" si="19"/>
        <v>0</v>
      </c>
      <c r="E89" s="228" t="e">
        <f t="shared" si="15"/>
        <v>#DIV/0!</v>
      </c>
      <c r="F89" s="177">
        <f t="shared" si="25"/>
        <v>-1.7999999999999998E-4</v>
      </c>
      <c r="G89" s="177">
        <v>50000</v>
      </c>
      <c r="H89" s="177">
        <v>0</v>
      </c>
      <c r="I89" s="174">
        <v>400000</v>
      </c>
      <c r="J89" s="177">
        <v>0</v>
      </c>
      <c r="K89" s="177">
        <f t="shared" si="16"/>
        <v>0</v>
      </c>
      <c r="L89" s="164">
        <f t="shared" si="21"/>
        <v>0</v>
      </c>
      <c r="M89" s="164">
        <f t="shared" si="17"/>
        <v>30045.112781954886</v>
      </c>
      <c r="N89" s="179">
        <f t="shared" si="26"/>
        <v>0</v>
      </c>
      <c r="O89" s="172" t="e">
        <f t="shared" si="27"/>
        <v>#DIV/0!</v>
      </c>
      <c r="Q89" s="40"/>
      <c r="S89" s="39"/>
      <c r="T89" s="149"/>
      <c r="AB89"/>
      <c r="AC89"/>
      <c r="AD89"/>
    </row>
    <row r="90" spans="1:30" x14ac:dyDescent="0.25">
      <c r="A90" s="163">
        <f>A89+1</f>
        <v>59</v>
      </c>
      <c r="B90" s="177">
        <v>0</v>
      </c>
      <c r="C90" s="227">
        <f t="shared" si="24"/>
        <v>5.5200000000000034E-2</v>
      </c>
      <c r="D90" s="227">
        <f t="shared" si="19"/>
        <v>0</v>
      </c>
      <c r="E90" s="228" t="e">
        <f t="shared" si="15"/>
        <v>#DIV/0!</v>
      </c>
      <c r="F90" s="177">
        <f t="shared" si="25"/>
        <v>-1.7999999999999998E-4</v>
      </c>
      <c r="G90" s="177">
        <v>50000</v>
      </c>
      <c r="H90" s="177">
        <v>0</v>
      </c>
      <c r="I90" s="174">
        <v>400000</v>
      </c>
      <c r="J90" s="177">
        <v>0</v>
      </c>
      <c r="K90" s="177">
        <f t="shared" si="16"/>
        <v>0</v>
      </c>
      <c r="L90" s="164">
        <f t="shared" si="21"/>
        <v>0</v>
      </c>
      <c r="M90" s="164">
        <f t="shared" si="17"/>
        <v>30045.112781954886</v>
      </c>
      <c r="N90" s="179">
        <f t="shared" si="26"/>
        <v>0</v>
      </c>
      <c r="O90" s="172" t="e">
        <f t="shared" si="27"/>
        <v>#DIV/0!</v>
      </c>
      <c r="S90" s="39"/>
      <c r="T90" s="149"/>
      <c r="AB90"/>
      <c r="AC90"/>
      <c r="AD90"/>
    </row>
    <row r="91" spans="1:30" x14ac:dyDescent="0.25">
      <c r="A91" s="163">
        <f t="shared" si="23"/>
        <v>60</v>
      </c>
      <c r="B91" s="177">
        <v>0</v>
      </c>
      <c r="C91" s="227">
        <f t="shared" si="24"/>
        <v>5.6200000000000035E-2</v>
      </c>
      <c r="D91" s="227">
        <f t="shared" si="19"/>
        <v>0</v>
      </c>
      <c r="E91" s="228" t="e">
        <f t="shared" si="15"/>
        <v>#DIV/0!</v>
      </c>
      <c r="F91" s="177">
        <f t="shared" si="25"/>
        <v>-1.7999999999999998E-4</v>
      </c>
      <c r="G91" s="177">
        <v>50000</v>
      </c>
      <c r="H91" s="177">
        <v>0</v>
      </c>
      <c r="I91" s="174">
        <v>400000</v>
      </c>
      <c r="J91" s="177">
        <v>0</v>
      </c>
      <c r="K91" s="177">
        <f t="shared" si="16"/>
        <v>0</v>
      </c>
      <c r="L91" s="164">
        <f t="shared" si="21"/>
        <v>0</v>
      </c>
      <c r="M91" s="164">
        <f t="shared" si="17"/>
        <v>30045.112781954886</v>
      </c>
      <c r="N91" s="179">
        <f t="shared" si="26"/>
        <v>0</v>
      </c>
      <c r="O91" s="172" t="e">
        <f t="shared" si="27"/>
        <v>#DIV/0!</v>
      </c>
      <c r="Q91" s="40"/>
      <c r="S91" s="39"/>
      <c r="T91" s="149"/>
      <c r="AB91"/>
      <c r="AC91"/>
      <c r="AD91"/>
    </row>
    <row r="92" spans="1:30" x14ac:dyDescent="0.25">
      <c r="A92" s="163">
        <f t="shared" si="23"/>
        <v>61</v>
      </c>
      <c r="B92" s="177">
        <v>0</v>
      </c>
      <c r="C92" s="227">
        <f t="shared" si="24"/>
        <v>5.7200000000000036E-2</v>
      </c>
      <c r="D92" s="227">
        <f t="shared" si="19"/>
        <v>0</v>
      </c>
      <c r="E92" s="228" t="e">
        <f t="shared" si="15"/>
        <v>#DIV/0!</v>
      </c>
      <c r="F92" s="177">
        <f t="shared" si="25"/>
        <v>-1.7999999999999998E-4</v>
      </c>
      <c r="G92" s="177">
        <v>50000</v>
      </c>
      <c r="H92" s="177">
        <v>0</v>
      </c>
      <c r="I92" s="174">
        <v>400000</v>
      </c>
      <c r="J92" s="177">
        <v>0</v>
      </c>
      <c r="K92" s="177">
        <f t="shared" si="16"/>
        <v>0</v>
      </c>
      <c r="L92" s="164">
        <f t="shared" si="21"/>
        <v>0</v>
      </c>
      <c r="M92" s="164">
        <f t="shared" si="17"/>
        <v>30045.112781954886</v>
      </c>
      <c r="N92" s="179">
        <f t="shared" si="26"/>
        <v>0</v>
      </c>
      <c r="O92" s="172" t="e">
        <f t="shared" si="27"/>
        <v>#DIV/0!</v>
      </c>
      <c r="Q92" s="40"/>
      <c r="S92" s="39"/>
      <c r="T92" s="149"/>
      <c r="AB92"/>
      <c r="AC92"/>
      <c r="AD92"/>
    </row>
    <row r="93" spans="1:30" x14ac:dyDescent="0.25">
      <c r="A93" s="163">
        <f t="shared" si="23"/>
        <v>62</v>
      </c>
      <c r="B93" s="177">
        <v>0</v>
      </c>
      <c r="C93" s="227">
        <f t="shared" si="24"/>
        <v>5.8200000000000036E-2</v>
      </c>
      <c r="D93" s="227">
        <f t="shared" si="19"/>
        <v>0</v>
      </c>
      <c r="E93" s="228" t="e">
        <f t="shared" si="15"/>
        <v>#DIV/0!</v>
      </c>
      <c r="F93" s="177">
        <f t="shared" si="25"/>
        <v>-1.7999999999999998E-4</v>
      </c>
      <c r="G93" s="177">
        <v>50000</v>
      </c>
      <c r="H93" s="177">
        <v>0</v>
      </c>
      <c r="I93" s="174">
        <v>400000</v>
      </c>
      <c r="J93" s="177">
        <v>0</v>
      </c>
      <c r="K93" s="177">
        <f t="shared" si="16"/>
        <v>0</v>
      </c>
      <c r="L93" s="164">
        <f t="shared" si="21"/>
        <v>0</v>
      </c>
      <c r="M93" s="164">
        <f t="shared" si="17"/>
        <v>30045.112781954886</v>
      </c>
      <c r="N93" s="179">
        <f t="shared" si="26"/>
        <v>0</v>
      </c>
      <c r="O93" s="172" t="e">
        <f t="shared" si="27"/>
        <v>#DIV/0!</v>
      </c>
      <c r="S93" s="39"/>
      <c r="T93" s="149"/>
      <c r="AB93"/>
      <c r="AC93"/>
      <c r="AD93"/>
    </row>
    <row r="94" spans="1:30" x14ac:dyDescent="0.25">
      <c r="A94" s="163">
        <f t="shared" si="23"/>
        <v>63</v>
      </c>
      <c r="B94" s="177">
        <v>0</v>
      </c>
      <c r="C94" s="227">
        <f t="shared" si="24"/>
        <v>5.9200000000000037E-2</v>
      </c>
      <c r="D94" s="227">
        <f t="shared" si="19"/>
        <v>0</v>
      </c>
      <c r="E94" s="228" t="e">
        <f t="shared" si="15"/>
        <v>#DIV/0!</v>
      </c>
      <c r="F94" s="177">
        <f t="shared" si="25"/>
        <v>-1.7999999999999998E-4</v>
      </c>
      <c r="G94" s="177">
        <v>50000</v>
      </c>
      <c r="H94" s="177">
        <v>0</v>
      </c>
      <c r="I94" s="174">
        <v>400000</v>
      </c>
      <c r="J94" s="177">
        <v>0</v>
      </c>
      <c r="K94" s="177">
        <f t="shared" si="16"/>
        <v>0</v>
      </c>
      <c r="L94" s="164">
        <f t="shared" si="21"/>
        <v>0</v>
      </c>
      <c r="M94" s="164">
        <f t="shared" si="17"/>
        <v>30045.112781954886</v>
      </c>
      <c r="N94" s="179">
        <f t="shared" si="26"/>
        <v>0</v>
      </c>
      <c r="O94" s="172" t="e">
        <f t="shared" si="27"/>
        <v>#DIV/0!</v>
      </c>
      <c r="Q94" s="40"/>
      <c r="S94" s="39"/>
      <c r="T94" s="149"/>
      <c r="AB94"/>
      <c r="AC94"/>
      <c r="AD94"/>
    </row>
    <row r="95" spans="1:30" x14ac:dyDescent="0.25">
      <c r="A95" s="163">
        <f>A94+1</f>
        <v>64</v>
      </c>
      <c r="B95" s="177">
        <v>0</v>
      </c>
      <c r="C95" s="227">
        <f t="shared" si="24"/>
        <v>6.0200000000000038E-2</v>
      </c>
      <c r="D95" s="227">
        <f t="shared" si="19"/>
        <v>0</v>
      </c>
      <c r="E95" s="228" t="e">
        <f t="shared" si="15"/>
        <v>#DIV/0!</v>
      </c>
      <c r="F95" s="177">
        <f t="shared" si="25"/>
        <v>-1.7999999999999998E-4</v>
      </c>
      <c r="G95" s="177">
        <v>50000</v>
      </c>
      <c r="H95" s="177">
        <v>0</v>
      </c>
      <c r="I95" s="174">
        <v>400000</v>
      </c>
      <c r="J95" s="177">
        <v>0</v>
      </c>
      <c r="K95" s="177">
        <f t="shared" si="16"/>
        <v>0</v>
      </c>
      <c r="L95" s="164">
        <f t="shared" si="21"/>
        <v>0</v>
      </c>
      <c r="M95" s="164">
        <f t="shared" si="17"/>
        <v>30045.112781954886</v>
      </c>
      <c r="N95" s="179">
        <f t="shared" si="26"/>
        <v>0</v>
      </c>
      <c r="O95" s="172" t="e">
        <f t="shared" si="27"/>
        <v>#DIV/0!</v>
      </c>
      <c r="S95" s="39"/>
      <c r="T95" s="149"/>
      <c r="AB95"/>
      <c r="AC95"/>
      <c r="AD95"/>
    </row>
    <row r="96" spans="1:30" x14ac:dyDescent="0.25">
      <c r="A96" s="163">
        <f t="shared" si="23"/>
        <v>65</v>
      </c>
      <c r="B96" s="177">
        <v>0</v>
      </c>
      <c r="C96" s="227">
        <f t="shared" si="24"/>
        <v>6.1200000000000039E-2</v>
      </c>
      <c r="D96" s="227">
        <f t="shared" si="19"/>
        <v>0</v>
      </c>
      <c r="E96" s="228" t="e">
        <f t="shared" si="15"/>
        <v>#DIV/0!</v>
      </c>
      <c r="F96" s="177">
        <f t="shared" ref="F96:F131" si="28">IF($B96,$C96,$D96)+$K96-IF($B96,$O$24/1000,$P$24/1000)</f>
        <v>-1.7999999999999998E-4</v>
      </c>
      <c r="G96" s="177">
        <v>50000</v>
      </c>
      <c r="H96" s="177">
        <v>0</v>
      </c>
      <c r="I96" s="174">
        <v>400000</v>
      </c>
      <c r="J96" s="177">
        <v>0</v>
      </c>
      <c r="K96" s="177">
        <f t="shared" si="16"/>
        <v>0</v>
      </c>
      <c r="L96" s="164">
        <f t="shared" si="21"/>
        <v>0</v>
      </c>
      <c r="M96" s="164">
        <f t="shared" si="17"/>
        <v>30045.112781954886</v>
      </c>
      <c r="N96" s="179">
        <f t="shared" ref="N96:N127" si="29">L96/M96</f>
        <v>0</v>
      </c>
      <c r="O96" s="172" t="e">
        <f t="shared" ref="O96:O127" si="30">J96/N96</f>
        <v>#DIV/0!</v>
      </c>
      <c r="Q96" s="40"/>
      <c r="S96" s="39"/>
      <c r="T96" s="149"/>
      <c r="AB96"/>
      <c r="AC96"/>
      <c r="AD96"/>
    </row>
    <row r="97" spans="1:30" x14ac:dyDescent="0.25">
      <c r="A97" s="163">
        <f t="shared" si="23"/>
        <v>66</v>
      </c>
      <c r="B97" s="177">
        <v>0</v>
      </c>
      <c r="C97" s="227">
        <f t="shared" si="24"/>
        <v>6.220000000000004E-2</v>
      </c>
      <c r="D97" s="227">
        <f t="shared" si="19"/>
        <v>0</v>
      </c>
      <c r="E97" s="228" t="e">
        <f t="shared" ref="E97:E131" si="31">O97/1000</f>
        <v>#DIV/0!</v>
      </c>
      <c r="F97" s="177">
        <f t="shared" si="28"/>
        <v>-1.7999999999999998E-4</v>
      </c>
      <c r="G97" s="177">
        <v>50000</v>
      </c>
      <c r="H97" s="177">
        <v>0</v>
      </c>
      <c r="I97" s="174">
        <v>400000</v>
      </c>
      <c r="J97" s="177">
        <v>0</v>
      </c>
      <c r="K97" s="177">
        <f t="shared" ref="K97:K130" si="32">J97/1000</f>
        <v>0</v>
      </c>
      <c r="L97" s="164">
        <f t="shared" si="21"/>
        <v>0</v>
      </c>
      <c r="M97" s="164">
        <f t="shared" ref="M97:M131" si="33">MAX($D$3:$D$15)*2</f>
        <v>30045.112781954886</v>
      </c>
      <c r="N97" s="179">
        <f t="shared" si="29"/>
        <v>0</v>
      </c>
      <c r="O97" s="172" t="e">
        <f t="shared" si="30"/>
        <v>#DIV/0!</v>
      </c>
      <c r="Q97" s="40"/>
      <c r="S97" s="39"/>
      <c r="T97" s="149"/>
      <c r="AB97"/>
      <c r="AC97"/>
      <c r="AD97"/>
    </row>
    <row r="98" spans="1:30" x14ac:dyDescent="0.25">
      <c r="A98" s="163">
        <f t="shared" si="23"/>
        <v>67</v>
      </c>
      <c r="B98" s="177">
        <v>0</v>
      </c>
      <c r="C98" s="227">
        <f t="shared" si="24"/>
        <v>6.3200000000000034E-2</v>
      </c>
      <c r="D98" s="227">
        <f t="shared" ref="D98:D131" si="34">D97</f>
        <v>0</v>
      </c>
      <c r="E98" s="228" t="e">
        <f t="shared" si="31"/>
        <v>#DIV/0!</v>
      </c>
      <c r="F98" s="177">
        <f t="shared" si="28"/>
        <v>-1.7999999999999998E-4</v>
      </c>
      <c r="G98" s="177">
        <v>50000</v>
      </c>
      <c r="H98" s="177">
        <v>0</v>
      </c>
      <c r="I98" s="174">
        <v>400000</v>
      </c>
      <c r="J98" s="177">
        <v>0</v>
      </c>
      <c r="K98" s="177">
        <f t="shared" si="32"/>
        <v>0</v>
      </c>
      <c r="L98" s="164">
        <f t="shared" si="21"/>
        <v>0</v>
      </c>
      <c r="M98" s="164">
        <f t="shared" si="33"/>
        <v>30045.112781954886</v>
      </c>
      <c r="N98" s="179">
        <f t="shared" si="29"/>
        <v>0</v>
      </c>
      <c r="O98" s="172" t="e">
        <f t="shared" si="30"/>
        <v>#DIV/0!</v>
      </c>
      <c r="S98" s="39"/>
      <c r="T98" s="149"/>
      <c r="AB98"/>
      <c r="AC98"/>
      <c r="AD98"/>
    </row>
    <row r="99" spans="1:30" x14ac:dyDescent="0.25">
      <c r="A99" s="163">
        <f t="shared" si="23"/>
        <v>68</v>
      </c>
      <c r="B99" s="177">
        <v>0</v>
      </c>
      <c r="C99" s="227">
        <f t="shared" ref="C99:C122" si="35">C98+0.001</f>
        <v>6.4200000000000035E-2</v>
      </c>
      <c r="D99" s="227">
        <f t="shared" si="34"/>
        <v>0</v>
      </c>
      <c r="E99" s="228" t="e">
        <f t="shared" si="31"/>
        <v>#DIV/0!</v>
      </c>
      <c r="F99" s="177">
        <f t="shared" si="28"/>
        <v>-1.7999999999999998E-4</v>
      </c>
      <c r="G99" s="177">
        <v>50000</v>
      </c>
      <c r="H99" s="177">
        <v>0</v>
      </c>
      <c r="I99" s="174">
        <v>400000</v>
      </c>
      <c r="J99" s="177">
        <v>0</v>
      </c>
      <c r="K99" s="177">
        <f t="shared" si="32"/>
        <v>0</v>
      </c>
      <c r="L99" s="164">
        <f t="shared" ref="L99:L130" si="36">I99*J99</f>
        <v>0</v>
      </c>
      <c r="M99" s="164">
        <f t="shared" si="33"/>
        <v>30045.112781954886</v>
      </c>
      <c r="N99" s="179">
        <f t="shared" si="29"/>
        <v>0</v>
      </c>
      <c r="O99" s="172" t="e">
        <f t="shared" si="30"/>
        <v>#DIV/0!</v>
      </c>
      <c r="Q99" s="40"/>
      <c r="S99" s="39"/>
      <c r="T99" s="149"/>
      <c r="AB99"/>
      <c r="AC99"/>
      <c r="AD99"/>
    </row>
    <row r="100" spans="1:30" x14ac:dyDescent="0.25">
      <c r="A100" s="163">
        <f>A99+1</f>
        <v>69</v>
      </c>
      <c r="B100" s="177">
        <v>0</v>
      </c>
      <c r="C100" s="227">
        <f t="shared" si="35"/>
        <v>6.5200000000000036E-2</v>
      </c>
      <c r="D100" s="227">
        <f t="shared" si="34"/>
        <v>0</v>
      </c>
      <c r="E100" s="228" t="e">
        <f t="shared" si="31"/>
        <v>#DIV/0!</v>
      </c>
      <c r="F100" s="177">
        <f t="shared" si="28"/>
        <v>-1.7999999999999998E-4</v>
      </c>
      <c r="G100" s="177">
        <v>50000</v>
      </c>
      <c r="H100" s="177">
        <v>0</v>
      </c>
      <c r="I100" s="174">
        <v>400000</v>
      </c>
      <c r="J100" s="177">
        <v>0</v>
      </c>
      <c r="K100" s="177">
        <f t="shared" si="32"/>
        <v>0</v>
      </c>
      <c r="L100" s="164">
        <f t="shared" si="36"/>
        <v>0</v>
      </c>
      <c r="M100" s="164">
        <f t="shared" si="33"/>
        <v>30045.112781954886</v>
      </c>
      <c r="N100" s="179">
        <f t="shared" si="29"/>
        <v>0</v>
      </c>
      <c r="O100" s="172" t="e">
        <f t="shared" si="30"/>
        <v>#DIV/0!</v>
      </c>
      <c r="S100" s="39"/>
      <c r="T100" s="149"/>
      <c r="AB100"/>
      <c r="AC100"/>
      <c r="AD100"/>
    </row>
    <row r="101" spans="1:30" x14ac:dyDescent="0.25">
      <c r="A101" s="163">
        <f t="shared" si="23"/>
        <v>70</v>
      </c>
      <c r="B101" s="177">
        <v>0</v>
      </c>
      <c r="C101" s="227">
        <f t="shared" si="35"/>
        <v>6.6200000000000037E-2</v>
      </c>
      <c r="D101" s="227">
        <f t="shared" si="34"/>
        <v>0</v>
      </c>
      <c r="E101" s="228" t="e">
        <f t="shared" si="31"/>
        <v>#DIV/0!</v>
      </c>
      <c r="F101" s="177">
        <f t="shared" si="28"/>
        <v>-1.7999999999999998E-4</v>
      </c>
      <c r="G101" s="177">
        <v>50000</v>
      </c>
      <c r="H101" s="177">
        <v>0</v>
      </c>
      <c r="I101" s="174">
        <v>400000</v>
      </c>
      <c r="J101" s="177">
        <v>0</v>
      </c>
      <c r="K101" s="177">
        <f t="shared" si="32"/>
        <v>0</v>
      </c>
      <c r="L101" s="164">
        <f t="shared" si="36"/>
        <v>0</v>
      </c>
      <c r="M101" s="164">
        <f t="shared" si="33"/>
        <v>30045.112781954886</v>
      </c>
      <c r="N101" s="179">
        <f t="shared" si="29"/>
        <v>0</v>
      </c>
      <c r="O101" s="172" t="e">
        <f t="shared" si="30"/>
        <v>#DIV/0!</v>
      </c>
      <c r="Q101" s="40"/>
      <c r="S101" s="39"/>
      <c r="T101" s="149"/>
      <c r="AB101"/>
      <c r="AC101"/>
      <c r="AD101"/>
    </row>
    <row r="102" spans="1:30" x14ac:dyDescent="0.25">
      <c r="A102" s="163">
        <f t="shared" si="23"/>
        <v>71</v>
      </c>
      <c r="B102" s="177">
        <v>0</v>
      </c>
      <c r="C102" s="227">
        <f t="shared" si="35"/>
        <v>6.7200000000000037E-2</v>
      </c>
      <c r="D102" s="227">
        <f t="shared" si="34"/>
        <v>0</v>
      </c>
      <c r="E102" s="228" t="e">
        <f t="shared" si="31"/>
        <v>#DIV/0!</v>
      </c>
      <c r="F102" s="177">
        <f t="shared" si="28"/>
        <v>-1.7999999999999998E-4</v>
      </c>
      <c r="G102" s="177">
        <v>50000</v>
      </c>
      <c r="H102" s="177">
        <v>0</v>
      </c>
      <c r="I102" s="174">
        <v>400000</v>
      </c>
      <c r="J102" s="177">
        <v>0</v>
      </c>
      <c r="K102" s="177">
        <f t="shared" si="32"/>
        <v>0</v>
      </c>
      <c r="L102" s="164">
        <f t="shared" si="36"/>
        <v>0</v>
      </c>
      <c r="M102" s="164">
        <f t="shared" si="33"/>
        <v>30045.112781954886</v>
      </c>
      <c r="N102" s="179">
        <f t="shared" si="29"/>
        <v>0</v>
      </c>
      <c r="O102" s="172" t="e">
        <f t="shared" si="30"/>
        <v>#DIV/0!</v>
      </c>
      <c r="Q102" s="40"/>
      <c r="S102" s="39"/>
      <c r="T102" s="149"/>
      <c r="AB102"/>
      <c r="AC102"/>
      <c r="AD102"/>
    </row>
    <row r="103" spans="1:30" x14ac:dyDescent="0.25">
      <c r="A103" s="163">
        <f t="shared" si="23"/>
        <v>72</v>
      </c>
      <c r="B103" s="177">
        <v>0</v>
      </c>
      <c r="C103" s="227">
        <f t="shared" si="35"/>
        <v>6.8200000000000038E-2</v>
      </c>
      <c r="D103" s="227">
        <f t="shared" si="34"/>
        <v>0</v>
      </c>
      <c r="E103" s="228" t="e">
        <f t="shared" si="31"/>
        <v>#DIV/0!</v>
      </c>
      <c r="F103" s="177">
        <f t="shared" si="28"/>
        <v>-1.7999999999999998E-4</v>
      </c>
      <c r="G103" s="177">
        <v>50000</v>
      </c>
      <c r="H103" s="177">
        <v>0</v>
      </c>
      <c r="I103" s="174">
        <v>400000</v>
      </c>
      <c r="J103" s="177">
        <v>0</v>
      </c>
      <c r="K103" s="177">
        <f t="shared" si="32"/>
        <v>0</v>
      </c>
      <c r="L103" s="164">
        <f t="shared" si="36"/>
        <v>0</v>
      </c>
      <c r="M103" s="164">
        <f t="shared" si="33"/>
        <v>30045.112781954886</v>
      </c>
      <c r="N103" s="179">
        <f t="shared" si="29"/>
        <v>0</v>
      </c>
      <c r="O103" s="172" t="e">
        <f t="shared" si="30"/>
        <v>#DIV/0!</v>
      </c>
      <c r="S103" s="39"/>
      <c r="T103" s="149"/>
      <c r="AB103"/>
      <c r="AC103"/>
      <c r="AD103"/>
    </row>
    <row r="104" spans="1:30" x14ac:dyDescent="0.25">
      <c r="A104" s="163">
        <f t="shared" si="23"/>
        <v>73</v>
      </c>
      <c r="B104" s="177">
        <v>0</v>
      </c>
      <c r="C104" s="227">
        <f t="shared" si="35"/>
        <v>6.9200000000000039E-2</v>
      </c>
      <c r="D104" s="227">
        <f t="shared" si="34"/>
        <v>0</v>
      </c>
      <c r="E104" s="228" t="e">
        <f t="shared" si="31"/>
        <v>#DIV/0!</v>
      </c>
      <c r="F104" s="177">
        <f t="shared" si="28"/>
        <v>-1.7999999999999998E-4</v>
      </c>
      <c r="G104" s="177">
        <v>50000</v>
      </c>
      <c r="H104" s="177">
        <v>0</v>
      </c>
      <c r="I104" s="174">
        <v>400000</v>
      </c>
      <c r="J104" s="177">
        <v>0</v>
      </c>
      <c r="K104" s="177">
        <f t="shared" si="32"/>
        <v>0</v>
      </c>
      <c r="L104" s="164">
        <f t="shared" si="36"/>
        <v>0</v>
      </c>
      <c r="M104" s="164">
        <f t="shared" si="33"/>
        <v>30045.112781954886</v>
      </c>
      <c r="N104" s="179">
        <f t="shared" si="29"/>
        <v>0</v>
      </c>
      <c r="O104" s="172" t="e">
        <f t="shared" si="30"/>
        <v>#DIV/0!</v>
      </c>
      <c r="Q104" s="40"/>
      <c r="S104" s="39"/>
      <c r="T104" s="149"/>
      <c r="AB104"/>
      <c r="AC104"/>
      <c r="AD104"/>
    </row>
    <row r="105" spans="1:30" x14ac:dyDescent="0.25">
      <c r="A105" s="163">
        <f>A104+1</f>
        <v>74</v>
      </c>
      <c r="B105" s="177">
        <v>0</v>
      </c>
      <c r="C105" s="227">
        <f t="shared" si="35"/>
        <v>7.020000000000004E-2</v>
      </c>
      <c r="D105" s="227">
        <f t="shared" si="34"/>
        <v>0</v>
      </c>
      <c r="E105" s="228" t="e">
        <f t="shared" si="31"/>
        <v>#DIV/0!</v>
      </c>
      <c r="F105" s="177">
        <f t="shared" si="28"/>
        <v>-1.7999999999999998E-4</v>
      </c>
      <c r="G105" s="177">
        <v>50000</v>
      </c>
      <c r="H105" s="177">
        <v>0</v>
      </c>
      <c r="I105" s="174">
        <v>400000</v>
      </c>
      <c r="J105" s="177">
        <v>0</v>
      </c>
      <c r="K105" s="177">
        <f t="shared" si="32"/>
        <v>0</v>
      </c>
      <c r="L105" s="164">
        <f t="shared" si="36"/>
        <v>0</v>
      </c>
      <c r="M105" s="164">
        <f t="shared" si="33"/>
        <v>30045.112781954886</v>
      </c>
      <c r="N105" s="179">
        <f t="shared" si="29"/>
        <v>0</v>
      </c>
      <c r="O105" s="172" t="e">
        <f t="shared" si="30"/>
        <v>#DIV/0!</v>
      </c>
      <c r="S105" s="39"/>
      <c r="T105" s="149"/>
      <c r="AB105"/>
      <c r="AC105"/>
      <c r="AD105"/>
    </row>
    <row r="106" spans="1:30" x14ac:dyDescent="0.25">
      <c r="A106" s="163">
        <f t="shared" ref="A106:A119" si="37">A105+1</f>
        <v>75</v>
      </c>
      <c r="B106" s="177">
        <v>0</v>
      </c>
      <c r="C106" s="227">
        <f t="shared" si="35"/>
        <v>7.1200000000000041E-2</v>
      </c>
      <c r="D106" s="227">
        <f t="shared" si="34"/>
        <v>0</v>
      </c>
      <c r="E106" s="228" t="e">
        <f t="shared" si="31"/>
        <v>#DIV/0!</v>
      </c>
      <c r="F106" s="177">
        <f t="shared" si="28"/>
        <v>-1.7999999999999998E-4</v>
      </c>
      <c r="G106" s="177">
        <v>50000</v>
      </c>
      <c r="H106" s="177">
        <v>0</v>
      </c>
      <c r="I106" s="174">
        <v>400000</v>
      </c>
      <c r="J106" s="177">
        <v>0</v>
      </c>
      <c r="K106" s="177">
        <f t="shared" si="32"/>
        <v>0</v>
      </c>
      <c r="L106" s="164">
        <f t="shared" si="36"/>
        <v>0</v>
      </c>
      <c r="M106" s="164">
        <f t="shared" si="33"/>
        <v>30045.112781954886</v>
      </c>
      <c r="N106" s="179">
        <f t="shared" si="29"/>
        <v>0</v>
      </c>
      <c r="O106" s="172" t="e">
        <f t="shared" si="30"/>
        <v>#DIV/0!</v>
      </c>
      <c r="Q106" s="40"/>
      <c r="S106" s="39"/>
      <c r="T106" s="149"/>
      <c r="AB106"/>
      <c r="AC106"/>
      <c r="AD106"/>
    </row>
    <row r="107" spans="1:30" x14ac:dyDescent="0.25">
      <c r="A107" s="163">
        <f t="shared" si="37"/>
        <v>76</v>
      </c>
      <c r="B107" s="177">
        <v>0</v>
      </c>
      <c r="C107" s="227">
        <f t="shared" si="35"/>
        <v>7.2200000000000042E-2</v>
      </c>
      <c r="D107" s="227">
        <f t="shared" si="34"/>
        <v>0</v>
      </c>
      <c r="E107" s="228" t="e">
        <f t="shared" si="31"/>
        <v>#DIV/0!</v>
      </c>
      <c r="F107" s="177">
        <f t="shared" si="28"/>
        <v>-1.7999999999999998E-4</v>
      </c>
      <c r="G107" s="177">
        <v>50000</v>
      </c>
      <c r="H107" s="177">
        <v>0</v>
      </c>
      <c r="I107" s="174">
        <v>400000</v>
      </c>
      <c r="J107" s="177">
        <v>0</v>
      </c>
      <c r="K107" s="177">
        <f t="shared" si="32"/>
        <v>0</v>
      </c>
      <c r="L107" s="164">
        <f t="shared" si="36"/>
        <v>0</v>
      </c>
      <c r="M107" s="164">
        <f t="shared" si="33"/>
        <v>30045.112781954886</v>
      </c>
      <c r="N107" s="179">
        <f t="shared" si="29"/>
        <v>0</v>
      </c>
      <c r="O107" s="172" t="e">
        <f t="shared" si="30"/>
        <v>#DIV/0!</v>
      </c>
      <c r="Q107" s="40"/>
      <c r="S107" s="39"/>
      <c r="T107" s="149"/>
      <c r="AB107"/>
      <c r="AC107"/>
      <c r="AD107"/>
    </row>
    <row r="108" spans="1:30" x14ac:dyDescent="0.25">
      <c r="A108" s="163">
        <f t="shared" si="37"/>
        <v>77</v>
      </c>
      <c r="B108" s="177">
        <v>0</v>
      </c>
      <c r="C108" s="227">
        <f t="shared" si="35"/>
        <v>7.3200000000000043E-2</v>
      </c>
      <c r="D108" s="227">
        <f t="shared" si="34"/>
        <v>0</v>
      </c>
      <c r="E108" s="228" t="e">
        <f t="shared" si="31"/>
        <v>#DIV/0!</v>
      </c>
      <c r="F108" s="177">
        <f t="shared" si="28"/>
        <v>-1.7999999999999998E-4</v>
      </c>
      <c r="G108" s="177">
        <v>50000</v>
      </c>
      <c r="H108" s="177">
        <v>0</v>
      </c>
      <c r="I108" s="174">
        <v>400000</v>
      </c>
      <c r="J108" s="177">
        <v>0</v>
      </c>
      <c r="K108" s="177">
        <f t="shared" si="32"/>
        <v>0</v>
      </c>
      <c r="L108" s="164">
        <f t="shared" si="36"/>
        <v>0</v>
      </c>
      <c r="M108" s="164">
        <f t="shared" si="33"/>
        <v>30045.112781954886</v>
      </c>
      <c r="N108" s="179">
        <f t="shared" si="29"/>
        <v>0</v>
      </c>
      <c r="O108" s="172" t="e">
        <f t="shared" si="30"/>
        <v>#DIV/0!</v>
      </c>
      <c r="S108" s="39"/>
      <c r="T108" s="149"/>
      <c r="AB108"/>
      <c r="AC108"/>
      <c r="AD108"/>
    </row>
    <row r="109" spans="1:30" x14ac:dyDescent="0.25">
      <c r="A109" s="163">
        <f t="shared" si="37"/>
        <v>78</v>
      </c>
      <c r="B109" s="177">
        <v>0</v>
      </c>
      <c r="C109" s="227">
        <f t="shared" si="35"/>
        <v>7.4200000000000044E-2</v>
      </c>
      <c r="D109" s="227">
        <f t="shared" si="34"/>
        <v>0</v>
      </c>
      <c r="E109" s="228" t="e">
        <f t="shared" si="31"/>
        <v>#DIV/0!</v>
      </c>
      <c r="F109" s="177">
        <f t="shared" si="28"/>
        <v>-1.7999999999999998E-4</v>
      </c>
      <c r="G109" s="177">
        <v>50000</v>
      </c>
      <c r="H109" s="177">
        <v>0</v>
      </c>
      <c r="I109" s="174">
        <v>400000</v>
      </c>
      <c r="J109" s="177">
        <v>0</v>
      </c>
      <c r="K109" s="177">
        <f t="shared" si="32"/>
        <v>0</v>
      </c>
      <c r="L109" s="164">
        <f t="shared" si="36"/>
        <v>0</v>
      </c>
      <c r="M109" s="164">
        <f t="shared" si="33"/>
        <v>30045.112781954886</v>
      </c>
      <c r="N109" s="179">
        <f t="shared" si="29"/>
        <v>0</v>
      </c>
      <c r="O109" s="172" t="e">
        <f t="shared" si="30"/>
        <v>#DIV/0!</v>
      </c>
      <c r="Q109" s="40"/>
      <c r="S109" s="39"/>
      <c r="T109" s="149"/>
      <c r="AB109"/>
      <c r="AC109"/>
      <c r="AD109"/>
    </row>
    <row r="110" spans="1:30" x14ac:dyDescent="0.25">
      <c r="A110" s="163">
        <f>A109+1</f>
        <v>79</v>
      </c>
      <c r="B110" s="177">
        <v>0</v>
      </c>
      <c r="C110" s="227">
        <f t="shared" si="35"/>
        <v>7.5200000000000045E-2</v>
      </c>
      <c r="D110" s="227">
        <f t="shared" si="34"/>
        <v>0</v>
      </c>
      <c r="E110" s="228" t="e">
        <f t="shared" si="31"/>
        <v>#DIV/0!</v>
      </c>
      <c r="F110" s="177">
        <f t="shared" si="28"/>
        <v>-1.7999999999999998E-4</v>
      </c>
      <c r="G110" s="177">
        <v>50000</v>
      </c>
      <c r="H110" s="177">
        <v>0</v>
      </c>
      <c r="I110" s="174">
        <v>400000</v>
      </c>
      <c r="J110" s="177">
        <v>0</v>
      </c>
      <c r="K110" s="177">
        <f t="shared" si="32"/>
        <v>0</v>
      </c>
      <c r="L110" s="164">
        <f t="shared" si="36"/>
        <v>0</v>
      </c>
      <c r="M110" s="164">
        <f t="shared" si="33"/>
        <v>30045.112781954886</v>
      </c>
      <c r="N110" s="179">
        <f t="shared" si="29"/>
        <v>0</v>
      </c>
      <c r="O110" s="172" t="e">
        <f t="shared" si="30"/>
        <v>#DIV/0!</v>
      </c>
      <c r="S110" s="39"/>
      <c r="T110" s="149"/>
      <c r="AB110"/>
      <c r="AC110"/>
      <c r="AD110"/>
    </row>
    <row r="111" spans="1:30" x14ac:dyDescent="0.25">
      <c r="A111" s="163">
        <f t="shared" si="37"/>
        <v>80</v>
      </c>
      <c r="B111" s="177">
        <v>0</v>
      </c>
      <c r="C111" s="227">
        <f t="shared" si="35"/>
        <v>7.6200000000000045E-2</v>
      </c>
      <c r="D111" s="227">
        <f t="shared" si="34"/>
        <v>0</v>
      </c>
      <c r="E111" s="228" t="e">
        <f t="shared" si="31"/>
        <v>#DIV/0!</v>
      </c>
      <c r="F111" s="177">
        <f t="shared" si="28"/>
        <v>-1.7999999999999998E-4</v>
      </c>
      <c r="G111" s="177">
        <v>50000</v>
      </c>
      <c r="H111" s="177">
        <v>0</v>
      </c>
      <c r="I111" s="174">
        <v>400000</v>
      </c>
      <c r="J111" s="177">
        <v>0</v>
      </c>
      <c r="K111" s="177">
        <f t="shared" si="32"/>
        <v>0</v>
      </c>
      <c r="L111" s="164">
        <f t="shared" si="36"/>
        <v>0</v>
      </c>
      <c r="M111" s="164">
        <f t="shared" si="33"/>
        <v>30045.112781954886</v>
      </c>
      <c r="N111" s="179">
        <f t="shared" si="29"/>
        <v>0</v>
      </c>
      <c r="O111" s="172" t="e">
        <f t="shared" si="30"/>
        <v>#DIV/0!</v>
      </c>
      <c r="Q111" s="40"/>
      <c r="S111" s="39"/>
      <c r="T111" s="149"/>
      <c r="AB111"/>
      <c r="AC111"/>
      <c r="AD111"/>
    </row>
    <row r="112" spans="1:30" x14ac:dyDescent="0.25">
      <c r="A112" s="163">
        <f t="shared" si="37"/>
        <v>81</v>
      </c>
      <c r="B112" s="177">
        <v>0</v>
      </c>
      <c r="C112" s="227">
        <f t="shared" si="35"/>
        <v>7.7200000000000046E-2</v>
      </c>
      <c r="D112" s="227">
        <f t="shared" si="34"/>
        <v>0</v>
      </c>
      <c r="E112" s="228" t="e">
        <f t="shared" si="31"/>
        <v>#DIV/0!</v>
      </c>
      <c r="F112" s="177">
        <f t="shared" si="28"/>
        <v>-1.7999999999999998E-4</v>
      </c>
      <c r="G112" s="177">
        <v>50000</v>
      </c>
      <c r="H112" s="177">
        <v>0</v>
      </c>
      <c r="I112" s="174">
        <v>400000</v>
      </c>
      <c r="J112" s="177">
        <v>0</v>
      </c>
      <c r="K112" s="177">
        <f t="shared" si="32"/>
        <v>0</v>
      </c>
      <c r="L112" s="164">
        <f t="shared" si="36"/>
        <v>0</v>
      </c>
      <c r="M112" s="164">
        <f t="shared" si="33"/>
        <v>30045.112781954886</v>
      </c>
      <c r="N112" s="179">
        <f t="shared" si="29"/>
        <v>0</v>
      </c>
      <c r="O112" s="172" t="e">
        <f t="shared" si="30"/>
        <v>#DIV/0!</v>
      </c>
      <c r="Q112" s="40"/>
      <c r="S112" s="39"/>
      <c r="T112" s="149"/>
      <c r="AB112"/>
      <c r="AC112"/>
      <c r="AD112"/>
    </row>
    <row r="113" spans="1:30" x14ac:dyDescent="0.25">
      <c r="A113" s="163">
        <f t="shared" si="37"/>
        <v>82</v>
      </c>
      <c r="B113" s="177">
        <v>0</v>
      </c>
      <c r="C113" s="227">
        <f t="shared" si="35"/>
        <v>7.8200000000000047E-2</v>
      </c>
      <c r="D113" s="227">
        <f t="shared" si="34"/>
        <v>0</v>
      </c>
      <c r="E113" s="228" t="e">
        <f t="shared" si="31"/>
        <v>#DIV/0!</v>
      </c>
      <c r="F113" s="177">
        <f t="shared" si="28"/>
        <v>-1.7999999999999998E-4</v>
      </c>
      <c r="G113" s="177">
        <v>50000</v>
      </c>
      <c r="H113" s="177">
        <v>0</v>
      </c>
      <c r="I113" s="174">
        <v>400000</v>
      </c>
      <c r="J113" s="177">
        <v>0</v>
      </c>
      <c r="K113" s="177">
        <f t="shared" si="32"/>
        <v>0</v>
      </c>
      <c r="L113" s="164">
        <f t="shared" si="36"/>
        <v>0</v>
      </c>
      <c r="M113" s="164">
        <f t="shared" si="33"/>
        <v>30045.112781954886</v>
      </c>
      <c r="N113" s="179">
        <f t="shared" si="29"/>
        <v>0</v>
      </c>
      <c r="O113" s="172" t="e">
        <f t="shared" si="30"/>
        <v>#DIV/0!</v>
      </c>
      <c r="S113" s="39"/>
      <c r="T113" s="149"/>
      <c r="AB113"/>
      <c r="AC113"/>
      <c r="AD113"/>
    </row>
    <row r="114" spans="1:30" x14ac:dyDescent="0.25">
      <c r="A114" s="163">
        <f t="shared" si="37"/>
        <v>83</v>
      </c>
      <c r="B114" s="177">
        <v>0</v>
      </c>
      <c r="C114" s="227">
        <f t="shared" si="35"/>
        <v>7.9200000000000048E-2</v>
      </c>
      <c r="D114" s="227">
        <f t="shared" si="34"/>
        <v>0</v>
      </c>
      <c r="E114" s="228" t="e">
        <f t="shared" si="31"/>
        <v>#DIV/0!</v>
      </c>
      <c r="F114" s="177">
        <f t="shared" si="28"/>
        <v>-1.7999999999999998E-4</v>
      </c>
      <c r="G114" s="177">
        <v>50000</v>
      </c>
      <c r="H114" s="177">
        <v>0</v>
      </c>
      <c r="I114" s="174">
        <v>400000</v>
      </c>
      <c r="J114" s="177">
        <v>0</v>
      </c>
      <c r="K114" s="177">
        <f t="shared" si="32"/>
        <v>0</v>
      </c>
      <c r="L114" s="164">
        <f t="shared" si="36"/>
        <v>0</v>
      </c>
      <c r="M114" s="164">
        <f t="shared" si="33"/>
        <v>30045.112781954886</v>
      </c>
      <c r="N114" s="179">
        <f t="shared" si="29"/>
        <v>0</v>
      </c>
      <c r="O114" s="172" t="e">
        <f t="shared" si="30"/>
        <v>#DIV/0!</v>
      </c>
      <c r="Q114" s="40"/>
      <c r="S114" s="39"/>
      <c r="T114" s="149"/>
      <c r="AB114"/>
      <c r="AC114"/>
      <c r="AD114"/>
    </row>
    <row r="115" spans="1:30" x14ac:dyDescent="0.25">
      <c r="A115" s="163">
        <f>A114+1</f>
        <v>84</v>
      </c>
      <c r="B115" s="177">
        <v>0</v>
      </c>
      <c r="C115" s="227">
        <f t="shared" si="35"/>
        <v>8.0200000000000049E-2</v>
      </c>
      <c r="D115" s="227">
        <f t="shared" si="34"/>
        <v>0</v>
      </c>
      <c r="E115" s="228" t="e">
        <f t="shared" si="31"/>
        <v>#DIV/0!</v>
      </c>
      <c r="F115" s="177">
        <f t="shared" si="28"/>
        <v>-1.7999999999999998E-4</v>
      </c>
      <c r="G115" s="177">
        <v>50000</v>
      </c>
      <c r="H115" s="177">
        <v>0</v>
      </c>
      <c r="I115" s="174">
        <v>400000</v>
      </c>
      <c r="J115" s="177">
        <v>0</v>
      </c>
      <c r="K115" s="177">
        <f t="shared" si="32"/>
        <v>0</v>
      </c>
      <c r="L115" s="164">
        <f t="shared" si="36"/>
        <v>0</v>
      </c>
      <c r="M115" s="164">
        <f t="shared" si="33"/>
        <v>30045.112781954886</v>
      </c>
      <c r="N115" s="179">
        <f t="shared" si="29"/>
        <v>0</v>
      </c>
      <c r="O115" s="172" t="e">
        <f t="shared" si="30"/>
        <v>#DIV/0!</v>
      </c>
      <c r="S115" s="39"/>
      <c r="T115" s="149"/>
      <c r="AB115"/>
      <c r="AC115"/>
      <c r="AD115"/>
    </row>
    <row r="116" spans="1:30" x14ac:dyDescent="0.25">
      <c r="A116" s="163">
        <f t="shared" si="37"/>
        <v>85</v>
      </c>
      <c r="B116" s="177">
        <v>0</v>
      </c>
      <c r="C116" s="227">
        <f t="shared" si="35"/>
        <v>8.120000000000005E-2</v>
      </c>
      <c r="D116" s="227">
        <f t="shared" si="34"/>
        <v>0</v>
      </c>
      <c r="E116" s="228" t="e">
        <f t="shared" si="31"/>
        <v>#DIV/0!</v>
      </c>
      <c r="F116" s="177">
        <f t="shared" si="28"/>
        <v>-1.7999999999999998E-4</v>
      </c>
      <c r="G116" s="177">
        <v>50000</v>
      </c>
      <c r="H116" s="177">
        <v>0</v>
      </c>
      <c r="I116" s="174">
        <v>400000</v>
      </c>
      <c r="J116" s="177">
        <v>0</v>
      </c>
      <c r="K116" s="177">
        <f t="shared" si="32"/>
        <v>0</v>
      </c>
      <c r="L116" s="164">
        <f t="shared" si="36"/>
        <v>0</v>
      </c>
      <c r="M116" s="164">
        <f t="shared" si="33"/>
        <v>30045.112781954886</v>
      </c>
      <c r="N116" s="179">
        <f t="shared" si="29"/>
        <v>0</v>
      </c>
      <c r="O116" s="172" t="e">
        <f t="shared" si="30"/>
        <v>#DIV/0!</v>
      </c>
      <c r="Q116" s="40"/>
      <c r="S116" s="39"/>
      <c r="T116" s="149"/>
      <c r="AB116"/>
      <c r="AC116"/>
      <c r="AD116"/>
    </row>
    <row r="117" spans="1:30" x14ac:dyDescent="0.25">
      <c r="A117" s="163">
        <f t="shared" si="37"/>
        <v>86</v>
      </c>
      <c r="B117" s="177">
        <v>0</v>
      </c>
      <c r="C117" s="227">
        <f t="shared" si="35"/>
        <v>8.2200000000000051E-2</v>
      </c>
      <c r="D117" s="227">
        <f t="shared" si="34"/>
        <v>0</v>
      </c>
      <c r="E117" s="228" t="e">
        <f t="shared" si="31"/>
        <v>#DIV/0!</v>
      </c>
      <c r="F117" s="177">
        <f t="shared" si="28"/>
        <v>-1.7999999999999998E-4</v>
      </c>
      <c r="G117" s="177">
        <v>50000</v>
      </c>
      <c r="H117" s="177">
        <v>0</v>
      </c>
      <c r="I117" s="174">
        <v>400000</v>
      </c>
      <c r="J117" s="177">
        <v>0</v>
      </c>
      <c r="K117" s="177">
        <f t="shared" si="32"/>
        <v>0</v>
      </c>
      <c r="L117" s="164">
        <f t="shared" si="36"/>
        <v>0</v>
      </c>
      <c r="M117" s="164">
        <f t="shared" si="33"/>
        <v>30045.112781954886</v>
      </c>
      <c r="N117" s="179">
        <f t="shared" si="29"/>
        <v>0</v>
      </c>
      <c r="O117" s="172" t="e">
        <f t="shared" si="30"/>
        <v>#DIV/0!</v>
      </c>
      <c r="Q117" s="40"/>
      <c r="S117" s="39"/>
      <c r="T117" s="149"/>
      <c r="AB117"/>
      <c r="AC117"/>
      <c r="AD117"/>
    </row>
    <row r="118" spans="1:30" x14ac:dyDescent="0.25">
      <c r="A118" s="163">
        <f t="shared" si="37"/>
        <v>87</v>
      </c>
      <c r="B118" s="177">
        <v>0</v>
      </c>
      <c r="C118" s="227">
        <f t="shared" si="35"/>
        <v>8.3200000000000052E-2</v>
      </c>
      <c r="D118" s="227">
        <f t="shared" si="34"/>
        <v>0</v>
      </c>
      <c r="E118" s="228" t="e">
        <f t="shared" si="31"/>
        <v>#DIV/0!</v>
      </c>
      <c r="F118" s="177">
        <f t="shared" si="28"/>
        <v>-1.7999999999999998E-4</v>
      </c>
      <c r="G118" s="177">
        <v>50000</v>
      </c>
      <c r="H118" s="177">
        <v>0</v>
      </c>
      <c r="I118" s="174">
        <v>400000</v>
      </c>
      <c r="J118" s="177">
        <v>0</v>
      </c>
      <c r="K118" s="177">
        <f t="shared" si="32"/>
        <v>0</v>
      </c>
      <c r="L118" s="164">
        <f t="shared" si="36"/>
        <v>0</v>
      </c>
      <c r="M118" s="164">
        <f t="shared" si="33"/>
        <v>30045.112781954886</v>
      </c>
      <c r="N118" s="179">
        <f t="shared" si="29"/>
        <v>0</v>
      </c>
      <c r="O118" s="172" t="e">
        <f t="shared" si="30"/>
        <v>#DIV/0!</v>
      </c>
      <c r="S118" s="39"/>
      <c r="T118" s="149"/>
      <c r="AB118"/>
      <c r="AC118"/>
      <c r="AD118"/>
    </row>
    <row r="119" spans="1:30" x14ac:dyDescent="0.25">
      <c r="A119" s="163">
        <f t="shared" si="37"/>
        <v>88</v>
      </c>
      <c r="B119" s="177">
        <v>0</v>
      </c>
      <c r="C119" s="227">
        <f t="shared" si="35"/>
        <v>8.4200000000000053E-2</v>
      </c>
      <c r="D119" s="227">
        <f t="shared" si="34"/>
        <v>0</v>
      </c>
      <c r="E119" s="228" t="e">
        <f t="shared" si="31"/>
        <v>#DIV/0!</v>
      </c>
      <c r="F119" s="177">
        <f t="shared" si="28"/>
        <v>-1.7999999999999998E-4</v>
      </c>
      <c r="G119" s="177">
        <v>50000</v>
      </c>
      <c r="H119" s="177">
        <v>0</v>
      </c>
      <c r="I119" s="174">
        <v>400000</v>
      </c>
      <c r="J119" s="177">
        <v>0</v>
      </c>
      <c r="K119" s="177">
        <f t="shared" si="32"/>
        <v>0</v>
      </c>
      <c r="L119" s="164">
        <f t="shared" si="36"/>
        <v>0</v>
      </c>
      <c r="M119" s="164">
        <f t="shared" si="33"/>
        <v>30045.112781954886</v>
      </c>
      <c r="N119" s="179">
        <f t="shared" si="29"/>
        <v>0</v>
      </c>
      <c r="O119" s="172" t="e">
        <f t="shared" si="30"/>
        <v>#DIV/0!</v>
      </c>
      <c r="Q119" s="40"/>
      <c r="S119" s="39"/>
      <c r="T119" s="149"/>
      <c r="AB119"/>
      <c r="AC119"/>
      <c r="AD119"/>
    </row>
    <row r="120" spans="1:30" x14ac:dyDescent="0.25">
      <c r="A120" s="163">
        <f>A119+1</f>
        <v>89</v>
      </c>
      <c r="B120" s="177">
        <v>0</v>
      </c>
      <c r="C120" s="227">
        <f t="shared" si="35"/>
        <v>8.5200000000000053E-2</v>
      </c>
      <c r="D120" s="227">
        <f t="shared" si="34"/>
        <v>0</v>
      </c>
      <c r="E120" s="228" t="e">
        <f t="shared" si="31"/>
        <v>#DIV/0!</v>
      </c>
      <c r="F120" s="177">
        <f t="shared" si="28"/>
        <v>-1.7999999999999998E-4</v>
      </c>
      <c r="G120" s="177">
        <v>50000</v>
      </c>
      <c r="H120" s="177">
        <v>0</v>
      </c>
      <c r="I120" s="174">
        <v>400000</v>
      </c>
      <c r="J120" s="177">
        <v>0</v>
      </c>
      <c r="K120" s="177">
        <f t="shared" si="32"/>
        <v>0</v>
      </c>
      <c r="L120" s="164">
        <f t="shared" si="36"/>
        <v>0</v>
      </c>
      <c r="M120" s="164">
        <f t="shared" si="33"/>
        <v>30045.112781954886</v>
      </c>
      <c r="N120" s="179">
        <f t="shared" si="29"/>
        <v>0</v>
      </c>
      <c r="O120" s="172" t="e">
        <f t="shared" si="30"/>
        <v>#DIV/0!</v>
      </c>
      <c r="S120" s="39"/>
      <c r="T120" s="149"/>
      <c r="AB120"/>
      <c r="AC120"/>
      <c r="AD120"/>
    </row>
    <row r="121" spans="1:30" x14ac:dyDescent="0.25">
      <c r="A121" s="163">
        <f t="shared" ref="A121:A131" si="38">A120+1</f>
        <v>90</v>
      </c>
      <c r="B121" s="177">
        <v>0</v>
      </c>
      <c r="C121" s="227">
        <f t="shared" si="35"/>
        <v>8.6200000000000054E-2</v>
      </c>
      <c r="D121" s="227">
        <f t="shared" si="34"/>
        <v>0</v>
      </c>
      <c r="E121" s="228" t="e">
        <f t="shared" si="31"/>
        <v>#DIV/0!</v>
      </c>
      <c r="F121" s="177">
        <f t="shared" si="28"/>
        <v>-1.7999999999999998E-4</v>
      </c>
      <c r="G121" s="177">
        <v>50000</v>
      </c>
      <c r="H121" s="177">
        <v>0</v>
      </c>
      <c r="I121" s="174">
        <v>400000</v>
      </c>
      <c r="J121" s="177">
        <v>0</v>
      </c>
      <c r="K121" s="177">
        <f t="shared" si="32"/>
        <v>0</v>
      </c>
      <c r="L121" s="164">
        <f t="shared" si="36"/>
        <v>0</v>
      </c>
      <c r="M121" s="164">
        <f t="shared" si="33"/>
        <v>30045.112781954886</v>
      </c>
      <c r="N121" s="179">
        <f t="shared" si="29"/>
        <v>0</v>
      </c>
      <c r="O121" s="172" t="e">
        <f t="shared" si="30"/>
        <v>#DIV/0!</v>
      </c>
      <c r="Q121" s="40"/>
      <c r="S121" s="39"/>
      <c r="T121" s="149"/>
      <c r="AB121"/>
      <c r="AC121"/>
      <c r="AD121"/>
    </row>
    <row r="122" spans="1:30" x14ac:dyDescent="0.25">
      <c r="A122" s="163">
        <f t="shared" si="38"/>
        <v>91</v>
      </c>
      <c r="B122" s="177">
        <v>0</v>
      </c>
      <c r="C122" s="227">
        <f t="shared" si="35"/>
        <v>8.7200000000000055E-2</v>
      </c>
      <c r="D122" s="227">
        <f t="shared" si="34"/>
        <v>0</v>
      </c>
      <c r="E122" s="228" t="e">
        <f t="shared" si="31"/>
        <v>#DIV/0!</v>
      </c>
      <c r="F122" s="177">
        <f t="shared" si="28"/>
        <v>-1.7999999999999998E-4</v>
      </c>
      <c r="G122" s="177">
        <v>50000</v>
      </c>
      <c r="H122" s="177">
        <v>0</v>
      </c>
      <c r="I122" s="174">
        <v>400000</v>
      </c>
      <c r="J122" s="177">
        <v>0</v>
      </c>
      <c r="K122" s="177">
        <f t="shared" si="32"/>
        <v>0</v>
      </c>
      <c r="L122" s="164">
        <f t="shared" si="36"/>
        <v>0</v>
      </c>
      <c r="M122" s="164">
        <f t="shared" si="33"/>
        <v>30045.112781954886</v>
      </c>
      <c r="N122" s="179">
        <f t="shared" si="29"/>
        <v>0</v>
      </c>
      <c r="O122" s="172" t="e">
        <f t="shared" si="30"/>
        <v>#DIV/0!</v>
      </c>
      <c r="Q122" s="40"/>
      <c r="S122" s="39"/>
      <c r="T122" s="149"/>
      <c r="AB122"/>
      <c r="AC122"/>
      <c r="AD122"/>
    </row>
    <row r="123" spans="1:30" x14ac:dyDescent="0.25">
      <c r="A123" s="163">
        <f t="shared" si="38"/>
        <v>92</v>
      </c>
      <c r="B123" s="177">
        <v>0</v>
      </c>
      <c r="C123" s="227">
        <f>C122+0.0005</f>
        <v>8.7700000000000056E-2</v>
      </c>
      <c r="D123" s="227">
        <f t="shared" si="34"/>
        <v>0</v>
      </c>
      <c r="E123" s="228" t="e">
        <f t="shared" si="31"/>
        <v>#DIV/0!</v>
      </c>
      <c r="F123" s="177">
        <f t="shared" si="28"/>
        <v>-1.7999999999999998E-4</v>
      </c>
      <c r="G123" s="177">
        <v>50000</v>
      </c>
      <c r="H123" s="177">
        <v>0</v>
      </c>
      <c r="I123" s="174">
        <v>400000</v>
      </c>
      <c r="J123" s="177">
        <v>0</v>
      </c>
      <c r="K123" s="177">
        <f t="shared" si="32"/>
        <v>0</v>
      </c>
      <c r="L123" s="164">
        <f t="shared" si="36"/>
        <v>0</v>
      </c>
      <c r="M123" s="164">
        <f t="shared" si="33"/>
        <v>30045.112781954886</v>
      </c>
      <c r="N123" s="179">
        <f t="shared" si="29"/>
        <v>0</v>
      </c>
      <c r="O123" s="172" t="e">
        <f t="shared" si="30"/>
        <v>#DIV/0!</v>
      </c>
      <c r="S123" s="39"/>
      <c r="T123" s="149"/>
      <c r="AB123"/>
      <c r="AC123"/>
      <c r="AD123"/>
    </row>
    <row r="124" spans="1:30" x14ac:dyDescent="0.25">
      <c r="A124" s="163">
        <f t="shared" si="38"/>
        <v>93</v>
      </c>
      <c r="B124" s="177">
        <v>0</v>
      </c>
      <c r="C124" s="227">
        <f t="shared" ref="C124:C131" si="39">C123+0.0005</f>
        <v>8.8200000000000056E-2</v>
      </c>
      <c r="D124" s="227">
        <f t="shared" si="34"/>
        <v>0</v>
      </c>
      <c r="E124" s="228" t="e">
        <f t="shared" si="31"/>
        <v>#DIV/0!</v>
      </c>
      <c r="F124" s="177">
        <f t="shared" si="28"/>
        <v>-1.7999999999999998E-4</v>
      </c>
      <c r="G124" s="177">
        <v>50000</v>
      </c>
      <c r="H124" s="177">
        <v>0</v>
      </c>
      <c r="I124" s="174">
        <v>400000</v>
      </c>
      <c r="J124" s="177">
        <v>0</v>
      </c>
      <c r="K124" s="177">
        <f t="shared" si="32"/>
        <v>0</v>
      </c>
      <c r="L124" s="164">
        <f t="shared" si="36"/>
        <v>0</v>
      </c>
      <c r="M124" s="164">
        <f t="shared" si="33"/>
        <v>30045.112781954886</v>
      </c>
      <c r="N124" s="179">
        <f t="shared" si="29"/>
        <v>0</v>
      </c>
      <c r="O124" s="172" t="e">
        <f t="shared" si="30"/>
        <v>#DIV/0!</v>
      </c>
      <c r="Q124" s="40"/>
      <c r="S124" s="39"/>
      <c r="T124" s="149"/>
      <c r="AB124"/>
      <c r="AC124"/>
      <c r="AD124"/>
    </row>
    <row r="125" spans="1:30" x14ac:dyDescent="0.25">
      <c r="A125" s="163">
        <f>A124+1</f>
        <v>94</v>
      </c>
      <c r="B125" s="177">
        <v>0</v>
      </c>
      <c r="C125" s="227">
        <f t="shared" si="39"/>
        <v>8.8700000000000057E-2</v>
      </c>
      <c r="D125" s="227">
        <f t="shared" si="34"/>
        <v>0</v>
      </c>
      <c r="E125" s="228" t="e">
        <f t="shared" si="31"/>
        <v>#DIV/0!</v>
      </c>
      <c r="F125" s="177">
        <f t="shared" si="28"/>
        <v>-1.7999999999999998E-4</v>
      </c>
      <c r="G125" s="177">
        <v>50000</v>
      </c>
      <c r="H125" s="177">
        <v>0</v>
      </c>
      <c r="I125" s="174">
        <v>400000</v>
      </c>
      <c r="J125" s="177">
        <v>0</v>
      </c>
      <c r="K125" s="177">
        <f t="shared" si="32"/>
        <v>0</v>
      </c>
      <c r="L125" s="164">
        <f t="shared" si="36"/>
        <v>0</v>
      </c>
      <c r="M125" s="164">
        <f t="shared" si="33"/>
        <v>30045.112781954886</v>
      </c>
      <c r="N125" s="179">
        <f t="shared" si="29"/>
        <v>0</v>
      </c>
      <c r="O125" s="172" t="e">
        <f t="shared" si="30"/>
        <v>#DIV/0!</v>
      </c>
      <c r="S125" s="39"/>
      <c r="T125" s="149"/>
      <c r="AB125"/>
      <c r="AC125"/>
      <c r="AD125"/>
    </row>
    <row r="126" spans="1:30" x14ac:dyDescent="0.25">
      <c r="A126" s="163">
        <f t="shared" si="38"/>
        <v>95</v>
      </c>
      <c r="B126" s="177">
        <v>0</v>
      </c>
      <c r="C126" s="227">
        <f t="shared" si="39"/>
        <v>8.9200000000000057E-2</v>
      </c>
      <c r="D126" s="227">
        <f t="shared" si="34"/>
        <v>0</v>
      </c>
      <c r="E126" s="228" t="e">
        <f t="shared" si="31"/>
        <v>#DIV/0!</v>
      </c>
      <c r="F126" s="177">
        <f t="shared" si="28"/>
        <v>-1.7999999999999998E-4</v>
      </c>
      <c r="G126" s="177">
        <v>50000</v>
      </c>
      <c r="H126" s="177">
        <v>0</v>
      </c>
      <c r="I126" s="174">
        <v>400000</v>
      </c>
      <c r="J126" s="177">
        <v>0</v>
      </c>
      <c r="K126" s="177">
        <f t="shared" si="32"/>
        <v>0</v>
      </c>
      <c r="L126" s="164">
        <f t="shared" si="36"/>
        <v>0</v>
      </c>
      <c r="M126" s="164">
        <f t="shared" si="33"/>
        <v>30045.112781954886</v>
      </c>
      <c r="N126" s="179">
        <f t="shared" si="29"/>
        <v>0</v>
      </c>
      <c r="O126" s="172" t="e">
        <f t="shared" si="30"/>
        <v>#DIV/0!</v>
      </c>
      <c r="Q126" s="40"/>
      <c r="S126" s="39"/>
      <c r="T126" s="149"/>
      <c r="AB126"/>
      <c r="AC126"/>
      <c r="AD126"/>
    </row>
    <row r="127" spans="1:30" x14ac:dyDescent="0.25">
      <c r="A127" s="163">
        <f t="shared" si="38"/>
        <v>96</v>
      </c>
      <c r="B127" s="177">
        <v>0</v>
      </c>
      <c r="C127" s="227">
        <f t="shared" si="39"/>
        <v>8.9700000000000057E-2</v>
      </c>
      <c r="D127" s="227">
        <f t="shared" si="34"/>
        <v>0</v>
      </c>
      <c r="E127" s="228" t="e">
        <f t="shared" si="31"/>
        <v>#DIV/0!</v>
      </c>
      <c r="F127" s="177">
        <f t="shared" si="28"/>
        <v>-1.7999999999999998E-4</v>
      </c>
      <c r="G127" s="177">
        <v>50000</v>
      </c>
      <c r="H127" s="177">
        <v>0</v>
      </c>
      <c r="I127" s="174">
        <v>400000</v>
      </c>
      <c r="J127" s="177">
        <v>0</v>
      </c>
      <c r="K127" s="177">
        <f t="shared" si="32"/>
        <v>0</v>
      </c>
      <c r="L127" s="164">
        <f t="shared" si="36"/>
        <v>0</v>
      </c>
      <c r="M127" s="164">
        <f t="shared" si="33"/>
        <v>30045.112781954886</v>
      </c>
      <c r="N127" s="179">
        <f t="shared" si="29"/>
        <v>0</v>
      </c>
      <c r="O127" s="172" t="e">
        <f t="shared" si="30"/>
        <v>#DIV/0!</v>
      </c>
      <c r="Q127" s="40"/>
      <c r="S127" s="39"/>
      <c r="T127" s="149"/>
      <c r="AB127"/>
      <c r="AC127"/>
      <c r="AD127"/>
    </row>
    <row r="128" spans="1:30" x14ac:dyDescent="0.25">
      <c r="A128" s="163">
        <f t="shared" si="38"/>
        <v>97</v>
      </c>
      <c r="B128" s="177">
        <v>0</v>
      </c>
      <c r="C128" s="227">
        <f t="shared" si="39"/>
        <v>9.0200000000000058E-2</v>
      </c>
      <c r="D128" s="227">
        <f t="shared" si="34"/>
        <v>0</v>
      </c>
      <c r="E128" s="228" t="e">
        <f t="shared" si="31"/>
        <v>#DIV/0!</v>
      </c>
      <c r="F128" s="177">
        <f t="shared" si="28"/>
        <v>-1.7999999999999998E-4</v>
      </c>
      <c r="G128" s="177">
        <v>50000</v>
      </c>
      <c r="H128" s="177">
        <v>0</v>
      </c>
      <c r="I128" s="174">
        <v>400000</v>
      </c>
      <c r="J128" s="177">
        <v>0</v>
      </c>
      <c r="K128" s="177">
        <f t="shared" si="32"/>
        <v>0</v>
      </c>
      <c r="L128" s="164">
        <f t="shared" si="36"/>
        <v>0</v>
      </c>
      <c r="M128" s="164">
        <f t="shared" si="33"/>
        <v>30045.112781954886</v>
      </c>
      <c r="N128" s="179">
        <f t="shared" ref="N128:N131" si="40">L128/M128</f>
        <v>0</v>
      </c>
      <c r="O128" s="172" t="e">
        <f t="shared" ref="O128:O131" si="41">J128/N128</f>
        <v>#DIV/0!</v>
      </c>
      <c r="S128" s="39"/>
      <c r="T128" s="149"/>
      <c r="AB128"/>
      <c r="AC128"/>
      <c r="AD128"/>
    </row>
    <row r="129" spans="1:30" x14ac:dyDescent="0.25">
      <c r="A129" s="163">
        <f t="shared" si="38"/>
        <v>98</v>
      </c>
      <c r="B129" s="177">
        <v>0</v>
      </c>
      <c r="C129" s="227">
        <f t="shared" si="39"/>
        <v>9.0700000000000058E-2</v>
      </c>
      <c r="D129" s="227">
        <f t="shared" si="34"/>
        <v>0</v>
      </c>
      <c r="E129" s="228" t="e">
        <f t="shared" si="31"/>
        <v>#DIV/0!</v>
      </c>
      <c r="F129" s="177">
        <f t="shared" si="28"/>
        <v>-1.7999999999999998E-4</v>
      </c>
      <c r="G129" s="177">
        <v>50000</v>
      </c>
      <c r="H129" s="177">
        <v>0</v>
      </c>
      <c r="I129" s="174">
        <v>400000</v>
      </c>
      <c r="J129" s="177">
        <v>0</v>
      </c>
      <c r="K129" s="177">
        <f t="shared" si="32"/>
        <v>0</v>
      </c>
      <c r="L129" s="164">
        <f t="shared" si="36"/>
        <v>0</v>
      </c>
      <c r="M129" s="164">
        <f t="shared" si="33"/>
        <v>30045.112781954886</v>
      </c>
      <c r="N129" s="179">
        <f t="shared" si="40"/>
        <v>0</v>
      </c>
      <c r="O129" s="172" t="e">
        <f t="shared" si="41"/>
        <v>#DIV/0!</v>
      </c>
      <c r="Q129" s="40"/>
      <c r="S129" s="39"/>
      <c r="T129" s="149"/>
      <c r="AB129"/>
      <c r="AC129"/>
      <c r="AD129"/>
    </row>
    <row r="130" spans="1:30" x14ac:dyDescent="0.25">
      <c r="A130" s="163">
        <f>A129+1</f>
        <v>99</v>
      </c>
      <c r="B130" s="177">
        <v>0</v>
      </c>
      <c r="C130" s="227">
        <f t="shared" si="39"/>
        <v>9.1200000000000059E-2</v>
      </c>
      <c r="D130" s="227">
        <f t="shared" si="34"/>
        <v>0</v>
      </c>
      <c r="E130" s="228" t="e">
        <f t="shared" si="31"/>
        <v>#DIV/0!</v>
      </c>
      <c r="F130" s="177">
        <f t="shared" si="28"/>
        <v>-1.7999999999999998E-4</v>
      </c>
      <c r="G130" s="177">
        <v>50000</v>
      </c>
      <c r="H130" s="177">
        <v>0</v>
      </c>
      <c r="I130" s="174">
        <v>400000</v>
      </c>
      <c r="J130" s="177">
        <v>0</v>
      </c>
      <c r="K130" s="177">
        <f t="shared" si="32"/>
        <v>0</v>
      </c>
      <c r="L130" s="164">
        <f t="shared" si="36"/>
        <v>0</v>
      </c>
      <c r="M130" s="164">
        <f t="shared" si="33"/>
        <v>30045.112781954886</v>
      </c>
      <c r="N130" s="179">
        <f t="shared" si="40"/>
        <v>0</v>
      </c>
      <c r="O130" s="172" t="e">
        <f t="shared" si="41"/>
        <v>#DIV/0!</v>
      </c>
      <c r="S130" s="39"/>
      <c r="T130" s="149"/>
      <c r="AB130"/>
      <c r="AC130"/>
      <c r="AD130"/>
    </row>
    <row r="131" spans="1:30" x14ac:dyDescent="0.25">
      <c r="A131" s="163">
        <f t="shared" si="38"/>
        <v>100</v>
      </c>
      <c r="B131" s="177">
        <v>0</v>
      </c>
      <c r="C131" s="227">
        <f t="shared" si="39"/>
        <v>9.1700000000000059E-2</v>
      </c>
      <c r="D131" s="227">
        <f t="shared" si="34"/>
        <v>0</v>
      </c>
      <c r="E131" s="228" t="e">
        <f t="shared" si="31"/>
        <v>#DIV/0!</v>
      </c>
      <c r="F131" s="177">
        <f t="shared" si="28"/>
        <v>-1.7999999999999998E-4</v>
      </c>
      <c r="G131" s="177">
        <v>50000</v>
      </c>
      <c r="H131" s="177">
        <v>0</v>
      </c>
      <c r="I131" s="174">
        <v>400000</v>
      </c>
      <c r="J131" s="177">
        <v>0</v>
      </c>
      <c r="K131" s="177">
        <f>J131/1000</f>
        <v>0</v>
      </c>
      <c r="L131" s="164">
        <f>I131*J131</f>
        <v>0</v>
      </c>
      <c r="M131" s="164">
        <f t="shared" si="33"/>
        <v>30045.112781954886</v>
      </c>
      <c r="N131" s="179">
        <f t="shared" si="40"/>
        <v>0</v>
      </c>
      <c r="O131" s="172" t="e">
        <f t="shared" si="41"/>
        <v>#DIV/0!</v>
      </c>
      <c r="Q131" s="40"/>
      <c r="S131" s="39"/>
      <c r="T131" s="149"/>
      <c r="AB131"/>
      <c r="AC131"/>
      <c r="AD131"/>
    </row>
    <row r="132" spans="1:30" x14ac:dyDescent="0.25">
      <c r="A132" s="40"/>
      <c r="B132" s="39"/>
      <c r="C132" s="39"/>
      <c r="D132"/>
      <c r="S132" s="39"/>
      <c r="T132" s="149"/>
      <c r="AB132"/>
      <c r="AC132"/>
      <c r="AD132"/>
    </row>
    <row r="133" spans="1:30" x14ac:dyDescent="0.25">
      <c r="A133" s="26" t="s">
        <v>177</v>
      </c>
      <c r="S133" s="39"/>
      <c r="T133" s="149"/>
      <c r="AB133"/>
      <c r="AC133"/>
      <c r="AD133"/>
    </row>
    <row r="134" spans="1:30" x14ac:dyDescent="0.25">
      <c r="A134" s="163"/>
      <c r="B134" s="167" t="s">
        <v>47</v>
      </c>
      <c r="C134" s="167" t="s">
        <v>48</v>
      </c>
      <c r="D134" s="168" t="s">
        <v>49</v>
      </c>
      <c r="E134" s="168" t="s">
        <v>50</v>
      </c>
      <c r="F134" s="168" t="s">
        <v>51</v>
      </c>
      <c r="G134" s="168" t="s">
        <v>3</v>
      </c>
      <c r="H134" s="169" t="s">
        <v>52</v>
      </c>
      <c r="I134" s="164" t="s">
        <v>53</v>
      </c>
      <c r="J134" s="163" t="s">
        <v>54</v>
      </c>
      <c r="K134" s="164" t="s">
        <v>55</v>
      </c>
      <c r="L134" s="164" t="s">
        <v>56</v>
      </c>
      <c r="M134" s="164" t="s">
        <v>57</v>
      </c>
      <c r="N134" s="164" t="s">
        <v>58</v>
      </c>
      <c r="O134" s="164" t="s">
        <v>59</v>
      </c>
      <c r="P134" s="176" t="s">
        <v>60</v>
      </c>
      <c r="R134" s="27" t="s">
        <v>142</v>
      </c>
      <c r="S134" s="27" t="s">
        <v>143</v>
      </c>
      <c r="T134" s="149"/>
      <c r="AB134"/>
      <c r="AC134"/>
      <c r="AD134"/>
    </row>
    <row r="135" spans="1:30" x14ac:dyDescent="0.25">
      <c r="A135" s="163">
        <v>1</v>
      </c>
      <c r="B135" s="163">
        <v>0</v>
      </c>
      <c r="C135" s="180">
        <f>Q16-0.1</f>
        <v>-0.1</v>
      </c>
      <c r="D135" s="163">
        <f>$Q$17+0.1-(K135/2)+($P$24/2000)</f>
        <v>8.7590000000000015E-2</v>
      </c>
      <c r="E135" s="172">
        <f>P135</f>
        <v>1.6024060150375939E-6</v>
      </c>
      <c r="F135" s="163">
        <f>IF($B135,$C135,$D135)+$K135-IF($B135,$O$24/1000,$P$24/1000)</f>
        <v>0.11241000000000002</v>
      </c>
      <c r="G135" s="163">
        <v>50000</v>
      </c>
      <c r="H135" s="163">
        <f>(I135-IF(B135,$P$24,$O$24))/(IF(B135,$P$22,$O$22)-IF(B135,$P$24,$O$24))*10</f>
        <v>4.8717948717948731</v>
      </c>
      <c r="I135" s="173">
        <v>5</v>
      </c>
      <c r="J135" s="165">
        <v>600</v>
      </c>
      <c r="K135" s="163">
        <v>2.5000000000000001E-2</v>
      </c>
      <c r="L135" s="163">
        <f>I135*0.001*K135</f>
        <v>1.25E-4</v>
      </c>
      <c r="M135" s="163">
        <f>L135*J135*(0.000000001)/(1.6E-19)</f>
        <v>468750000</v>
      </c>
      <c r="N135" s="164">
        <f>MAX($D$3:$D$15)*2</f>
        <v>30045.112781954886</v>
      </c>
      <c r="O135" s="178">
        <f>M135/N135</f>
        <v>15601.53903903904</v>
      </c>
      <c r="P135" s="172">
        <f>K135/O135</f>
        <v>1.6024060150375939E-6</v>
      </c>
      <c r="R135" s="40">
        <f>SUM(O135:O142)</f>
        <v>78581.831831831849</v>
      </c>
      <c r="S135" s="63">
        <f>R135/60</f>
        <v>1309.6971971971975</v>
      </c>
      <c r="T135" s="149"/>
      <c r="AB135"/>
      <c r="AC135"/>
      <c r="AD135"/>
    </row>
    <row r="136" spans="1:30" x14ac:dyDescent="0.25">
      <c r="A136" s="163">
        <f>A135+1</f>
        <v>2</v>
      </c>
      <c r="B136" s="163">
        <v>1</v>
      </c>
      <c r="C136" s="180">
        <f>C135-(K136/2)+($O$24/2000)</f>
        <v>-0.11247</v>
      </c>
      <c r="D136" s="172">
        <f>$Q$17+0.1</f>
        <v>0.1</v>
      </c>
      <c r="E136" s="172">
        <f t="shared" ref="E136" si="42">P136</f>
        <v>1.6024060150375939E-6</v>
      </c>
      <c r="F136" s="163">
        <f>IF($B136,$C136,$D136)+$K136-IF($B136,$O$24/1000,$P$24/1000)</f>
        <v>-8.7529999999999997E-2</v>
      </c>
      <c r="G136" s="163">
        <v>50000</v>
      </c>
      <c r="H136" s="163">
        <f>(I136-IF(B136,$P$24,$O$24))/(IF(B136,$P$22,$O$22)-IF(B136,$P$24,$O$24))*10</f>
        <v>4.7628458498023711</v>
      </c>
      <c r="I136" s="173">
        <v>5</v>
      </c>
      <c r="J136" s="165">
        <v>600</v>
      </c>
      <c r="K136" s="163">
        <v>2.5000000000000001E-2</v>
      </c>
      <c r="L136" s="163">
        <f t="shared" ref="L136" si="43">I136*0.001*K136</f>
        <v>1.25E-4</v>
      </c>
      <c r="M136" s="163">
        <f t="shared" ref="M136" si="44">L136*J136*(0.000000001)/(1.6E-19)</f>
        <v>468750000</v>
      </c>
      <c r="N136" s="164">
        <f t="shared" ref="N136:N138" si="45">MAX($D$3:$D$15)*2</f>
        <v>30045.112781954886</v>
      </c>
      <c r="O136" s="178">
        <f>M136/N136</f>
        <v>15601.53903903904</v>
      </c>
      <c r="P136" s="172">
        <f>K136/O136</f>
        <v>1.6024060150375939E-6</v>
      </c>
      <c r="T136" s="149"/>
      <c r="AB136"/>
      <c r="AC136"/>
      <c r="AD136"/>
    </row>
    <row r="137" spans="1:30" x14ac:dyDescent="0.25">
      <c r="A137" s="163">
        <f>A136+1</f>
        <v>3</v>
      </c>
      <c r="B137" s="163">
        <v>0</v>
      </c>
      <c r="C137" s="180">
        <f>C75+0.1</f>
        <v>0.14120000000000002</v>
      </c>
      <c r="D137" s="163">
        <f>D135</f>
        <v>8.7590000000000015E-2</v>
      </c>
      <c r="E137" s="172">
        <f>P137</f>
        <v>1.6024060150375939E-6</v>
      </c>
      <c r="F137" s="163">
        <f>IF($B137,$C137,$D137)+$K137-IF($B137,$O$24/1000,$P$24/1000)</f>
        <v>0.11241000000000002</v>
      </c>
      <c r="G137" s="163">
        <v>50000</v>
      </c>
      <c r="H137" s="163">
        <f>(I137-IF(B137,$P$24,$O$24))/(IF(B137,$P$22,$O$22)-IF(B137,$P$24,$O$24))*10</f>
        <v>4.8717948717948731</v>
      </c>
      <c r="I137" s="173">
        <v>5</v>
      </c>
      <c r="J137" s="165">
        <v>600</v>
      </c>
      <c r="K137" s="163">
        <v>2.5000000000000001E-2</v>
      </c>
      <c r="L137" s="163">
        <f>I137*0.001*K137</f>
        <v>1.25E-4</v>
      </c>
      <c r="M137" s="163">
        <f>L137*J137*(0.000000001)/(1.6E-19)</f>
        <v>468750000</v>
      </c>
      <c r="N137" s="164">
        <f t="shared" si="45"/>
        <v>30045.112781954886</v>
      </c>
      <c r="O137" s="178">
        <f>M137/N137</f>
        <v>15601.53903903904</v>
      </c>
      <c r="P137" s="172">
        <f>K137/O137</f>
        <v>1.6024060150375939E-6</v>
      </c>
      <c r="R137" s="40"/>
      <c r="T137" s="149"/>
      <c r="AB137"/>
      <c r="AC137"/>
      <c r="AD137"/>
    </row>
    <row r="138" spans="1:30" x14ac:dyDescent="0.25">
      <c r="A138" s="163">
        <f>A137+1</f>
        <v>4</v>
      </c>
      <c r="B138" s="163">
        <v>1</v>
      </c>
      <c r="C138" s="163">
        <f>C137-(K138/2)+($O$24/2000)</f>
        <v>0.12873000000000001</v>
      </c>
      <c r="D138" s="172">
        <f>D136</f>
        <v>0.1</v>
      </c>
      <c r="E138" s="172">
        <f t="shared" ref="E138" si="46">P138</f>
        <v>1.6024060150375939E-6</v>
      </c>
      <c r="F138" s="163">
        <f>IF($B138,$C138,$D138)+$K138-IF($B138,$O$24/1000,$P$24/1000)</f>
        <v>0.15367</v>
      </c>
      <c r="G138" s="163">
        <v>50000</v>
      </c>
      <c r="H138" s="163">
        <f>(I138-IF(B138,$P$24,$O$24))/(IF(B138,$P$22,$O$22)-IF(B138,$P$24,$O$24))*10</f>
        <v>4.7628458498023711</v>
      </c>
      <c r="I138" s="173">
        <v>5</v>
      </c>
      <c r="J138" s="165">
        <v>600</v>
      </c>
      <c r="K138" s="163">
        <v>2.5000000000000001E-2</v>
      </c>
      <c r="L138" s="163">
        <f t="shared" ref="L138" si="47">I138*0.001*K138</f>
        <v>1.25E-4</v>
      </c>
      <c r="M138" s="163">
        <f t="shared" ref="M138" si="48">L138*J138*(0.000000001)/(1.6E-19)</f>
        <v>468750000</v>
      </c>
      <c r="N138" s="164">
        <f t="shared" si="45"/>
        <v>30045.112781954886</v>
      </c>
      <c r="O138" s="178">
        <f>M138/N138</f>
        <v>15601.53903903904</v>
      </c>
      <c r="P138" s="172">
        <f>K138/O138</f>
        <v>1.6024060150375939E-6</v>
      </c>
      <c r="T138" s="149"/>
      <c r="AB138"/>
      <c r="AC138"/>
      <c r="AD138"/>
    </row>
    <row r="139" spans="1:30" x14ac:dyDescent="0.25">
      <c r="A139" s="40" t="s">
        <v>188</v>
      </c>
      <c r="B139" s="39"/>
      <c r="C139" s="39"/>
      <c r="D139"/>
      <c r="T139" s="149"/>
      <c r="AB139"/>
      <c r="AC139"/>
      <c r="AD139"/>
    </row>
    <row r="140" spans="1:30" x14ac:dyDescent="0.25">
      <c r="A140" s="163"/>
      <c r="B140" s="167" t="s">
        <v>47</v>
      </c>
      <c r="C140" s="167" t="s">
        <v>48</v>
      </c>
      <c r="D140" s="168" t="s">
        <v>49</v>
      </c>
      <c r="E140" s="168" t="s">
        <v>50</v>
      </c>
      <c r="F140" s="168" t="s">
        <v>51</v>
      </c>
      <c r="G140" s="168" t="s">
        <v>3</v>
      </c>
      <c r="H140" s="169" t="s">
        <v>52</v>
      </c>
      <c r="I140" s="164" t="s">
        <v>53</v>
      </c>
      <c r="J140" s="163" t="s">
        <v>54</v>
      </c>
      <c r="K140" s="164" t="s">
        <v>55</v>
      </c>
      <c r="L140" s="164" t="s">
        <v>56</v>
      </c>
      <c r="M140" s="164" t="s">
        <v>57</v>
      </c>
      <c r="N140" s="164" t="s">
        <v>58</v>
      </c>
      <c r="O140" s="164" t="s">
        <v>59</v>
      </c>
      <c r="P140" s="176" t="s">
        <v>60</v>
      </c>
      <c r="AB140"/>
      <c r="AC140"/>
      <c r="AD140"/>
    </row>
    <row r="141" spans="1:30" x14ac:dyDescent="0.25">
      <c r="A141" s="163">
        <v>1</v>
      </c>
      <c r="B141" s="163">
        <v>1</v>
      </c>
      <c r="C141" s="180">
        <f>C29-0.001</f>
        <v>-1E-3</v>
      </c>
      <c r="D141" s="172">
        <f>D29+0.001</f>
        <v>1E-3</v>
      </c>
      <c r="E141" s="172">
        <f t="shared" ref="E141" si="49">P141</f>
        <v>5.3413533834586465E-6</v>
      </c>
      <c r="F141" s="163">
        <f>IF($B141,$C141,$D141)+$K141-IF($B141,$O$24/1000,$P$24/1000)</f>
        <v>4.2140000000000025E-2</v>
      </c>
      <c r="G141" s="163">
        <v>50000</v>
      </c>
      <c r="H141" s="163">
        <f>(I141-IF(B141,$P$24,$O$24))/(IF(B141,$P$22,$O$22)-IF(B141,$P$24,$O$24))*10</f>
        <v>1.3043478260869565</v>
      </c>
      <c r="I141" s="173">
        <v>1.5</v>
      </c>
      <c r="J141" s="165">
        <v>600</v>
      </c>
      <c r="K141" s="176">
        <f>S75+0.002</f>
        <v>4.3200000000000023E-2</v>
      </c>
      <c r="L141" s="163">
        <f t="shared" ref="L141" si="50">I141*0.001*K141</f>
        <v>6.480000000000003E-5</v>
      </c>
      <c r="M141" s="163">
        <f t="shared" ref="M141" si="51">L141*J141*(0.000000001)/(1.6E-19)</f>
        <v>243000000.00000012</v>
      </c>
      <c r="N141" s="164">
        <f t="shared" ref="N141:N142" si="52">MAX($D$3:$D$15)*2</f>
        <v>30045.112781954886</v>
      </c>
      <c r="O141" s="178">
        <f>M141/N141</f>
        <v>8087.837837837842</v>
      </c>
      <c r="P141" s="172">
        <f>K141/O141</f>
        <v>5.3413533834586465E-6</v>
      </c>
      <c r="AB141"/>
      <c r="AC141"/>
      <c r="AD141"/>
    </row>
    <row r="142" spans="1:30" x14ac:dyDescent="0.25">
      <c r="A142" s="163">
        <v>2</v>
      </c>
      <c r="B142" s="163">
        <v>1</v>
      </c>
      <c r="C142" s="180">
        <f>C29-0.001</f>
        <v>-1E-3</v>
      </c>
      <c r="D142" s="172">
        <f>F29-0.001</f>
        <v>8.8200000000000014E-3</v>
      </c>
      <c r="E142" s="172">
        <f t="shared" ref="E142" si="53">P142</f>
        <v>5.3413533834586465E-6</v>
      </c>
      <c r="F142" s="163">
        <f>IF($B142,$C142,$D142)+$K142-IF($B142,$O$24/1000,$P$24/1000)</f>
        <v>4.2140000000000025E-2</v>
      </c>
      <c r="G142" s="163">
        <v>50000</v>
      </c>
      <c r="H142" s="163">
        <f>(I142-IF(B142,$P$24,$O$24))/(IF(B142,$P$22,$O$22)-IF(B142,$P$24,$O$24))*10</f>
        <v>1.3043478260869565</v>
      </c>
      <c r="I142" s="173">
        <v>1.5</v>
      </c>
      <c r="J142" s="165">
        <v>600</v>
      </c>
      <c r="K142" s="176">
        <f>S75+0.002</f>
        <v>4.3200000000000023E-2</v>
      </c>
      <c r="L142" s="163">
        <f t="shared" ref="L142" si="54">I142*0.001*K142</f>
        <v>6.480000000000003E-5</v>
      </c>
      <c r="M142" s="163">
        <f t="shared" ref="M142" si="55">L142*J142*(0.000000001)/(1.6E-19)</f>
        <v>243000000.00000012</v>
      </c>
      <c r="N142" s="164">
        <f t="shared" si="52"/>
        <v>30045.112781954886</v>
      </c>
      <c r="O142" s="178">
        <f>M142/N142</f>
        <v>8087.837837837842</v>
      </c>
      <c r="P142" s="172">
        <f>K142/O142</f>
        <v>5.3413533834586465E-6</v>
      </c>
      <c r="AB142"/>
      <c r="AC142"/>
      <c r="AD142"/>
    </row>
    <row r="143" spans="1:30" x14ac:dyDescent="0.25">
      <c r="A143" s="40"/>
      <c r="B143" s="39"/>
      <c r="C143" s="39"/>
      <c r="D143"/>
      <c r="AB143"/>
      <c r="AC143"/>
      <c r="AD143"/>
    </row>
    <row r="144" spans="1:30" x14ac:dyDescent="0.25">
      <c r="A144" s="40"/>
      <c r="B144" s="39" t="s">
        <v>47</v>
      </c>
      <c r="C144" s="39" t="s">
        <v>48</v>
      </c>
      <c r="D144" t="s">
        <v>49</v>
      </c>
      <c r="E144" t="s">
        <v>50</v>
      </c>
      <c r="F144" t="s">
        <v>51</v>
      </c>
      <c r="G144" t="s">
        <v>3</v>
      </c>
      <c r="H144" t="s">
        <v>52</v>
      </c>
      <c r="I144" t="s">
        <v>53</v>
      </c>
      <c r="J144" t="s">
        <v>54</v>
      </c>
      <c r="K144" t="s">
        <v>55</v>
      </c>
      <c r="L144" t="s">
        <v>56</v>
      </c>
      <c r="M144" t="s">
        <v>57</v>
      </c>
      <c r="N144" t="s">
        <v>58</v>
      </c>
      <c r="O144" t="s">
        <v>59</v>
      </c>
      <c r="P144" t="s">
        <v>60</v>
      </c>
      <c r="R144" t="s">
        <v>142</v>
      </c>
      <c r="S144" t="s">
        <v>143</v>
      </c>
      <c r="AB144"/>
      <c r="AC144"/>
      <c r="AD144"/>
    </row>
    <row r="145" spans="1:30" x14ac:dyDescent="0.25">
      <c r="A145" s="40">
        <v>1</v>
      </c>
      <c r="B145" s="39">
        <v>0</v>
      </c>
      <c r="C145" s="39">
        <v>0.9</v>
      </c>
      <c r="D145">
        <v>5.9875819999999997</v>
      </c>
      <c r="E145">
        <v>9.2629664082687356E-5</v>
      </c>
      <c r="F145">
        <v>6.0124180000000003</v>
      </c>
      <c r="G145">
        <v>50000</v>
      </c>
      <c r="H145">
        <v>4.0132100824011268</v>
      </c>
      <c r="I145">
        <v>5</v>
      </c>
      <c r="J145">
        <v>600</v>
      </c>
      <c r="K145">
        <v>2.5000000000000001E-2</v>
      </c>
      <c r="L145">
        <v>1.25E-4</v>
      </c>
      <c r="M145">
        <v>468750000</v>
      </c>
      <c r="N145">
        <v>1736806.2015503878</v>
      </c>
      <c r="O145">
        <v>269.89194279797181</v>
      </c>
      <c r="P145">
        <v>9.2629664082687356E-5</v>
      </c>
      <c r="R145">
        <v>1359.3917374848036</v>
      </c>
      <c r="S145">
        <v>22.65652895808006</v>
      </c>
      <c r="AB145"/>
      <c r="AC145"/>
      <c r="AD145"/>
    </row>
    <row r="146" spans="1:30" x14ac:dyDescent="0.25">
      <c r="A146" s="40">
        <v>2</v>
      </c>
      <c r="B146" s="39">
        <v>1</v>
      </c>
      <c r="C146" s="39">
        <v>0.88752100000000012</v>
      </c>
      <c r="D146">
        <v>6</v>
      </c>
      <c r="E146">
        <v>9.2629664082687356E-5</v>
      </c>
      <c r="F146">
        <v>0.91247900000000015</v>
      </c>
      <c r="G146">
        <v>50000</v>
      </c>
      <c r="H146">
        <v>4.6867731431229647</v>
      </c>
      <c r="I146">
        <v>5</v>
      </c>
      <c r="J146">
        <v>600</v>
      </c>
      <c r="K146">
        <v>2.5000000000000001E-2</v>
      </c>
      <c r="L146">
        <v>1.25E-4</v>
      </c>
      <c r="M146">
        <v>468750000</v>
      </c>
      <c r="N146">
        <v>1736806.2015503878</v>
      </c>
      <c r="O146">
        <v>269.89194279797181</v>
      </c>
      <c r="P146">
        <v>9.2629664082687356E-5</v>
      </c>
      <c r="AB146"/>
      <c r="AC146"/>
      <c r="AD146"/>
    </row>
    <row r="147" spans="1:30" x14ac:dyDescent="0.25">
      <c r="A147" s="40">
        <v>3</v>
      </c>
      <c r="B147" s="39">
        <v>0</v>
      </c>
      <c r="C147" s="39">
        <v>1.1411999999999969</v>
      </c>
      <c r="D147">
        <v>5.9875819999999997</v>
      </c>
      <c r="E147">
        <v>9.2629664082687356E-5</v>
      </c>
      <c r="F147">
        <v>6.0124180000000003</v>
      </c>
      <c r="G147">
        <v>50000</v>
      </c>
      <c r="H147">
        <v>4.0132100824011268</v>
      </c>
      <c r="I147">
        <v>5</v>
      </c>
      <c r="J147">
        <v>600</v>
      </c>
      <c r="K147">
        <v>2.5000000000000001E-2</v>
      </c>
      <c r="L147">
        <v>1.25E-4</v>
      </c>
      <c r="M147">
        <v>468750000</v>
      </c>
      <c r="N147">
        <v>1736806.2015503878</v>
      </c>
      <c r="O147">
        <v>269.89194279797181</v>
      </c>
      <c r="P147">
        <v>9.2629664082687356E-5</v>
      </c>
      <c r="AB147"/>
      <c r="AC147"/>
      <c r="AD147"/>
    </row>
    <row r="148" spans="1:30" x14ac:dyDescent="0.25">
      <c r="A148" s="40">
        <v>4</v>
      </c>
      <c r="B148" s="39">
        <v>1</v>
      </c>
      <c r="C148" s="39">
        <v>1.128720999999997</v>
      </c>
      <c r="D148">
        <v>6</v>
      </c>
      <c r="E148">
        <v>9.2629664082687356E-5</v>
      </c>
      <c r="F148">
        <v>1.1536789999999968</v>
      </c>
      <c r="G148">
        <v>50000</v>
      </c>
      <c r="H148">
        <v>4.6867731431229647</v>
      </c>
      <c r="I148">
        <v>5</v>
      </c>
      <c r="J148">
        <v>600</v>
      </c>
      <c r="K148">
        <v>2.5000000000000001E-2</v>
      </c>
      <c r="L148">
        <v>1.25E-4</v>
      </c>
      <c r="M148">
        <v>468750000</v>
      </c>
      <c r="N148">
        <v>1736806.2015503878</v>
      </c>
      <c r="O148">
        <v>269.89194279797181</v>
      </c>
      <c r="P148">
        <v>9.2629664082687356E-5</v>
      </c>
      <c r="AB148"/>
      <c r="AC148"/>
      <c r="AD148"/>
    </row>
    <row r="149" spans="1:30" x14ac:dyDescent="0.25">
      <c r="A149" s="40" t="s">
        <v>188</v>
      </c>
      <c r="B149" s="39"/>
      <c r="C149" s="39"/>
      <c r="D149"/>
      <c r="AB149"/>
      <c r="AC149"/>
      <c r="AD149"/>
    </row>
    <row r="150" spans="1:30" x14ac:dyDescent="0.25">
      <c r="A150" s="40"/>
      <c r="B150" s="39" t="s">
        <v>47</v>
      </c>
      <c r="C150" s="39" t="s">
        <v>48</v>
      </c>
      <c r="D150" t="s">
        <v>49</v>
      </c>
      <c r="E150" t="s">
        <v>50</v>
      </c>
      <c r="F150" t="s">
        <v>51</v>
      </c>
      <c r="G150" t="s">
        <v>3</v>
      </c>
      <c r="H150" t="s">
        <v>52</v>
      </c>
      <c r="I150" t="s">
        <v>53</v>
      </c>
      <c r="J150" t="s">
        <v>54</v>
      </c>
      <c r="K150" t="s">
        <v>55</v>
      </c>
      <c r="L150" t="s">
        <v>56</v>
      </c>
      <c r="M150" t="s">
        <v>57</v>
      </c>
      <c r="N150" t="s">
        <v>58</v>
      </c>
      <c r="O150" t="s">
        <v>59</v>
      </c>
      <c r="P150" t="s">
        <v>60</v>
      </c>
      <c r="AB150"/>
      <c r="AC150"/>
      <c r="AD150"/>
    </row>
    <row r="151" spans="1:30" x14ac:dyDescent="0.25">
      <c r="A151" s="40">
        <v>1</v>
      </c>
      <c r="B151" s="39">
        <v>1</v>
      </c>
      <c r="C151" s="39">
        <v>0.999</v>
      </c>
      <c r="D151">
        <v>5.9010000000000007</v>
      </c>
      <c r="E151">
        <v>3.0876554694229112E-4</v>
      </c>
      <c r="F151">
        <v>1.0421579999999966</v>
      </c>
      <c r="G151">
        <v>50000</v>
      </c>
      <c r="H151">
        <v>1.2947743836253682</v>
      </c>
      <c r="I151">
        <v>1.5</v>
      </c>
      <c r="J151">
        <v>600</v>
      </c>
      <c r="K151">
        <v>4.3199999999996797E-2</v>
      </c>
      <c r="L151">
        <v>6.4799999999995192E-5</v>
      </c>
      <c r="M151">
        <v>242999999.99998203</v>
      </c>
      <c r="N151">
        <v>1736806.2015503878</v>
      </c>
      <c r="O151">
        <v>139.91198314645825</v>
      </c>
      <c r="P151">
        <v>3.0876554694229112E-4</v>
      </c>
      <c r="AB151"/>
      <c r="AC151"/>
      <c r="AD151"/>
    </row>
    <row r="152" spans="1:30" x14ac:dyDescent="0.25">
      <c r="A152" s="40">
        <v>2</v>
      </c>
      <c r="B152" s="39">
        <v>1</v>
      </c>
      <c r="C152" s="39">
        <v>0.999</v>
      </c>
      <c r="D152">
        <v>5.908836</v>
      </c>
      <c r="E152">
        <v>3.0876554694229112E-4</v>
      </c>
      <c r="F152">
        <v>1.0421579999999966</v>
      </c>
      <c r="G152">
        <v>50000</v>
      </c>
      <c r="H152">
        <v>1.2947743836253682</v>
      </c>
      <c r="I152">
        <v>1.5</v>
      </c>
      <c r="J152">
        <v>600</v>
      </c>
      <c r="K152">
        <v>4.3199999999996797E-2</v>
      </c>
      <c r="L152">
        <v>6.4799999999995192E-5</v>
      </c>
      <c r="M152">
        <v>242999999.99998203</v>
      </c>
      <c r="N152">
        <v>1736806.2015503878</v>
      </c>
      <c r="O152">
        <v>139.91198314645825</v>
      </c>
      <c r="P152">
        <v>3.0876554694229112E-4</v>
      </c>
      <c r="AB152"/>
      <c r="AC152"/>
      <c r="AD152"/>
    </row>
    <row r="153" spans="1:30" x14ac:dyDescent="0.25">
      <c r="A153" s="40"/>
      <c r="B153" s="39"/>
      <c r="C153" s="39"/>
      <c r="D153"/>
      <c r="AB153"/>
      <c r="AC153"/>
      <c r="AD153"/>
    </row>
    <row r="154" spans="1:30" x14ac:dyDescent="0.25">
      <c r="A154" s="40"/>
      <c r="B154" s="39"/>
      <c r="C154" s="39"/>
      <c r="D154"/>
      <c r="AB154"/>
      <c r="AC154"/>
      <c r="AD154"/>
    </row>
    <row r="155" spans="1:30" x14ac:dyDescent="0.25">
      <c r="A155" s="40"/>
      <c r="B155" s="39"/>
      <c r="C155" s="39"/>
      <c r="D155"/>
      <c r="AB155"/>
      <c r="AC155"/>
      <c r="AD155"/>
    </row>
    <row r="156" spans="1:30" x14ac:dyDescent="0.25">
      <c r="A156" s="40"/>
      <c r="B156" s="39"/>
      <c r="C156" s="39"/>
      <c r="D156"/>
      <c r="AB156"/>
      <c r="AC156"/>
      <c r="AD156"/>
    </row>
    <row r="157" spans="1:30" x14ac:dyDescent="0.25">
      <c r="A157" s="40"/>
      <c r="B157" s="39"/>
      <c r="C157" s="39"/>
      <c r="D157"/>
      <c r="AB157"/>
      <c r="AC157"/>
      <c r="AD157"/>
    </row>
    <row r="158" spans="1:30" x14ac:dyDescent="0.25">
      <c r="A158" s="40"/>
      <c r="B158" s="39"/>
      <c r="C158" s="39"/>
      <c r="D158"/>
      <c r="AB158"/>
      <c r="AC158"/>
      <c r="AD158"/>
    </row>
    <row r="159" spans="1:30" x14ac:dyDescent="0.25">
      <c r="A159" s="40"/>
      <c r="B159" s="39"/>
      <c r="C159" s="39"/>
      <c r="D159"/>
      <c r="AB159"/>
      <c r="AC159"/>
      <c r="AD159"/>
    </row>
    <row r="160" spans="1:30" x14ac:dyDescent="0.25">
      <c r="A160" s="40"/>
      <c r="B160" s="39"/>
      <c r="C160" s="39"/>
      <c r="D160"/>
      <c r="AB160"/>
      <c r="AC160"/>
      <c r="AD160"/>
    </row>
    <row r="161" spans="1:30" x14ac:dyDescent="0.25">
      <c r="A161" s="40"/>
      <c r="B161" s="39"/>
      <c r="C161" s="39"/>
      <c r="D161"/>
      <c r="AB161"/>
      <c r="AC161"/>
      <c r="AD161"/>
    </row>
    <row r="162" spans="1:30" x14ac:dyDescent="0.25">
      <c r="A162" s="40"/>
      <c r="B162" s="39"/>
      <c r="C162" s="39"/>
      <c r="D162"/>
      <c r="AB162"/>
      <c r="AC162"/>
      <c r="AD162"/>
    </row>
    <row r="163" spans="1:30" x14ac:dyDescent="0.25">
      <c r="A163" s="40"/>
      <c r="B163" s="39"/>
      <c r="C163" s="39"/>
      <c r="D163"/>
      <c r="AB163"/>
      <c r="AC163"/>
      <c r="AD163"/>
    </row>
    <row r="164" spans="1:30" x14ac:dyDescent="0.25">
      <c r="A164" s="40"/>
      <c r="B164" s="39"/>
      <c r="C164" s="39"/>
      <c r="D164"/>
      <c r="AB164"/>
      <c r="AC164"/>
      <c r="AD164"/>
    </row>
    <row r="165" spans="1:30" x14ac:dyDescent="0.25">
      <c r="A165" s="40"/>
      <c r="B165" s="39"/>
      <c r="C165" s="39"/>
      <c r="D165"/>
      <c r="AB165"/>
      <c r="AC165"/>
      <c r="AD165"/>
    </row>
    <row r="166" spans="1:30" x14ac:dyDescent="0.25">
      <c r="A166" s="40"/>
      <c r="B166" s="39"/>
      <c r="C166" s="39"/>
      <c r="D166"/>
      <c r="AB166"/>
      <c r="AC166"/>
      <c r="AD166"/>
    </row>
    <row r="167" spans="1:30" x14ac:dyDescent="0.25">
      <c r="A167" s="40"/>
      <c r="B167" s="39"/>
      <c r="C167" s="39"/>
      <c r="D167"/>
      <c r="AB167"/>
      <c r="AC167"/>
      <c r="AD167"/>
    </row>
    <row r="168" spans="1:30" x14ac:dyDescent="0.25">
      <c r="A168" s="40"/>
      <c r="B168" s="39"/>
      <c r="C168" s="39"/>
      <c r="D168"/>
      <c r="AB168"/>
      <c r="AC168"/>
      <c r="AD168"/>
    </row>
    <row r="169" spans="1:30" x14ac:dyDescent="0.25">
      <c r="A169" s="40"/>
      <c r="B169" s="39"/>
      <c r="C169" s="39"/>
      <c r="D169"/>
      <c r="AB169"/>
      <c r="AC169"/>
      <c r="AD169"/>
    </row>
    <row r="170" spans="1:30" x14ac:dyDescent="0.25">
      <c r="A170" s="40"/>
      <c r="B170" s="39"/>
      <c r="C170" s="39"/>
      <c r="D170"/>
      <c r="AB170"/>
      <c r="AC170"/>
      <c r="AD170"/>
    </row>
    <row r="171" spans="1:30" x14ac:dyDescent="0.25">
      <c r="A171" s="40"/>
      <c r="B171" s="39"/>
      <c r="C171" s="39"/>
      <c r="D171"/>
      <c r="AB171"/>
      <c r="AC171"/>
      <c r="AD171"/>
    </row>
    <row r="172" spans="1:30" x14ac:dyDescent="0.25">
      <c r="A172" s="40"/>
      <c r="B172" s="39"/>
      <c r="C172" s="39"/>
      <c r="D172"/>
      <c r="AB172"/>
      <c r="AC172"/>
      <c r="AD172"/>
    </row>
    <row r="173" spans="1:30" x14ac:dyDescent="0.25">
      <c r="A173" s="40"/>
      <c r="B173" s="39"/>
      <c r="C173" s="39"/>
      <c r="D173"/>
      <c r="AB173"/>
      <c r="AC173"/>
      <c r="AD173"/>
    </row>
    <row r="174" spans="1:30" x14ac:dyDescent="0.25">
      <c r="A174" s="40"/>
      <c r="B174" s="39"/>
      <c r="C174" s="39"/>
      <c r="D174"/>
      <c r="AB174"/>
      <c r="AC174"/>
      <c r="AD174"/>
    </row>
    <row r="175" spans="1:30" x14ac:dyDescent="0.25">
      <c r="A175" s="40"/>
      <c r="B175" s="39"/>
      <c r="C175" s="39"/>
      <c r="D175"/>
      <c r="AB175"/>
      <c r="AC175"/>
      <c r="AD175"/>
    </row>
    <row r="176" spans="1:30" x14ac:dyDescent="0.25">
      <c r="A176" s="40"/>
      <c r="B176" s="39"/>
      <c r="C176" s="39"/>
      <c r="D176"/>
      <c r="AB176"/>
      <c r="AC176"/>
      <c r="AD176"/>
    </row>
    <row r="177" spans="1:30" x14ac:dyDescent="0.25">
      <c r="A177" s="40"/>
      <c r="B177" s="39"/>
      <c r="C177" s="39"/>
      <c r="D177"/>
      <c r="AB177"/>
      <c r="AC177"/>
      <c r="AD177"/>
    </row>
    <row r="178" spans="1:30" x14ac:dyDescent="0.25">
      <c r="A178" s="40"/>
      <c r="B178" s="39"/>
      <c r="C178" s="39"/>
      <c r="D178"/>
      <c r="AB178"/>
      <c r="AC178"/>
      <c r="AD178"/>
    </row>
    <row r="179" spans="1:30" x14ac:dyDescent="0.25">
      <c r="A179" s="40"/>
      <c r="B179" s="39"/>
      <c r="C179" s="39"/>
      <c r="D179"/>
      <c r="AB179"/>
      <c r="AC179"/>
      <c r="AD179"/>
    </row>
    <row r="180" spans="1:30" x14ac:dyDescent="0.25">
      <c r="A180" s="40"/>
      <c r="B180" s="39"/>
      <c r="C180" s="39"/>
      <c r="D180"/>
      <c r="AB180"/>
      <c r="AC180"/>
      <c r="AD180"/>
    </row>
    <row r="181" spans="1:30" x14ac:dyDescent="0.25">
      <c r="A181" s="40"/>
      <c r="B181" s="39"/>
      <c r="C181" s="39"/>
      <c r="D181"/>
      <c r="AB181"/>
      <c r="AC181"/>
      <c r="AD181"/>
    </row>
    <row r="182" spans="1:30" x14ac:dyDescent="0.25">
      <c r="A182" s="40"/>
      <c r="B182" s="39"/>
      <c r="C182" s="39"/>
      <c r="D182"/>
      <c r="AB182"/>
      <c r="AC182"/>
      <c r="AD182"/>
    </row>
    <row r="183" spans="1:30" x14ac:dyDescent="0.25">
      <c r="A183" s="40"/>
      <c r="B183" s="39"/>
      <c r="C183" s="39"/>
      <c r="D183"/>
      <c r="AB183"/>
      <c r="AC183"/>
      <c r="AD183"/>
    </row>
    <row r="184" spans="1:30" x14ac:dyDescent="0.25">
      <c r="A184" s="40"/>
      <c r="B184" s="39"/>
      <c r="C184" s="39"/>
      <c r="D184"/>
      <c r="AB184"/>
      <c r="AC184"/>
      <c r="AD184"/>
    </row>
    <row r="185" spans="1:30" x14ac:dyDescent="0.25">
      <c r="A185" s="40"/>
      <c r="B185" s="39"/>
      <c r="C185" s="39"/>
      <c r="D185"/>
      <c r="AB185"/>
      <c r="AC185"/>
      <c r="AD185"/>
    </row>
    <row r="186" spans="1:30" x14ac:dyDescent="0.25">
      <c r="A186" s="40"/>
      <c r="B186" s="39"/>
      <c r="C186" s="39"/>
      <c r="D186"/>
      <c r="AB186"/>
      <c r="AC186"/>
      <c r="AD186"/>
    </row>
    <row r="187" spans="1:30" x14ac:dyDescent="0.25">
      <c r="A187" s="40"/>
      <c r="B187" s="39"/>
      <c r="C187" s="39"/>
      <c r="D187"/>
      <c r="AB187"/>
      <c r="AC187"/>
      <c r="AD187"/>
    </row>
    <row r="188" spans="1:30" x14ac:dyDescent="0.25">
      <c r="A188" s="40"/>
      <c r="B188" s="39"/>
      <c r="C188" s="39"/>
      <c r="D188"/>
      <c r="AB188"/>
      <c r="AC188"/>
      <c r="AD188"/>
    </row>
    <row r="189" spans="1:30" x14ac:dyDescent="0.25">
      <c r="A189" s="40"/>
      <c r="B189" s="39"/>
      <c r="C189" s="39"/>
      <c r="D189"/>
      <c r="AB189"/>
      <c r="AC189"/>
      <c r="AD189"/>
    </row>
    <row r="190" spans="1:30" x14ac:dyDescent="0.25">
      <c r="A190" s="40"/>
      <c r="B190" s="39"/>
      <c r="C190" s="39"/>
      <c r="D190"/>
      <c r="AB190"/>
      <c r="AC190"/>
      <c r="AD190"/>
    </row>
    <row r="191" spans="1:30" x14ac:dyDescent="0.25">
      <c r="A191" s="40"/>
      <c r="B191" s="39"/>
      <c r="C191" s="39"/>
      <c r="D191"/>
      <c r="AB191"/>
      <c r="AC191"/>
      <c r="AD191"/>
    </row>
    <row r="192" spans="1:30" x14ac:dyDescent="0.25">
      <c r="A192" s="40"/>
      <c r="B192" s="39"/>
      <c r="C192" s="39"/>
      <c r="D192"/>
      <c r="AB192"/>
      <c r="AC192"/>
      <c r="AD192"/>
    </row>
    <row r="193" spans="1:30" x14ac:dyDescent="0.25">
      <c r="A193" s="40"/>
      <c r="B193" s="39"/>
      <c r="C193" s="39"/>
      <c r="D193"/>
      <c r="AB193"/>
      <c r="AC193"/>
      <c r="AD193"/>
    </row>
    <row r="194" spans="1:30" x14ac:dyDescent="0.25">
      <c r="A194" s="40"/>
      <c r="B194" s="39"/>
      <c r="C194" s="39"/>
      <c r="D194"/>
      <c r="AB194"/>
      <c r="AC194"/>
      <c r="AD194"/>
    </row>
    <row r="195" spans="1:30" x14ac:dyDescent="0.25">
      <c r="A195" s="40"/>
      <c r="B195" s="39"/>
      <c r="C195" s="39"/>
      <c r="D195"/>
      <c r="AB195"/>
      <c r="AC195"/>
      <c r="AD195"/>
    </row>
    <row r="196" spans="1:30" x14ac:dyDescent="0.25">
      <c r="A196" s="40"/>
      <c r="B196" s="39"/>
      <c r="C196" s="39"/>
      <c r="D196"/>
      <c r="AB196"/>
      <c r="AC196"/>
      <c r="AD196"/>
    </row>
    <row r="197" spans="1:30" x14ac:dyDescent="0.25">
      <c r="A197" s="40"/>
      <c r="B197" s="39"/>
      <c r="C197" s="39"/>
      <c r="D197"/>
      <c r="AB197"/>
      <c r="AC197"/>
      <c r="AD197"/>
    </row>
    <row r="198" spans="1:30" x14ac:dyDescent="0.25">
      <c r="A198" s="40"/>
      <c r="B198" s="39"/>
      <c r="C198" s="39"/>
      <c r="D198"/>
      <c r="AB198"/>
      <c r="AC198"/>
      <c r="AD198"/>
    </row>
    <row r="199" spans="1:30" x14ac:dyDescent="0.25">
      <c r="A199" s="40"/>
      <c r="B199" s="39"/>
      <c r="C199" s="39"/>
      <c r="D199"/>
      <c r="AB199"/>
      <c r="AC199"/>
      <c r="AD199"/>
    </row>
    <row r="200" spans="1:30" x14ac:dyDescent="0.25">
      <c r="A200" s="40"/>
      <c r="B200" s="39"/>
      <c r="C200" s="39"/>
      <c r="D200"/>
      <c r="AB200"/>
      <c r="AC200"/>
      <c r="AD200"/>
    </row>
    <row r="201" spans="1:30" x14ac:dyDescent="0.25">
      <c r="A201" s="40"/>
      <c r="B201" s="39"/>
      <c r="C201" s="39"/>
      <c r="D201"/>
      <c r="AB201"/>
      <c r="AC201"/>
      <c r="AD201"/>
    </row>
    <row r="202" spans="1:30" x14ac:dyDescent="0.25">
      <c r="A202" s="40"/>
      <c r="B202" s="39"/>
      <c r="C202" s="39"/>
      <c r="D202"/>
      <c r="AB202"/>
      <c r="AC202"/>
      <c r="AD202"/>
    </row>
    <row r="203" spans="1:30" x14ac:dyDescent="0.25">
      <c r="A203" s="40"/>
      <c r="B203" s="39"/>
      <c r="C203" s="39"/>
      <c r="D203"/>
      <c r="AB203"/>
      <c r="AC203"/>
      <c r="AD203"/>
    </row>
    <row r="204" spans="1:30" x14ac:dyDescent="0.25">
      <c r="A204" s="40"/>
      <c r="B204" s="39"/>
      <c r="C204" s="39"/>
      <c r="D204"/>
      <c r="AB204"/>
      <c r="AC204"/>
      <c r="AD204"/>
    </row>
    <row r="205" spans="1:30" x14ac:dyDescent="0.25">
      <c r="A205" s="40"/>
      <c r="B205" s="39"/>
      <c r="C205" s="39"/>
      <c r="D205"/>
      <c r="AB205"/>
      <c r="AC205"/>
      <c r="AD205"/>
    </row>
    <row r="206" spans="1:30" x14ac:dyDescent="0.25">
      <c r="A206" s="40"/>
      <c r="B206" s="39"/>
      <c r="C206" s="39"/>
      <c r="D206"/>
      <c r="AB206"/>
      <c r="AC206"/>
      <c r="AD206"/>
    </row>
    <row r="207" spans="1:30" x14ac:dyDescent="0.25">
      <c r="A207" s="40"/>
      <c r="B207" s="39"/>
      <c r="C207" s="39"/>
      <c r="D207"/>
      <c r="AB207"/>
      <c r="AC207"/>
      <c r="AD207"/>
    </row>
    <row r="208" spans="1:30" x14ac:dyDescent="0.25">
      <c r="A208" s="40"/>
      <c r="B208" s="39"/>
      <c r="C208" s="39"/>
      <c r="D208"/>
      <c r="AB208"/>
      <c r="AC208"/>
      <c r="AD208"/>
    </row>
    <row r="209" spans="1:30" x14ac:dyDescent="0.25">
      <c r="A209" s="40"/>
      <c r="B209" s="39"/>
      <c r="C209" s="39"/>
      <c r="D209"/>
      <c r="AB209"/>
      <c r="AC209"/>
      <c r="AD209"/>
    </row>
    <row r="210" spans="1:30" x14ac:dyDescent="0.25">
      <c r="A210" s="40"/>
      <c r="B210" s="39"/>
      <c r="C210" s="39"/>
      <c r="D210"/>
      <c r="AB210"/>
      <c r="AC210"/>
      <c r="AD210"/>
    </row>
    <row r="211" spans="1:30" x14ac:dyDescent="0.25">
      <c r="A211" s="40"/>
      <c r="B211" s="39"/>
      <c r="C211" s="39"/>
      <c r="D211"/>
      <c r="AB211"/>
      <c r="AC211"/>
      <c r="AD211"/>
    </row>
    <row r="212" spans="1:30" x14ac:dyDescent="0.25">
      <c r="A212" s="40"/>
      <c r="B212" s="39"/>
      <c r="C212" s="39"/>
      <c r="D212"/>
      <c r="AB212"/>
      <c r="AC212"/>
      <c r="AD212"/>
    </row>
    <row r="213" spans="1:30" x14ac:dyDescent="0.25">
      <c r="A213" s="40"/>
      <c r="B213" s="39"/>
      <c r="C213" s="39"/>
      <c r="D213"/>
      <c r="AB213"/>
      <c r="AC213"/>
      <c r="AD213"/>
    </row>
    <row r="214" spans="1:30" x14ac:dyDescent="0.25">
      <c r="A214" s="40"/>
      <c r="B214" s="39"/>
      <c r="C214" s="39"/>
      <c r="D214"/>
      <c r="AB214"/>
      <c r="AC214"/>
      <c r="AD214"/>
    </row>
    <row r="215" spans="1:30" x14ac:dyDescent="0.25">
      <c r="A215" s="40"/>
      <c r="B215" s="39"/>
      <c r="C215" s="39"/>
      <c r="D215"/>
      <c r="AB215"/>
      <c r="AC215"/>
      <c r="AD215"/>
    </row>
    <row r="216" spans="1:30" x14ac:dyDescent="0.25">
      <c r="A216" s="40"/>
      <c r="B216" s="39"/>
      <c r="C216" s="39"/>
      <c r="D216"/>
      <c r="AB216"/>
      <c r="AC216"/>
      <c r="AD216"/>
    </row>
    <row r="217" spans="1:30" x14ac:dyDescent="0.25">
      <c r="A217" s="40"/>
      <c r="B217" s="39"/>
      <c r="C217" s="39"/>
      <c r="D217"/>
      <c r="AB217"/>
      <c r="AC217"/>
      <c r="AD217"/>
    </row>
    <row r="218" spans="1:30" x14ac:dyDescent="0.25">
      <c r="A218" s="40"/>
      <c r="B218" s="39"/>
      <c r="C218" s="39"/>
      <c r="D218"/>
      <c r="AB218"/>
      <c r="AC218"/>
      <c r="AD218"/>
    </row>
    <row r="219" spans="1:30" x14ac:dyDescent="0.25">
      <c r="A219" s="40"/>
      <c r="B219" s="39"/>
      <c r="C219" s="39"/>
      <c r="D219"/>
      <c r="AB219"/>
      <c r="AC219"/>
      <c r="AD219"/>
    </row>
    <row r="220" spans="1:30" x14ac:dyDescent="0.25">
      <c r="A220" s="40"/>
      <c r="B220" s="39"/>
      <c r="C220" s="39"/>
      <c r="D220"/>
      <c r="AB220"/>
      <c r="AC220"/>
      <c r="AD220"/>
    </row>
    <row r="221" spans="1:30" x14ac:dyDescent="0.25">
      <c r="A221" s="40"/>
      <c r="B221" s="39"/>
      <c r="C221" s="39"/>
      <c r="D221"/>
      <c r="AB221"/>
      <c r="AC221"/>
      <c r="AD221"/>
    </row>
    <row r="222" spans="1:30" x14ac:dyDescent="0.25">
      <c r="A222" s="40"/>
      <c r="B222" s="39"/>
      <c r="C222" s="39"/>
      <c r="D222"/>
      <c r="AB222"/>
      <c r="AC222"/>
      <c r="AD222"/>
    </row>
    <row r="223" spans="1:30" x14ac:dyDescent="0.25">
      <c r="A223" s="40"/>
      <c r="B223" s="39"/>
      <c r="C223" s="39"/>
      <c r="D223"/>
      <c r="AB223"/>
      <c r="AC223"/>
      <c r="AD223"/>
    </row>
    <row r="224" spans="1:30" x14ac:dyDescent="0.25">
      <c r="A224" s="40"/>
      <c r="B224" s="39"/>
      <c r="C224" s="39"/>
      <c r="D224"/>
      <c r="AB224"/>
      <c r="AC224"/>
      <c r="AD224"/>
    </row>
    <row r="225" spans="1:30" x14ac:dyDescent="0.25">
      <c r="A225" s="40"/>
      <c r="B225" s="39"/>
      <c r="C225" s="39"/>
      <c r="D225"/>
      <c r="AB225"/>
      <c r="AC225"/>
      <c r="AD225"/>
    </row>
    <row r="226" spans="1:30" x14ac:dyDescent="0.25">
      <c r="A226" s="40"/>
      <c r="B226" s="39"/>
      <c r="C226" s="39"/>
      <c r="D226"/>
      <c r="AB226"/>
      <c r="AC226"/>
      <c r="AD226"/>
    </row>
    <row r="227" spans="1:30" x14ac:dyDescent="0.25">
      <c r="A227" s="40"/>
      <c r="B227" s="39"/>
      <c r="C227" s="39"/>
      <c r="D227"/>
      <c r="AB227"/>
      <c r="AC227"/>
      <c r="AD227"/>
    </row>
    <row r="228" spans="1:30" x14ac:dyDescent="0.25">
      <c r="A228" s="40"/>
      <c r="B228" s="39"/>
      <c r="C228" s="39"/>
      <c r="D228"/>
      <c r="AB228"/>
      <c r="AC228"/>
      <c r="AD228"/>
    </row>
    <row r="229" spans="1:30" x14ac:dyDescent="0.25">
      <c r="A229" s="40"/>
      <c r="B229" s="39"/>
      <c r="C229" s="39"/>
      <c r="D229"/>
      <c r="AB229"/>
      <c r="AC229"/>
      <c r="AD229"/>
    </row>
    <row r="230" spans="1:30" x14ac:dyDescent="0.25">
      <c r="A230" s="40"/>
      <c r="B230" s="39"/>
      <c r="C230" s="39"/>
      <c r="D230"/>
      <c r="AB230"/>
      <c r="AC230"/>
      <c r="AD230"/>
    </row>
    <row r="231" spans="1:30" x14ac:dyDescent="0.25">
      <c r="A231" s="40"/>
      <c r="B231" s="39"/>
      <c r="C231" s="39"/>
      <c r="D231"/>
      <c r="AB231"/>
      <c r="AC231"/>
      <c r="AD231"/>
    </row>
    <row r="232" spans="1:30" x14ac:dyDescent="0.25">
      <c r="A232" s="40"/>
      <c r="B232" s="39"/>
      <c r="C232" s="39"/>
      <c r="D232"/>
      <c r="AB232"/>
      <c r="AC232"/>
      <c r="AD232"/>
    </row>
    <row r="233" spans="1:30" x14ac:dyDescent="0.25">
      <c r="A233" s="40"/>
      <c r="B233" s="39"/>
      <c r="C233" s="39"/>
      <c r="D233"/>
      <c r="AB233"/>
      <c r="AC233"/>
      <c r="AD233"/>
    </row>
    <row r="234" spans="1:30" x14ac:dyDescent="0.25">
      <c r="A234" s="40"/>
      <c r="B234" s="39"/>
      <c r="C234" s="39"/>
      <c r="D234"/>
      <c r="AB234"/>
      <c r="AC234"/>
      <c r="AD234"/>
    </row>
    <row r="235" spans="1:30" x14ac:dyDescent="0.25">
      <c r="A235" s="40"/>
      <c r="B235" s="39"/>
      <c r="C235" s="39"/>
      <c r="D235"/>
      <c r="AB235"/>
      <c r="AC235"/>
      <c r="AD235"/>
    </row>
    <row r="236" spans="1:30" x14ac:dyDescent="0.25">
      <c r="A236" s="40"/>
      <c r="B236" s="39"/>
      <c r="C236" s="39"/>
      <c r="D236"/>
      <c r="AB236"/>
      <c r="AC236"/>
      <c r="AD236"/>
    </row>
    <row r="237" spans="1:30" x14ac:dyDescent="0.25">
      <c r="A237" s="40"/>
      <c r="B237" s="39"/>
      <c r="C237" s="39"/>
      <c r="D237"/>
      <c r="AB237"/>
      <c r="AC237"/>
      <c r="AD237"/>
    </row>
    <row r="238" spans="1:30" x14ac:dyDescent="0.25">
      <c r="A238" s="40"/>
      <c r="B238" s="39"/>
      <c r="C238" s="39"/>
      <c r="D238"/>
      <c r="AB238"/>
      <c r="AC238"/>
      <c r="AD238"/>
    </row>
    <row r="239" spans="1:30" x14ac:dyDescent="0.25">
      <c r="A239" s="40"/>
      <c r="B239" s="39"/>
      <c r="C239" s="39"/>
      <c r="D239"/>
      <c r="AB239"/>
      <c r="AC239"/>
      <c r="AD239"/>
    </row>
    <row r="240" spans="1:30" x14ac:dyDescent="0.25">
      <c r="A240" s="40"/>
      <c r="B240" s="39"/>
      <c r="C240" s="39"/>
      <c r="D240"/>
      <c r="AB240"/>
      <c r="AC240"/>
      <c r="AD240"/>
    </row>
    <row r="241" spans="1:30" x14ac:dyDescent="0.25">
      <c r="A241" s="40"/>
      <c r="B241" s="39"/>
      <c r="C241" s="39"/>
      <c r="D241"/>
      <c r="AB241"/>
      <c r="AC241"/>
      <c r="AD241"/>
    </row>
    <row r="242" spans="1:30" x14ac:dyDescent="0.25">
      <c r="A242" s="40"/>
      <c r="B242" s="39"/>
      <c r="C242" s="39"/>
      <c r="D242"/>
      <c r="AB242"/>
      <c r="AC242"/>
      <c r="AD242"/>
    </row>
    <row r="243" spans="1:30" x14ac:dyDescent="0.25">
      <c r="A243" s="40"/>
      <c r="B243" s="39"/>
      <c r="C243" s="39"/>
      <c r="D243"/>
      <c r="AB243"/>
      <c r="AC243"/>
      <c r="AD243"/>
    </row>
    <row r="244" spans="1:30" x14ac:dyDescent="0.25">
      <c r="A244" s="40"/>
      <c r="B244" s="39"/>
      <c r="C244" s="39"/>
      <c r="D244"/>
      <c r="AB244"/>
      <c r="AC244"/>
      <c r="AD244"/>
    </row>
    <row r="245" spans="1:30" x14ac:dyDescent="0.25">
      <c r="A245" s="40"/>
      <c r="B245" s="39"/>
      <c r="C245" s="39"/>
      <c r="D245"/>
      <c r="AB245"/>
      <c r="AC245"/>
      <c r="AD245"/>
    </row>
    <row r="246" spans="1:30" x14ac:dyDescent="0.25">
      <c r="A246" s="40"/>
      <c r="B246" s="39"/>
      <c r="C246" s="39"/>
      <c r="D246"/>
      <c r="AB246"/>
      <c r="AC246"/>
      <c r="AD246"/>
    </row>
    <row r="247" spans="1:30" x14ac:dyDescent="0.25">
      <c r="A247" s="40"/>
      <c r="B247" s="39"/>
      <c r="C247" s="39"/>
      <c r="D247"/>
      <c r="AB247"/>
      <c r="AC247"/>
      <c r="AD247"/>
    </row>
    <row r="248" spans="1:30" x14ac:dyDescent="0.25">
      <c r="A248" s="40"/>
      <c r="B248" s="39"/>
      <c r="C248" s="39"/>
      <c r="D248"/>
      <c r="AB248"/>
      <c r="AC248"/>
      <c r="AD248"/>
    </row>
    <row r="249" spans="1:30" x14ac:dyDescent="0.25">
      <c r="A249" s="40"/>
      <c r="B249" s="39"/>
      <c r="C249" s="39"/>
      <c r="D249"/>
      <c r="AB249"/>
      <c r="AC249"/>
      <c r="AD249"/>
    </row>
    <row r="250" spans="1:30" x14ac:dyDescent="0.25">
      <c r="A250" s="40"/>
      <c r="B250" s="39"/>
      <c r="C250" s="39"/>
      <c r="D250"/>
      <c r="AB250"/>
      <c r="AC250"/>
      <c r="AD250"/>
    </row>
    <row r="251" spans="1:30" x14ac:dyDescent="0.25">
      <c r="A251" s="40"/>
      <c r="B251" s="39"/>
      <c r="C251" s="39"/>
      <c r="D251"/>
      <c r="AB251"/>
      <c r="AC251"/>
      <c r="AD251"/>
    </row>
    <row r="252" spans="1:30" x14ac:dyDescent="0.25">
      <c r="A252" s="40"/>
      <c r="B252" s="39"/>
      <c r="C252" s="39"/>
      <c r="D252"/>
      <c r="AB252"/>
      <c r="AC252"/>
      <c r="AD252"/>
    </row>
    <row r="253" spans="1:30" x14ac:dyDescent="0.25">
      <c r="A253" s="40"/>
      <c r="B253" s="39"/>
      <c r="C253" s="39"/>
      <c r="D253"/>
      <c r="AB253"/>
      <c r="AC253"/>
      <c r="AD253"/>
    </row>
    <row r="254" spans="1:30" x14ac:dyDescent="0.25">
      <c r="A254" s="40"/>
      <c r="B254" s="39"/>
      <c r="C254" s="39"/>
      <c r="D254"/>
      <c r="AB254"/>
      <c r="AC254"/>
      <c r="AD254"/>
    </row>
    <row r="255" spans="1:30" x14ac:dyDescent="0.25">
      <c r="A255" s="40"/>
      <c r="B255" s="39"/>
      <c r="C255" s="39"/>
      <c r="D255"/>
      <c r="AB255"/>
      <c r="AC255"/>
      <c r="AD255"/>
    </row>
    <row r="256" spans="1:30" x14ac:dyDescent="0.25">
      <c r="A256" s="40"/>
      <c r="B256" s="39"/>
      <c r="C256" s="39"/>
      <c r="D256"/>
      <c r="AB256"/>
      <c r="AC256"/>
      <c r="AD256"/>
    </row>
    <row r="257" spans="1:30" x14ac:dyDescent="0.25">
      <c r="A257" s="40"/>
      <c r="B257" s="39"/>
      <c r="C257" s="39"/>
      <c r="D257"/>
      <c r="AB257"/>
      <c r="AC257"/>
      <c r="AD257"/>
    </row>
    <row r="258" spans="1:30" x14ac:dyDescent="0.25">
      <c r="A258" s="40"/>
      <c r="B258" s="39"/>
      <c r="C258" s="39"/>
      <c r="D258"/>
      <c r="AB258"/>
      <c r="AC258"/>
      <c r="AD258"/>
    </row>
    <row r="259" spans="1:30" x14ac:dyDescent="0.25">
      <c r="A259" s="40"/>
      <c r="B259" s="39"/>
      <c r="C259" s="39"/>
      <c r="D259"/>
      <c r="AB259"/>
      <c r="AC259"/>
      <c r="AD259"/>
    </row>
    <row r="260" spans="1:30" x14ac:dyDescent="0.25">
      <c r="A260" s="40"/>
      <c r="B260" s="39"/>
      <c r="C260" s="39"/>
      <c r="D260"/>
      <c r="AB260"/>
      <c r="AC260"/>
      <c r="AD260"/>
    </row>
    <row r="261" spans="1:30" x14ac:dyDescent="0.25">
      <c r="A261" s="40"/>
      <c r="B261" s="39"/>
      <c r="C261" s="39"/>
      <c r="D261"/>
      <c r="AB261"/>
      <c r="AC261"/>
      <c r="AD261"/>
    </row>
    <row r="262" spans="1:30" x14ac:dyDescent="0.25">
      <c r="A262" s="40"/>
      <c r="B262" s="39"/>
      <c r="C262" s="39"/>
      <c r="D262"/>
      <c r="AB262"/>
      <c r="AC262"/>
      <c r="AD262"/>
    </row>
    <row r="263" spans="1:30" x14ac:dyDescent="0.25">
      <c r="A263" s="40"/>
      <c r="B263" s="39"/>
      <c r="C263" s="39"/>
      <c r="D263"/>
      <c r="AB263"/>
      <c r="AC263"/>
      <c r="AD263"/>
    </row>
    <row r="264" spans="1:30" x14ac:dyDescent="0.25">
      <c r="A264" s="40"/>
      <c r="B264" s="39"/>
      <c r="C264" s="39"/>
      <c r="D264"/>
      <c r="AB264"/>
      <c r="AC264"/>
      <c r="AD264"/>
    </row>
    <row r="265" spans="1:30" x14ac:dyDescent="0.25">
      <c r="A265" s="40"/>
      <c r="B265" s="39"/>
      <c r="C265" s="39"/>
      <c r="D265"/>
      <c r="AB265"/>
      <c r="AC265"/>
      <c r="AD265"/>
    </row>
    <row r="266" spans="1:30" x14ac:dyDescent="0.25">
      <c r="A266" s="40"/>
      <c r="B266" s="39"/>
      <c r="C266" s="39"/>
      <c r="D266"/>
      <c r="AB266"/>
      <c r="AC266"/>
      <c r="AD266"/>
    </row>
    <row r="267" spans="1:30" x14ac:dyDescent="0.25">
      <c r="A267" s="40"/>
      <c r="B267" s="39"/>
      <c r="C267" s="39"/>
      <c r="D267"/>
      <c r="AB267"/>
      <c r="AC267"/>
      <c r="AD267"/>
    </row>
    <row r="268" spans="1:30" x14ac:dyDescent="0.25">
      <c r="A268" s="40"/>
      <c r="B268" s="39"/>
      <c r="C268" s="39"/>
      <c r="D268"/>
      <c r="AB268"/>
      <c r="AC268"/>
      <c r="AD268"/>
    </row>
    <row r="269" spans="1:30" x14ac:dyDescent="0.25">
      <c r="A269" s="40"/>
      <c r="B269" s="39"/>
      <c r="C269" s="39"/>
      <c r="D269"/>
      <c r="AB269"/>
      <c r="AC269"/>
      <c r="AD269"/>
    </row>
    <row r="270" spans="1:30" x14ac:dyDescent="0.25">
      <c r="A270" s="40"/>
      <c r="B270" s="39"/>
      <c r="C270" s="39"/>
      <c r="D270"/>
      <c r="AB270"/>
      <c r="AC270"/>
      <c r="AD270"/>
    </row>
    <row r="271" spans="1:30" x14ac:dyDescent="0.25">
      <c r="A271" s="40"/>
      <c r="B271" s="39"/>
      <c r="C271" s="39"/>
      <c r="D271"/>
      <c r="AB271"/>
      <c r="AC271"/>
      <c r="AD271"/>
    </row>
    <row r="272" spans="1:30" x14ac:dyDescent="0.25">
      <c r="A272" s="40"/>
      <c r="B272" s="39"/>
      <c r="C272" s="39"/>
      <c r="D272"/>
      <c r="AB272"/>
      <c r="AC272"/>
      <c r="AD272"/>
    </row>
    <row r="273" spans="1:30" x14ac:dyDescent="0.25">
      <c r="A273" s="40"/>
      <c r="B273" s="39"/>
      <c r="C273" s="39"/>
      <c r="D273"/>
      <c r="AB273"/>
      <c r="AC273"/>
      <c r="AD273"/>
    </row>
    <row r="274" spans="1:30" x14ac:dyDescent="0.25">
      <c r="A274" s="40"/>
      <c r="B274" s="39"/>
      <c r="C274" s="39"/>
      <c r="D274"/>
      <c r="AB274"/>
      <c r="AC274"/>
      <c r="AD274"/>
    </row>
    <row r="275" spans="1:30" x14ac:dyDescent="0.25">
      <c r="A275" s="40"/>
      <c r="B275" s="39"/>
      <c r="C275" s="39"/>
      <c r="D275"/>
      <c r="AB275"/>
      <c r="AC275"/>
      <c r="AD275"/>
    </row>
    <row r="276" spans="1:30" x14ac:dyDescent="0.25">
      <c r="A276" s="40"/>
      <c r="B276" s="39"/>
      <c r="C276" s="39"/>
      <c r="D276"/>
      <c r="AB276"/>
      <c r="AC276"/>
      <c r="AD276"/>
    </row>
    <row r="277" spans="1:30" x14ac:dyDescent="0.25">
      <c r="A277" s="40"/>
      <c r="B277" s="39"/>
      <c r="C277" s="39"/>
      <c r="D277"/>
      <c r="AB277"/>
      <c r="AC277"/>
      <c r="AD277"/>
    </row>
    <row r="278" spans="1:30" x14ac:dyDescent="0.25">
      <c r="A278" s="40"/>
      <c r="B278" s="39"/>
      <c r="C278" s="39"/>
      <c r="D278"/>
      <c r="AB278"/>
      <c r="AC278"/>
      <c r="AD278"/>
    </row>
    <row r="279" spans="1:30" x14ac:dyDescent="0.25">
      <c r="A279" s="40"/>
      <c r="B279" s="39"/>
      <c r="C279" s="39"/>
      <c r="D279"/>
      <c r="AB279"/>
      <c r="AC279"/>
      <c r="AD279"/>
    </row>
    <row r="280" spans="1:30" x14ac:dyDescent="0.25">
      <c r="A280" s="40"/>
      <c r="B280" s="39"/>
      <c r="C280" s="39"/>
      <c r="D280"/>
      <c r="AB280"/>
      <c r="AC280"/>
      <c r="AD280"/>
    </row>
    <row r="281" spans="1:30" x14ac:dyDescent="0.25">
      <c r="A281" s="40"/>
      <c r="B281" s="39"/>
      <c r="C281" s="39"/>
      <c r="D281"/>
      <c r="AB281"/>
      <c r="AC281"/>
      <c r="AD281"/>
    </row>
    <row r="282" spans="1:30" x14ac:dyDescent="0.25">
      <c r="A282" s="40"/>
      <c r="B282" s="39"/>
      <c r="C282" s="39"/>
      <c r="D282"/>
      <c r="AB282"/>
      <c r="AC282"/>
      <c r="AD282"/>
    </row>
    <row r="283" spans="1:30" x14ac:dyDescent="0.25">
      <c r="A283" s="40"/>
      <c r="B283" s="39"/>
      <c r="C283" s="39"/>
      <c r="D283"/>
      <c r="AB283"/>
      <c r="AC283"/>
      <c r="AD283"/>
    </row>
    <row r="284" spans="1:30" x14ac:dyDescent="0.25">
      <c r="A284" s="40"/>
      <c r="B284" s="39"/>
      <c r="C284" s="39"/>
      <c r="D284"/>
      <c r="AB284"/>
      <c r="AC284"/>
      <c r="AD284"/>
    </row>
    <row r="285" spans="1:30" x14ac:dyDescent="0.25">
      <c r="A285" s="40"/>
      <c r="B285" s="39"/>
      <c r="C285" s="39"/>
      <c r="D285"/>
      <c r="AB285"/>
      <c r="AC285"/>
      <c r="AD285"/>
    </row>
    <row r="286" spans="1:30" x14ac:dyDescent="0.25">
      <c r="A286" s="40"/>
      <c r="B286" s="39"/>
      <c r="C286" s="39"/>
      <c r="D286"/>
      <c r="AB286"/>
      <c r="AC286"/>
      <c r="AD286"/>
    </row>
    <row r="287" spans="1:30" x14ac:dyDescent="0.25">
      <c r="A287" s="40"/>
      <c r="B287" s="39"/>
      <c r="C287" s="39"/>
      <c r="D287"/>
      <c r="AB287"/>
      <c r="AC287"/>
      <c r="AD287"/>
    </row>
    <row r="288" spans="1:30" x14ac:dyDescent="0.25">
      <c r="A288" s="40"/>
      <c r="B288" s="39"/>
      <c r="C288" s="39"/>
      <c r="D288"/>
      <c r="AB288"/>
      <c r="AC288"/>
      <c r="AD288"/>
    </row>
    <row r="289" spans="1:30" x14ac:dyDescent="0.25">
      <c r="A289" s="40"/>
      <c r="B289" s="39"/>
      <c r="C289" s="39"/>
      <c r="D289"/>
      <c r="AB289"/>
      <c r="AC289"/>
      <c r="AD289"/>
    </row>
    <row r="290" spans="1:30" x14ac:dyDescent="0.25">
      <c r="A290" s="40"/>
      <c r="B290" s="39"/>
      <c r="C290" s="39"/>
      <c r="D290"/>
      <c r="AB290"/>
      <c r="AC290"/>
      <c r="AD290"/>
    </row>
    <row r="291" spans="1:30" x14ac:dyDescent="0.25">
      <c r="A291" s="40"/>
      <c r="B291" s="39"/>
      <c r="C291" s="39"/>
      <c r="D291"/>
      <c r="AB291"/>
      <c r="AC291"/>
      <c r="AD291"/>
    </row>
    <row r="292" spans="1:30" x14ac:dyDescent="0.25">
      <c r="A292" s="40"/>
      <c r="B292" s="39"/>
      <c r="C292" s="39"/>
      <c r="D292"/>
      <c r="AB292"/>
      <c r="AC292"/>
      <c r="AD292"/>
    </row>
    <row r="293" spans="1:30" x14ac:dyDescent="0.25">
      <c r="A293" s="40"/>
      <c r="B293" s="39"/>
      <c r="C293" s="39"/>
      <c r="D293"/>
      <c r="AB293"/>
      <c r="AC293"/>
      <c r="AD293"/>
    </row>
    <row r="294" spans="1:30" x14ac:dyDescent="0.25">
      <c r="A294" s="40"/>
      <c r="B294" s="39"/>
      <c r="C294" s="39"/>
      <c r="D294"/>
      <c r="AB294"/>
      <c r="AC294"/>
      <c r="AD294"/>
    </row>
    <row r="295" spans="1:30" x14ac:dyDescent="0.25">
      <c r="A295" s="40"/>
      <c r="B295" s="39"/>
      <c r="C295" s="39"/>
      <c r="D295"/>
      <c r="AB295"/>
      <c r="AC295"/>
      <c r="AD295"/>
    </row>
    <row r="296" spans="1:30" x14ac:dyDescent="0.25">
      <c r="A296" s="40"/>
      <c r="B296" s="39"/>
      <c r="C296" s="39"/>
      <c r="D296"/>
      <c r="AB296"/>
      <c r="AC296"/>
      <c r="AD296"/>
    </row>
    <row r="297" spans="1:30" x14ac:dyDescent="0.25">
      <c r="A297" s="40"/>
      <c r="B297" s="39"/>
      <c r="C297" s="39"/>
      <c r="D297"/>
      <c r="AB297"/>
      <c r="AC297"/>
      <c r="AD297"/>
    </row>
    <row r="298" spans="1:30" x14ac:dyDescent="0.25">
      <c r="A298" s="40"/>
      <c r="B298" s="39"/>
      <c r="C298" s="39"/>
      <c r="D298"/>
      <c r="AB298"/>
      <c r="AC298"/>
      <c r="AD298"/>
    </row>
    <row r="299" spans="1:30" x14ac:dyDescent="0.25">
      <c r="A299" s="40"/>
      <c r="B299" s="39"/>
      <c r="C299" s="39"/>
      <c r="D299"/>
      <c r="AB299"/>
      <c r="AC299"/>
      <c r="AD299"/>
    </row>
    <row r="300" spans="1:30" x14ac:dyDescent="0.25">
      <c r="A300" s="40"/>
      <c r="B300" s="39"/>
      <c r="C300" s="39"/>
      <c r="D300"/>
      <c r="AB300"/>
      <c r="AC300"/>
      <c r="AD300"/>
    </row>
    <row r="301" spans="1:30" x14ac:dyDescent="0.25">
      <c r="A301" s="40"/>
      <c r="B301" s="39"/>
      <c r="C301" s="39"/>
      <c r="D301"/>
      <c r="AB301"/>
      <c r="AC301"/>
      <c r="AD301"/>
    </row>
    <row r="302" spans="1:30" x14ac:dyDescent="0.25">
      <c r="A302" s="40"/>
      <c r="B302" s="39"/>
      <c r="C302" s="39"/>
      <c r="D302"/>
      <c r="AB302"/>
      <c r="AC302"/>
      <c r="AD302"/>
    </row>
    <row r="303" spans="1:30" x14ac:dyDescent="0.25">
      <c r="A303" s="40"/>
      <c r="B303" s="39"/>
      <c r="C303" s="39"/>
      <c r="D303"/>
      <c r="AB303"/>
      <c r="AC303"/>
      <c r="AD303"/>
    </row>
    <row r="304" spans="1:30" x14ac:dyDescent="0.25">
      <c r="A304" s="40"/>
      <c r="B304" s="39"/>
      <c r="C304" s="39"/>
      <c r="D304"/>
      <c r="AB304"/>
      <c r="AC304"/>
      <c r="AD304"/>
    </row>
    <row r="305" spans="1:30" x14ac:dyDescent="0.25">
      <c r="A305" s="40"/>
      <c r="B305" s="39"/>
      <c r="C305" s="39"/>
      <c r="D305"/>
      <c r="AB305"/>
      <c r="AC305"/>
      <c r="AD305"/>
    </row>
    <row r="306" spans="1:30" x14ac:dyDescent="0.25">
      <c r="A306" s="40"/>
      <c r="B306" s="39"/>
      <c r="C306" s="39"/>
      <c r="D306"/>
      <c r="AB306"/>
      <c r="AC306"/>
      <c r="AD306"/>
    </row>
    <row r="307" spans="1:30" x14ac:dyDescent="0.25">
      <c r="A307" s="40"/>
      <c r="B307" s="39"/>
      <c r="C307" s="39"/>
      <c r="D307"/>
      <c r="AB307"/>
      <c r="AC307"/>
      <c r="AD307"/>
    </row>
    <row r="308" spans="1:30" x14ac:dyDescent="0.25">
      <c r="D308"/>
      <c r="AB308"/>
      <c r="AC308"/>
      <c r="AD308"/>
    </row>
    <row r="309" spans="1:30" x14ac:dyDescent="0.25">
      <c r="D309"/>
      <c r="AB309"/>
      <c r="AC309"/>
      <c r="AD309"/>
    </row>
    <row r="310" spans="1:30" x14ac:dyDescent="0.25">
      <c r="D310"/>
      <c r="AB310"/>
      <c r="AC310"/>
      <c r="AD310"/>
    </row>
    <row r="311" spans="1:30" x14ac:dyDescent="0.25">
      <c r="D311"/>
      <c r="AB311"/>
      <c r="AC311"/>
      <c r="AD311"/>
    </row>
    <row r="312" spans="1:30" x14ac:dyDescent="0.25">
      <c r="D312"/>
      <c r="AB312"/>
      <c r="AC312"/>
      <c r="AD312"/>
    </row>
    <row r="313" spans="1:30" x14ac:dyDescent="0.25">
      <c r="D313"/>
      <c r="AB313"/>
      <c r="AC313"/>
      <c r="AD313"/>
    </row>
    <row r="314" spans="1:30" x14ac:dyDescent="0.25">
      <c r="D314"/>
      <c r="AB314"/>
      <c r="AC314"/>
      <c r="AD314"/>
    </row>
    <row r="315" spans="1:30" x14ac:dyDescent="0.25">
      <c r="D315"/>
      <c r="AB315"/>
      <c r="AC315"/>
      <c r="AD315"/>
    </row>
    <row r="316" spans="1:30" x14ac:dyDescent="0.25">
      <c r="D316"/>
      <c r="AB316"/>
      <c r="AC316"/>
      <c r="AD316"/>
    </row>
    <row r="317" spans="1:30" x14ac:dyDescent="0.25">
      <c r="D317"/>
      <c r="AB317"/>
      <c r="AC317"/>
      <c r="AD317"/>
    </row>
    <row r="318" spans="1:30" x14ac:dyDescent="0.25">
      <c r="D318"/>
      <c r="AB318"/>
      <c r="AC318"/>
      <c r="AD318"/>
    </row>
    <row r="319" spans="1:30" x14ac:dyDescent="0.25">
      <c r="D319"/>
      <c r="AB319"/>
      <c r="AC319"/>
      <c r="AD319"/>
    </row>
    <row r="320" spans="1:30" x14ac:dyDescent="0.25">
      <c r="D320"/>
      <c r="AB320"/>
      <c r="AC320"/>
      <c r="AD320"/>
    </row>
    <row r="321" spans="4:30" x14ac:dyDescent="0.25">
      <c r="D321"/>
      <c r="AB321"/>
      <c r="AC321"/>
      <c r="AD321"/>
    </row>
    <row r="322" spans="4:30" x14ac:dyDescent="0.25">
      <c r="D322"/>
      <c r="AB322"/>
      <c r="AC322"/>
      <c r="AD322"/>
    </row>
    <row r="323" spans="4:30" x14ac:dyDescent="0.25">
      <c r="D323"/>
      <c r="AB323"/>
      <c r="AC323"/>
      <c r="AD323"/>
    </row>
    <row r="324" spans="4:30" x14ac:dyDescent="0.25">
      <c r="D324"/>
      <c r="AB324"/>
      <c r="AC324"/>
      <c r="AD324"/>
    </row>
    <row r="325" spans="4:30" x14ac:dyDescent="0.25">
      <c r="D325"/>
      <c r="AB325"/>
      <c r="AC325"/>
      <c r="AD325"/>
    </row>
    <row r="326" spans="4:30" x14ac:dyDescent="0.25">
      <c r="D326"/>
      <c r="AB326"/>
      <c r="AC326"/>
      <c r="AD326"/>
    </row>
    <row r="327" spans="4:30" x14ac:dyDescent="0.25">
      <c r="D327"/>
      <c r="AB327"/>
      <c r="AC327"/>
      <c r="AD327"/>
    </row>
    <row r="328" spans="4:30" x14ac:dyDescent="0.25">
      <c r="D328"/>
      <c r="AB328"/>
      <c r="AC328"/>
      <c r="AD328"/>
    </row>
    <row r="329" spans="4:30" x14ac:dyDescent="0.25">
      <c r="D329"/>
      <c r="AB329"/>
      <c r="AC329"/>
      <c r="AD329"/>
    </row>
    <row r="330" spans="4:30" x14ac:dyDescent="0.25">
      <c r="D330"/>
      <c r="AB330"/>
      <c r="AC330"/>
      <c r="AD330"/>
    </row>
    <row r="331" spans="4:30" x14ac:dyDescent="0.25">
      <c r="D331"/>
      <c r="AB331"/>
      <c r="AC331"/>
      <c r="AD331"/>
    </row>
    <row r="332" spans="4:30" x14ac:dyDescent="0.25">
      <c r="D332"/>
      <c r="AB332"/>
      <c r="AC332"/>
      <c r="AD332"/>
    </row>
    <row r="333" spans="4:30" x14ac:dyDescent="0.25">
      <c r="D333"/>
      <c r="AB333"/>
      <c r="AC333"/>
      <c r="AD333"/>
    </row>
    <row r="334" spans="4:30" x14ac:dyDescent="0.25">
      <c r="D334"/>
      <c r="AB334"/>
      <c r="AC334"/>
      <c r="AD334"/>
    </row>
    <row r="335" spans="4:30" x14ac:dyDescent="0.25">
      <c r="D335"/>
      <c r="AB335"/>
      <c r="AC335"/>
      <c r="AD335"/>
    </row>
    <row r="336" spans="4:30" x14ac:dyDescent="0.25">
      <c r="D336"/>
      <c r="AB336"/>
      <c r="AC336"/>
      <c r="AD336"/>
    </row>
    <row r="337" spans="4:30" x14ac:dyDescent="0.25">
      <c r="D337"/>
      <c r="AB337"/>
      <c r="AC337"/>
      <c r="AD337"/>
    </row>
    <row r="338" spans="4:30" x14ac:dyDescent="0.25">
      <c r="D338"/>
      <c r="AB338"/>
      <c r="AC338"/>
      <c r="AD338"/>
    </row>
    <row r="339" spans="4:30" x14ac:dyDescent="0.25">
      <c r="D339"/>
      <c r="AB339"/>
      <c r="AC339"/>
      <c r="AD339"/>
    </row>
    <row r="340" spans="4:30" x14ac:dyDescent="0.25">
      <c r="D340"/>
      <c r="AB340"/>
      <c r="AC340"/>
      <c r="AD340"/>
    </row>
    <row r="341" spans="4:30" x14ac:dyDescent="0.25">
      <c r="D341"/>
      <c r="AB341"/>
      <c r="AC341"/>
      <c r="AD341"/>
    </row>
    <row r="342" spans="4:30" x14ac:dyDescent="0.25">
      <c r="D342"/>
      <c r="AB342"/>
      <c r="AC342"/>
      <c r="AD342"/>
    </row>
    <row r="343" spans="4:30" x14ac:dyDescent="0.25">
      <c r="D343"/>
      <c r="AB343"/>
      <c r="AC343"/>
      <c r="AD343"/>
    </row>
    <row r="344" spans="4:30" x14ac:dyDescent="0.25">
      <c r="D344"/>
      <c r="AB344"/>
      <c r="AC344"/>
      <c r="AD344"/>
    </row>
    <row r="345" spans="4:30" x14ac:dyDescent="0.25">
      <c r="D345"/>
      <c r="AB345"/>
      <c r="AC345"/>
      <c r="AD345"/>
    </row>
    <row r="346" spans="4:30" x14ac:dyDescent="0.25">
      <c r="D346"/>
      <c r="AB346"/>
      <c r="AC346"/>
      <c r="AD346"/>
    </row>
    <row r="347" spans="4:30" x14ac:dyDescent="0.25">
      <c r="D347"/>
      <c r="AB347"/>
      <c r="AC347"/>
      <c r="AD347"/>
    </row>
    <row r="348" spans="4:30" x14ac:dyDescent="0.25">
      <c r="D348"/>
      <c r="AB348"/>
      <c r="AC348"/>
      <c r="AD348"/>
    </row>
    <row r="349" spans="4:30" x14ac:dyDescent="0.25">
      <c r="D349"/>
      <c r="AB349"/>
      <c r="AC349"/>
      <c r="AD349"/>
    </row>
    <row r="350" spans="4:30" x14ac:dyDescent="0.25">
      <c r="D350"/>
      <c r="AB350"/>
      <c r="AC350"/>
      <c r="AD350"/>
    </row>
    <row r="351" spans="4:30" x14ac:dyDescent="0.25">
      <c r="D351"/>
      <c r="AB351"/>
      <c r="AC351"/>
      <c r="AD351"/>
    </row>
    <row r="352" spans="4:30" x14ac:dyDescent="0.25">
      <c r="D352"/>
      <c r="AB352"/>
      <c r="AC352"/>
      <c r="AD352"/>
    </row>
    <row r="353" spans="4:30" x14ac:dyDescent="0.25">
      <c r="D353"/>
      <c r="AB353"/>
      <c r="AC353"/>
      <c r="AD353"/>
    </row>
    <row r="354" spans="4:30" x14ac:dyDescent="0.25">
      <c r="D354"/>
      <c r="AB354"/>
      <c r="AC354"/>
      <c r="AD354"/>
    </row>
    <row r="355" spans="4:30" x14ac:dyDescent="0.25">
      <c r="D355"/>
      <c r="AB355"/>
      <c r="AC355"/>
      <c r="AD355"/>
    </row>
    <row r="356" spans="4:30" x14ac:dyDescent="0.25">
      <c r="D356"/>
      <c r="AB356"/>
      <c r="AC356"/>
      <c r="AD356"/>
    </row>
    <row r="357" spans="4:30" x14ac:dyDescent="0.25">
      <c r="D357"/>
      <c r="AB357"/>
      <c r="AC357"/>
      <c r="AD357"/>
    </row>
    <row r="358" spans="4:30" x14ac:dyDescent="0.25">
      <c r="D358"/>
      <c r="AB358"/>
      <c r="AC358"/>
      <c r="AD358"/>
    </row>
    <row r="359" spans="4:30" x14ac:dyDescent="0.25">
      <c r="D359"/>
      <c r="AB359"/>
      <c r="AC359"/>
      <c r="AD359"/>
    </row>
    <row r="360" spans="4:30" x14ac:dyDescent="0.25">
      <c r="D360"/>
      <c r="AB360"/>
      <c r="AC360"/>
      <c r="AD360"/>
    </row>
    <row r="361" spans="4:30" x14ac:dyDescent="0.25">
      <c r="D361"/>
      <c r="AB361"/>
      <c r="AC361"/>
      <c r="AD361"/>
    </row>
    <row r="362" spans="4:30" x14ac:dyDescent="0.25">
      <c r="D362"/>
      <c r="AB362"/>
      <c r="AC362"/>
      <c r="AD362"/>
    </row>
    <row r="363" spans="4:30" x14ac:dyDescent="0.25">
      <c r="D363"/>
      <c r="AB363"/>
      <c r="AC363"/>
      <c r="AD363"/>
    </row>
    <row r="364" spans="4:30" x14ac:dyDescent="0.25">
      <c r="D364"/>
      <c r="AB364"/>
      <c r="AC364"/>
      <c r="AD364"/>
    </row>
    <row r="365" spans="4:30" x14ac:dyDescent="0.25">
      <c r="D365"/>
      <c r="AB365"/>
      <c r="AC365"/>
      <c r="AD365"/>
    </row>
    <row r="366" spans="4:30" x14ac:dyDescent="0.25">
      <c r="D366"/>
      <c r="AB366"/>
      <c r="AC366"/>
      <c r="AD366"/>
    </row>
    <row r="367" spans="4:30" x14ac:dyDescent="0.25">
      <c r="D367"/>
      <c r="AB367"/>
      <c r="AC367"/>
      <c r="AD367"/>
    </row>
    <row r="368" spans="4:30" x14ac:dyDescent="0.25">
      <c r="D368"/>
      <c r="AB368"/>
      <c r="AC368"/>
      <c r="AD368"/>
    </row>
    <row r="369" spans="4:30" x14ac:dyDescent="0.25">
      <c r="D369"/>
      <c r="AB369"/>
      <c r="AC369"/>
      <c r="AD369"/>
    </row>
    <row r="370" spans="4:30" x14ac:dyDescent="0.25">
      <c r="D370"/>
      <c r="AB370"/>
      <c r="AC370"/>
      <c r="AD370"/>
    </row>
    <row r="371" spans="4:30" x14ac:dyDescent="0.25">
      <c r="D371"/>
      <c r="AB371"/>
      <c r="AC371"/>
      <c r="AD371"/>
    </row>
    <row r="372" spans="4:30" x14ac:dyDescent="0.25">
      <c r="D372"/>
      <c r="AB372"/>
      <c r="AC372"/>
      <c r="AD372"/>
    </row>
    <row r="373" spans="4:30" x14ac:dyDescent="0.25">
      <c r="D373"/>
      <c r="AB373"/>
      <c r="AC373"/>
      <c r="AD373"/>
    </row>
    <row r="374" spans="4:30" x14ac:dyDescent="0.25">
      <c r="D374"/>
      <c r="AB374"/>
      <c r="AC374"/>
      <c r="AD374"/>
    </row>
    <row r="375" spans="4:30" x14ac:dyDescent="0.25">
      <c r="D375"/>
      <c r="AB375"/>
      <c r="AC375"/>
      <c r="AD375"/>
    </row>
    <row r="376" spans="4:30" x14ac:dyDescent="0.25">
      <c r="D376"/>
      <c r="AB376"/>
      <c r="AC376"/>
      <c r="AD376"/>
    </row>
    <row r="377" spans="4:30" x14ac:dyDescent="0.25">
      <c r="D377"/>
      <c r="AB377"/>
      <c r="AC377"/>
      <c r="AD377"/>
    </row>
    <row r="378" spans="4:30" x14ac:dyDescent="0.25">
      <c r="D378"/>
      <c r="AB378"/>
      <c r="AC378"/>
      <c r="AD378"/>
    </row>
    <row r="379" spans="4:30" x14ac:dyDescent="0.25">
      <c r="D379"/>
      <c r="AB379"/>
      <c r="AC379"/>
      <c r="AD379"/>
    </row>
    <row r="380" spans="4:30" x14ac:dyDescent="0.25">
      <c r="D380"/>
      <c r="AB380"/>
      <c r="AC380"/>
      <c r="AD380"/>
    </row>
    <row r="381" spans="4:30" x14ac:dyDescent="0.25">
      <c r="D381"/>
      <c r="AB381"/>
      <c r="AC381"/>
      <c r="AD381"/>
    </row>
    <row r="382" spans="4:30" x14ac:dyDescent="0.25">
      <c r="D382"/>
      <c r="AB382"/>
      <c r="AC382"/>
      <c r="AD382"/>
    </row>
    <row r="383" spans="4:30" x14ac:dyDescent="0.25">
      <c r="D383"/>
      <c r="AB383"/>
      <c r="AC383"/>
      <c r="AD383"/>
    </row>
    <row r="384" spans="4:30" x14ac:dyDescent="0.25">
      <c r="D384"/>
      <c r="AB384"/>
      <c r="AC384"/>
      <c r="AD384"/>
    </row>
    <row r="385" spans="4:30" x14ac:dyDescent="0.25">
      <c r="D385"/>
      <c r="AB385"/>
      <c r="AC385"/>
      <c r="AD385"/>
    </row>
    <row r="386" spans="4:30" x14ac:dyDescent="0.25">
      <c r="D386"/>
      <c r="AB386"/>
      <c r="AC386"/>
      <c r="AD386"/>
    </row>
    <row r="387" spans="4:30" x14ac:dyDescent="0.25">
      <c r="D387"/>
      <c r="AB387"/>
      <c r="AC387"/>
      <c r="AD387"/>
    </row>
    <row r="388" spans="4:30" x14ac:dyDescent="0.25">
      <c r="D388"/>
      <c r="U388" s="40"/>
      <c r="V388" s="39"/>
      <c r="W388" s="39"/>
      <c r="AB388"/>
      <c r="AC388"/>
      <c r="AD388"/>
    </row>
    <row r="389" spans="4:30" x14ac:dyDescent="0.25">
      <c r="D389"/>
      <c r="U389" s="40"/>
      <c r="V389" s="39"/>
      <c r="W389" s="39"/>
      <c r="AB389"/>
      <c r="AC389"/>
      <c r="AD389"/>
    </row>
    <row r="390" spans="4:30" x14ac:dyDescent="0.25">
      <c r="D390"/>
      <c r="U390" s="40"/>
      <c r="V390" s="39"/>
      <c r="W390" s="39"/>
      <c r="AB390"/>
      <c r="AC390"/>
      <c r="AD390"/>
    </row>
    <row r="391" spans="4:30" x14ac:dyDescent="0.25">
      <c r="D391"/>
      <c r="U391" s="40"/>
      <c r="V391" s="39"/>
      <c r="W391" s="39"/>
      <c r="AB391"/>
      <c r="AC391"/>
      <c r="AD391"/>
    </row>
    <row r="392" spans="4:30" x14ac:dyDescent="0.25">
      <c r="D392"/>
      <c r="U392" s="40"/>
      <c r="V392" s="39"/>
      <c r="W392" s="39"/>
      <c r="AB392"/>
      <c r="AC392"/>
      <c r="AD392"/>
    </row>
    <row r="393" spans="4:30" x14ac:dyDescent="0.25">
      <c r="D393"/>
      <c r="U393" s="40"/>
      <c r="V393" s="39"/>
      <c r="W393" s="39"/>
      <c r="AB393"/>
      <c r="AC393"/>
      <c r="AD393"/>
    </row>
    <row r="394" spans="4:30" x14ac:dyDescent="0.25">
      <c r="D394"/>
      <c r="U394" s="40"/>
      <c r="V394" s="39"/>
      <c r="W394" s="39"/>
      <c r="AB394"/>
      <c r="AC394"/>
      <c r="AD394"/>
    </row>
    <row r="395" spans="4:30" x14ac:dyDescent="0.25">
      <c r="D395"/>
      <c r="U395" s="40"/>
      <c r="V395" s="39"/>
      <c r="W395" s="39"/>
      <c r="AB395"/>
      <c r="AC395"/>
      <c r="AD395"/>
    </row>
    <row r="396" spans="4:30" x14ac:dyDescent="0.25">
      <c r="D396"/>
      <c r="U396" s="40"/>
      <c r="V396" s="39"/>
      <c r="W396" s="39"/>
      <c r="AB396"/>
      <c r="AC396"/>
      <c r="AD396"/>
    </row>
    <row r="397" spans="4:30" x14ac:dyDescent="0.25">
      <c r="D397"/>
    </row>
    <row r="398" spans="4:30" x14ac:dyDescent="0.25">
      <c r="D398"/>
    </row>
    <row r="399" spans="4:30" x14ac:dyDescent="0.25">
      <c r="D399"/>
    </row>
    <row r="400" spans="4:30" x14ac:dyDescent="0.25">
      <c r="D400"/>
      <c r="AB400"/>
      <c r="AC400"/>
      <c r="AD400"/>
    </row>
    <row r="401" spans="4:30" x14ac:dyDescent="0.25">
      <c r="D401"/>
      <c r="AB401"/>
      <c r="AC401"/>
      <c r="AD401"/>
    </row>
    <row r="402" spans="4:30" x14ac:dyDescent="0.25">
      <c r="D402"/>
      <c r="AB402"/>
      <c r="AC402"/>
      <c r="AD402"/>
    </row>
    <row r="403" spans="4:30" x14ac:dyDescent="0.25">
      <c r="D403"/>
      <c r="AB403"/>
      <c r="AC403"/>
      <c r="AD403"/>
    </row>
    <row r="404" spans="4:30" x14ac:dyDescent="0.25">
      <c r="D404"/>
      <c r="AB404"/>
      <c r="AC404"/>
      <c r="AD404"/>
    </row>
    <row r="405" spans="4:30" x14ac:dyDescent="0.25">
      <c r="D405"/>
      <c r="AB405"/>
      <c r="AC405"/>
      <c r="AD405"/>
    </row>
    <row r="406" spans="4:30" x14ac:dyDescent="0.25">
      <c r="D406"/>
      <c r="AB406"/>
      <c r="AC406"/>
      <c r="AD406"/>
    </row>
    <row r="407" spans="4:30" x14ac:dyDescent="0.25">
      <c r="D407"/>
      <c r="AB407"/>
      <c r="AC407"/>
      <c r="AD407"/>
    </row>
    <row r="408" spans="4:30" x14ac:dyDescent="0.25">
      <c r="D408"/>
      <c r="AB408"/>
      <c r="AC408"/>
      <c r="AD408"/>
    </row>
    <row r="409" spans="4:30" x14ac:dyDescent="0.25">
      <c r="D409"/>
      <c r="AB409"/>
      <c r="AC409"/>
      <c r="AD409"/>
    </row>
    <row r="410" spans="4:30" x14ac:dyDescent="0.25">
      <c r="D410"/>
      <c r="AB410"/>
      <c r="AC410"/>
      <c r="AD410"/>
    </row>
    <row r="411" spans="4:30" x14ac:dyDescent="0.25">
      <c r="D411"/>
      <c r="AB411"/>
      <c r="AC411"/>
      <c r="AD411"/>
    </row>
    <row r="412" spans="4:30" x14ac:dyDescent="0.25">
      <c r="D412"/>
      <c r="AB412"/>
      <c r="AC412"/>
      <c r="AD412"/>
    </row>
    <row r="413" spans="4:30" x14ac:dyDescent="0.25">
      <c r="D413"/>
      <c r="AB413"/>
      <c r="AC413"/>
      <c r="AD413"/>
    </row>
    <row r="414" spans="4:30" x14ac:dyDescent="0.25">
      <c r="D414"/>
      <c r="AB414"/>
      <c r="AC414"/>
      <c r="AD414"/>
    </row>
    <row r="415" spans="4:30" x14ac:dyDescent="0.25">
      <c r="D415"/>
      <c r="AB415"/>
      <c r="AC415"/>
      <c r="AD415"/>
    </row>
    <row r="416" spans="4:30" x14ac:dyDescent="0.25">
      <c r="D416"/>
      <c r="AB416"/>
      <c r="AC416"/>
      <c r="AD416"/>
    </row>
    <row r="417" spans="4:30" x14ac:dyDescent="0.25">
      <c r="D417"/>
      <c r="AB417"/>
      <c r="AC417"/>
      <c r="AD417"/>
    </row>
    <row r="418" spans="4:30" x14ac:dyDescent="0.25">
      <c r="D418"/>
      <c r="AB418"/>
      <c r="AC418"/>
      <c r="AD418"/>
    </row>
    <row r="419" spans="4:30" x14ac:dyDescent="0.25">
      <c r="D419"/>
      <c r="AB419"/>
      <c r="AC419"/>
      <c r="AD419"/>
    </row>
    <row r="420" spans="4:30" x14ac:dyDescent="0.25">
      <c r="D420"/>
      <c r="AB420"/>
      <c r="AC420"/>
      <c r="AD420"/>
    </row>
    <row r="421" spans="4:30" x14ac:dyDescent="0.25">
      <c r="D421"/>
      <c r="AB421"/>
      <c r="AC421"/>
      <c r="AD421"/>
    </row>
    <row r="422" spans="4:30" x14ac:dyDescent="0.25">
      <c r="D422"/>
      <c r="AB422"/>
      <c r="AC422"/>
      <c r="AD422"/>
    </row>
    <row r="423" spans="4:30" x14ac:dyDescent="0.25">
      <c r="D423"/>
      <c r="AB423"/>
      <c r="AC423"/>
      <c r="AD423"/>
    </row>
    <row r="424" spans="4:30" x14ac:dyDescent="0.25">
      <c r="D424"/>
      <c r="AB424"/>
      <c r="AC424"/>
      <c r="AD424"/>
    </row>
    <row r="425" spans="4:30" x14ac:dyDescent="0.25">
      <c r="D425"/>
      <c r="AB425"/>
      <c r="AC425"/>
      <c r="AD425"/>
    </row>
    <row r="426" spans="4:30" x14ac:dyDescent="0.25">
      <c r="D426"/>
      <c r="AB426"/>
      <c r="AC426"/>
      <c r="AD426"/>
    </row>
    <row r="427" spans="4:30" x14ac:dyDescent="0.25">
      <c r="D427"/>
      <c r="AB427"/>
      <c r="AC427"/>
      <c r="AD427"/>
    </row>
    <row r="428" spans="4:30" x14ac:dyDescent="0.25">
      <c r="D428"/>
      <c r="AB428"/>
      <c r="AC428"/>
      <c r="AD428"/>
    </row>
    <row r="429" spans="4:30" x14ac:dyDescent="0.25">
      <c r="D429"/>
      <c r="AB429"/>
      <c r="AC429"/>
      <c r="AD429"/>
    </row>
    <row r="430" spans="4:30" x14ac:dyDescent="0.25">
      <c r="D430"/>
      <c r="AB430"/>
      <c r="AC430"/>
      <c r="AD430"/>
    </row>
    <row r="431" spans="4:30" x14ac:dyDescent="0.25">
      <c r="D431"/>
      <c r="AB431"/>
      <c r="AC431"/>
      <c r="AD431"/>
    </row>
    <row r="432" spans="4:30" x14ac:dyDescent="0.25">
      <c r="D432"/>
      <c r="AB432"/>
      <c r="AC432"/>
      <c r="AD432"/>
    </row>
    <row r="433" spans="4:30" x14ac:dyDescent="0.25">
      <c r="D433"/>
      <c r="AB433"/>
      <c r="AC433"/>
      <c r="AD433"/>
    </row>
    <row r="434" spans="4:30" x14ac:dyDescent="0.25">
      <c r="D434"/>
      <c r="AB434"/>
      <c r="AC434"/>
      <c r="AD434"/>
    </row>
    <row r="435" spans="4:30" x14ac:dyDescent="0.25">
      <c r="D435"/>
      <c r="AB435"/>
      <c r="AC435"/>
      <c r="AD435"/>
    </row>
    <row r="436" spans="4:30" x14ac:dyDescent="0.25">
      <c r="D436"/>
      <c r="AB436"/>
      <c r="AC436"/>
      <c r="AD436"/>
    </row>
    <row r="437" spans="4:30" x14ac:dyDescent="0.25">
      <c r="D437"/>
      <c r="AB437"/>
      <c r="AC437"/>
      <c r="AD437"/>
    </row>
    <row r="438" spans="4:30" x14ac:dyDescent="0.25">
      <c r="D438"/>
      <c r="AB438"/>
      <c r="AC438"/>
      <c r="AD438"/>
    </row>
    <row r="439" spans="4:30" x14ac:dyDescent="0.25">
      <c r="D439"/>
      <c r="AB439"/>
      <c r="AC439"/>
      <c r="AD439"/>
    </row>
    <row r="440" spans="4:30" x14ac:dyDescent="0.25">
      <c r="D440"/>
      <c r="AB440"/>
      <c r="AC440"/>
      <c r="AD440"/>
    </row>
    <row r="441" spans="4:30" x14ac:dyDescent="0.25">
      <c r="D441"/>
      <c r="AB441"/>
      <c r="AC441"/>
      <c r="AD441"/>
    </row>
    <row r="442" spans="4:30" x14ac:dyDescent="0.25">
      <c r="D442"/>
      <c r="AB442"/>
      <c r="AC442"/>
      <c r="AD442"/>
    </row>
    <row r="443" spans="4:30" x14ac:dyDescent="0.25">
      <c r="D443"/>
      <c r="AB443"/>
      <c r="AC443"/>
      <c r="AD443"/>
    </row>
    <row r="444" spans="4:30" x14ac:dyDescent="0.25">
      <c r="D444"/>
      <c r="AB444"/>
      <c r="AC444"/>
      <c r="AD444"/>
    </row>
    <row r="445" spans="4:30" x14ac:dyDescent="0.25">
      <c r="D445"/>
      <c r="AB445"/>
      <c r="AC445"/>
      <c r="AD445"/>
    </row>
    <row r="446" spans="4:30" x14ac:dyDescent="0.25">
      <c r="D446"/>
      <c r="AB446"/>
      <c r="AC446"/>
      <c r="AD446"/>
    </row>
    <row r="447" spans="4:30" x14ac:dyDescent="0.25">
      <c r="D447"/>
      <c r="AB447"/>
      <c r="AC447"/>
      <c r="AD447"/>
    </row>
    <row r="448" spans="4:30" x14ac:dyDescent="0.25">
      <c r="D448"/>
      <c r="AB448"/>
      <c r="AC448"/>
      <c r="AD448"/>
    </row>
    <row r="449" spans="4:30" x14ac:dyDescent="0.25">
      <c r="D449"/>
      <c r="AB449"/>
      <c r="AC449"/>
      <c r="AD449"/>
    </row>
    <row r="450" spans="4:30" x14ac:dyDescent="0.25">
      <c r="D450"/>
      <c r="AB450"/>
      <c r="AC450"/>
      <c r="AD450"/>
    </row>
    <row r="451" spans="4:30" x14ac:dyDescent="0.25">
      <c r="AB451"/>
      <c r="AC451"/>
      <c r="AD451"/>
    </row>
    <row r="452" spans="4:30" x14ac:dyDescent="0.25">
      <c r="AB452"/>
      <c r="AC452"/>
      <c r="AD452"/>
    </row>
    <row r="453" spans="4:30" x14ac:dyDescent="0.25">
      <c r="AB453"/>
      <c r="AC453"/>
      <c r="AD453"/>
    </row>
    <row r="454" spans="4:30" x14ac:dyDescent="0.25">
      <c r="AB454"/>
      <c r="AC454"/>
      <c r="AD454"/>
    </row>
    <row r="455" spans="4:30" x14ac:dyDescent="0.25">
      <c r="AB455"/>
      <c r="AC455"/>
      <c r="AD455"/>
    </row>
    <row r="456" spans="4:30" x14ac:dyDescent="0.25">
      <c r="AB456"/>
      <c r="AC456"/>
      <c r="AD456"/>
    </row>
    <row r="457" spans="4:30" x14ac:dyDescent="0.25">
      <c r="AB457"/>
      <c r="AC457"/>
      <c r="AD457"/>
    </row>
    <row r="458" spans="4:30" x14ac:dyDescent="0.25">
      <c r="AB458"/>
      <c r="AC458"/>
      <c r="AD458"/>
    </row>
    <row r="459" spans="4:30" x14ac:dyDescent="0.25">
      <c r="AB459"/>
      <c r="AC459"/>
      <c r="AD459"/>
    </row>
    <row r="460" spans="4:30" x14ac:dyDescent="0.25">
      <c r="AB460"/>
      <c r="AC460"/>
      <c r="AD460"/>
    </row>
    <row r="461" spans="4:30" x14ac:dyDescent="0.25">
      <c r="AB461"/>
      <c r="AC461"/>
      <c r="AD461"/>
    </row>
    <row r="462" spans="4:30" x14ac:dyDescent="0.25">
      <c r="AB462"/>
      <c r="AC462"/>
      <c r="AD462"/>
    </row>
    <row r="463" spans="4:30" x14ac:dyDescent="0.25">
      <c r="AB463"/>
      <c r="AC463"/>
      <c r="AD463"/>
    </row>
    <row r="464" spans="4:30" x14ac:dyDescent="0.25">
      <c r="AB464"/>
      <c r="AC464"/>
      <c r="AD464"/>
    </row>
    <row r="465" spans="4:30" x14ac:dyDescent="0.25">
      <c r="AB465"/>
      <c r="AC465"/>
      <c r="AD465"/>
    </row>
    <row r="466" spans="4:30" x14ac:dyDescent="0.25">
      <c r="D466"/>
      <c r="AB466"/>
      <c r="AC466"/>
      <c r="AD466"/>
    </row>
    <row r="467" spans="4:30" x14ac:dyDescent="0.25">
      <c r="D467"/>
      <c r="AB467"/>
      <c r="AC467"/>
      <c r="AD467"/>
    </row>
    <row r="468" spans="4:30" x14ac:dyDescent="0.25">
      <c r="D468"/>
      <c r="AB468"/>
      <c r="AC468"/>
      <c r="AD468"/>
    </row>
    <row r="469" spans="4:30" x14ac:dyDescent="0.25">
      <c r="D469"/>
      <c r="AB469"/>
      <c r="AC469"/>
      <c r="AD469"/>
    </row>
    <row r="470" spans="4:30" x14ac:dyDescent="0.25">
      <c r="D470"/>
      <c r="AB470"/>
      <c r="AC470"/>
      <c r="AD470"/>
    </row>
    <row r="471" spans="4:30" x14ac:dyDescent="0.25">
      <c r="D471"/>
      <c r="AB471"/>
      <c r="AC471"/>
      <c r="AD471"/>
    </row>
    <row r="472" spans="4:30" x14ac:dyDescent="0.25">
      <c r="D472"/>
      <c r="AB472"/>
      <c r="AC472"/>
      <c r="AD472"/>
    </row>
    <row r="473" spans="4:30" x14ac:dyDescent="0.25">
      <c r="D473"/>
      <c r="AB473"/>
      <c r="AC473"/>
      <c r="AD473"/>
    </row>
    <row r="474" spans="4:30" x14ac:dyDescent="0.25">
      <c r="D474"/>
      <c r="AB474"/>
      <c r="AC474"/>
      <c r="AD474"/>
    </row>
    <row r="475" spans="4:30" x14ac:dyDescent="0.25">
      <c r="D475"/>
      <c r="AB475"/>
      <c r="AC475"/>
      <c r="AD475"/>
    </row>
    <row r="476" spans="4:30" x14ac:dyDescent="0.25">
      <c r="D476"/>
      <c r="AB476"/>
      <c r="AC476"/>
      <c r="AD476"/>
    </row>
    <row r="477" spans="4:30" x14ac:dyDescent="0.25">
      <c r="D477"/>
      <c r="AB477"/>
      <c r="AC477"/>
      <c r="AD477"/>
    </row>
    <row r="478" spans="4:30" x14ac:dyDescent="0.25">
      <c r="D478"/>
      <c r="AB478"/>
      <c r="AC478"/>
      <c r="AD478"/>
    </row>
    <row r="479" spans="4:30" x14ac:dyDescent="0.25">
      <c r="D479"/>
      <c r="AB479"/>
      <c r="AC479"/>
      <c r="AD479"/>
    </row>
    <row r="480" spans="4:30" x14ac:dyDescent="0.25">
      <c r="D480"/>
      <c r="AB480"/>
      <c r="AC480"/>
      <c r="AD480"/>
    </row>
    <row r="481" spans="4:30" x14ac:dyDescent="0.25">
      <c r="D481"/>
      <c r="AB481"/>
      <c r="AC481"/>
      <c r="AD481"/>
    </row>
    <row r="482" spans="4:30" x14ac:dyDescent="0.25">
      <c r="D482"/>
      <c r="AB482"/>
      <c r="AC482"/>
      <c r="AD482"/>
    </row>
    <row r="483" spans="4:30" x14ac:dyDescent="0.25">
      <c r="D483"/>
      <c r="AB483"/>
      <c r="AC483"/>
      <c r="AD483"/>
    </row>
    <row r="484" spans="4:30" x14ac:dyDescent="0.25">
      <c r="D484"/>
      <c r="AB484"/>
      <c r="AC484"/>
      <c r="AD484"/>
    </row>
    <row r="485" spans="4:30" x14ac:dyDescent="0.25">
      <c r="D485"/>
      <c r="AB485"/>
      <c r="AC485"/>
      <c r="AD485"/>
    </row>
    <row r="486" spans="4:30" x14ac:dyDescent="0.25">
      <c r="D486"/>
      <c r="AB486"/>
      <c r="AC486"/>
      <c r="AD486"/>
    </row>
    <row r="487" spans="4:30" x14ac:dyDescent="0.25">
      <c r="D487"/>
      <c r="AB487"/>
      <c r="AC487"/>
      <c r="AD487"/>
    </row>
    <row r="488" spans="4:30" x14ac:dyDescent="0.25">
      <c r="D488"/>
      <c r="AB488"/>
      <c r="AC488"/>
      <c r="AD488"/>
    </row>
    <row r="489" spans="4:30" x14ac:dyDescent="0.25">
      <c r="D489"/>
      <c r="AB489"/>
      <c r="AC489"/>
      <c r="AD489"/>
    </row>
    <row r="490" spans="4:30" x14ac:dyDescent="0.25">
      <c r="D490"/>
      <c r="AB490"/>
      <c r="AC490"/>
      <c r="AD490"/>
    </row>
    <row r="491" spans="4:30" x14ac:dyDescent="0.25">
      <c r="D491"/>
      <c r="AB491"/>
      <c r="AC491"/>
      <c r="AD491"/>
    </row>
    <row r="492" spans="4:30" x14ac:dyDescent="0.25">
      <c r="D492"/>
      <c r="AB492"/>
      <c r="AC492"/>
      <c r="AD492"/>
    </row>
    <row r="493" spans="4:30" x14ac:dyDescent="0.25">
      <c r="D493"/>
      <c r="AB493"/>
      <c r="AC493"/>
      <c r="AD493"/>
    </row>
    <row r="494" spans="4:30" x14ac:dyDescent="0.25">
      <c r="D494"/>
      <c r="AB494"/>
      <c r="AC494"/>
      <c r="AD494"/>
    </row>
    <row r="495" spans="4:30" x14ac:dyDescent="0.25">
      <c r="D495"/>
      <c r="AB495"/>
      <c r="AC495"/>
      <c r="AD495"/>
    </row>
    <row r="496" spans="4:30" x14ac:dyDescent="0.25">
      <c r="D496"/>
      <c r="AB496"/>
      <c r="AC496"/>
      <c r="AD496"/>
    </row>
    <row r="497" spans="4:30" x14ac:dyDescent="0.25">
      <c r="D497"/>
      <c r="AB497"/>
      <c r="AC497"/>
      <c r="AD497"/>
    </row>
    <row r="498" spans="4:30" x14ac:dyDescent="0.25">
      <c r="D498"/>
      <c r="AB498"/>
      <c r="AC498"/>
      <c r="AD498"/>
    </row>
    <row r="499" spans="4:30" x14ac:dyDescent="0.25">
      <c r="D499"/>
      <c r="AB499"/>
      <c r="AC499"/>
      <c r="AD499"/>
    </row>
    <row r="500" spans="4:30" x14ac:dyDescent="0.25">
      <c r="D500"/>
      <c r="AB500"/>
      <c r="AC500"/>
      <c r="AD500"/>
    </row>
    <row r="501" spans="4:30" x14ac:dyDescent="0.25">
      <c r="D501"/>
      <c r="AB501"/>
      <c r="AC501"/>
      <c r="AD501"/>
    </row>
    <row r="502" spans="4:30" x14ac:dyDescent="0.25">
      <c r="D502"/>
      <c r="AB502"/>
      <c r="AC502"/>
      <c r="AD502"/>
    </row>
    <row r="503" spans="4:30" x14ac:dyDescent="0.25">
      <c r="D503"/>
      <c r="AB503"/>
      <c r="AC503"/>
      <c r="AD503"/>
    </row>
    <row r="504" spans="4:30" x14ac:dyDescent="0.25">
      <c r="D504"/>
      <c r="AB504"/>
      <c r="AC504"/>
      <c r="AD504"/>
    </row>
    <row r="505" spans="4:30" x14ac:dyDescent="0.25">
      <c r="D505"/>
      <c r="AB505"/>
      <c r="AC505"/>
      <c r="AD505"/>
    </row>
    <row r="506" spans="4:30" x14ac:dyDescent="0.25">
      <c r="D506"/>
      <c r="AB506"/>
      <c r="AC506"/>
      <c r="AD506"/>
    </row>
    <row r="507" spans="4:30" x14ac:dyDescent="0.25">
      <c r="D507"/>
      <c r="AB507"/>
      <c r="AC507"/>
      <c r="AD507"/>
    </row>
    <row r="508" spans="4:30" x14ac:dyDescent="0.25">
      <c r="D508"/>
      <c r="AB508"/>
      <c r="AC508"/>
      <c r="AD508"/>
    </row>
    <row r="509" spans="4:30" x14ac:dyDescent="0.25">
      <c r="D509"/>
      <c r="AB509"/>
      <c r="AC509"/>
      <c r="AD509"/>
    </row>
    <row r="510" spans="4:30" x14ac:dyDescent="0.25">
      <c r="D510"/>
      <c r="AB510"/>
      <c r="AC510"/>
      <c r="AD510"/>
    </row>
    <row r="511" spans="4:30" x14ac:dyDescent="0.25">
      <c r="D511"/>
      <c r="AB511"/>
      <c r="AC511"/>
      <c r="AD511"/>
    </row>
    <row r="512" spans="4:30" x14ac:dyDescent="0.25">
      <c r="D512"/>
      <c r="AB512"/>
      <c r="AC512"/>
      <c r="AD512"/>
    </row>
  </sheetData>
  <mergeCells count="2">
    <mergeCell ref="R22:W22"/>
    <mergeCell ref="Z22:AE2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zoomScaleNormal="100" workbookViewId="0">
      <selection activeCell="A41" sqref="A41:F60"/>
    </sheetView>
  </sheetViews>
  <sheetFormatPr defaultColWidth="9.140625" defaultRowHeight="15" x14ac:dyDescent="0.25"/>
  <cols>
    <col min="1" max="1" width="22" style="1" bestFit="1" customWidth="1"/>
    <col min="2" max="7" width="15.5703125" style="1" customWidth="1"/>
    <col min="8" max="8" width="12" style="1" bestFit="1" customWidth="1"/>
    <col min="9" max="13" width="10" style="1" customWidth="1"/>
    <col min="14" max="14" width="14.5703125" style="1" bestFit="1" customWidth="1"/>
    <col min="15" max="15" width="16.28515625" style="1" bestFit="1" customWidth="1"/>
    <col min="16" max="16" width="16.42578125" style="1" bestFit="1" customWidth="1"/>
    <col min="17" max="17" width="10.140625" style="1" customWidth="1"/>
    <col min="18" max="18" width="19.140625" style="1" bestFit="1" customWidth="1"/>
    <col min="19" max="19" width="7.140625" style="1" bestFit="1" customWidth="1"/>
    <col min="20" max="16384" width="9.140625" style="1"/>
  </cols>
  <sheetData>
    <row r="1" spans="1:15" thickBot="1" x14ac:dyDescent="0.35">
      <c r="A1" s="250" t="s">
        <v>6</v>
      </c>
      <c r="B1" s="251"/>
      <c r="C1" s="260"/>
      <c r="D1" s="260"/>
      <c r="E1" s="251"/>
      <c r="F1" s="251"/>
      <c r="G1" s="251"/>
      <c r="H1" s="251"/>
      <c r="I1" s="251"/>
      <c r="J1" s="251"/>
      <c r="K1" s="251"/>
      <c r="L1" s="252"/>
    </row>
    <row r="2" spans="1:15" ht="28.9" x14ac:dyDescent="0.3">
      <c r="A2" s="2" t="s">
        <v>11</v>
      </c>
      <c r="B2" s="14" t="s">
        <v>8</v>
      </c>
      <c r="C2" s="202" t="s">
        <v>66</v>
      </c>
      <c r="D2" s="202" t="s">
        <v>10</v>
      </c>
      <c r="E2" s="16" t="s">
        <v>9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7</v>
      </c>
      <c r="K2" s="3" t="s">
        <v>0</v>
      </c>
      <c r="L2" s="3" t="s">
        <v>1</v>
      </c>
      <c r="M2" s="8" t="s">
        <v>2</v>
      </c>
    </row>
    <row r="3" spans="1:15" ht="14.45" x14ac:dyDescent="0.3">
      <c r="A3" s="96">
        <v>0</v>
      </c>
      <c r="B3" s="194">
        <v>17</v>
      </c>
      <c r="C3" s="194" t="s">
        <v>83</v>
      </c>
      <c r="D3" s="194">
        <v>3700</v>
      </c>
      <c r="E3" s="194">
        <f>D3</f>
        <v>3700</v>
      </c>
      <c r="F3" s="183">
        <v>4</v>
      </c>
      <c r="G3" s="101">
        <v>4</v>
      </c>
      <c r="H3" s="101">
        <v>5</v>
      </c>
      <c r="I3" s="102">
        <v>5</v>
      </c>
      <c r="J3" s="10">
        <f t="shared" ref="J3:J15" si="0">E3*0.16*6.38^2/(F3*G3*H3*I3*M3)</f>
        <v>40.161674666666663</v>
      </c>
      <c r="K3" s="10">
        <f t="shared" ref="K3:K15" si="1">F3/857*1000</f>
        <v>4.6674445740956818</v>
      </c>
      <c r="L3" s="10">
        <f t="shared" ref="L3:L15" si="2">G3/130*1000</f>
        <v>30.76923076923077</v>
      </c>
      <c r="M3" s="12">
        <v>1.5</v>
      </c>
    </row>
    <row r="4" spans="1:15" ht="14.45" x14ac:dyDescent="0.3">
      <c r="A4" s="196">
        <f>B4-$B$3</f>
        <v>0</v>
      </c>
      <c r="B4" s="194">
        <v>17</v>
      </c>
      <c r="C4" s="194" t="s">
        <v>82</v>
      </c>
      <c r="D4" s="194">
        <v>750</v>
      </c>
      <c r="E4" s="194">
        <f>E3</f>
        <v>3700</v>
      </c>
      <c r="F4" s="184">
        <f>F3</f>
        <v>4</v>
      </c>
      <c r="G4" s="104">
        <f t="shared" ref="G4:I4" si="3">G3</f>
        <v>4</v>
      </c>
      <c r="H4" s="104">
        <f t="shared" si="3"/>
        <v>5</v>
      </c>
      <c r="I4" s="105">
        <f t="shared" si="3"/>
        <v>5</v>
      </c>
      <c r="J4" s="10">
        <f t="shared" si="0"/>
        <v>40.161674666666663</v>
      </c>
      <c r="K4" s="10">
        <f t="shared" si="1"/>
        <v>4.6674445740956818</v>
      </c>
      <c r="L4" s="10">
        <f t="shared" si="2"/>
        <v>30.76923076923077</v>
      </c>
      <c r="M4" s="12">
        <v>1.5</v>
      </c>
      <c r="O4" s="9"/>
    </row>
    <row r="5" spans="1:15" ht="14.45" x14ac:dyDescent="0.3">
      <c r="A5" s="92">
        <f>B5-$B$3</f>
        <v>0</v>
      </c>
      <c r="B5" s="184">
        <f>B4</f>
        <v>17</v>
      </c>
      <c r="C5" s="191" t="s">
        <v>82</v>
      </c>
      <c r="D5" s="191"/>
      <c r="E5" s="186">
        <f>IFERROR(D5*E4/D4,0)</f>
        <v>0</v>
      </c>
      <c r="F5" s="205">
        <v>4</v>
      </c>
      <c r="G5" s="94">
        <v>4</v>
      </c>
      <c r="H5" s="94">
        <v>15</v>
      </c>
      <c r="I5" s="95">
        <v>15</v>
      </c>
      <c r="J5" s="10">
        <f t="shared" si="0"/>
        <v>0</v>
      </c>
      <c r="K5" s="10">
        <f t="shared" si="1"/>
        <v>4.6674445740956818</v>
      </c>
      <c r="L5" s="10">
        <f t="shared" si="2"/>
        <v>30.76923076923077</v>
      </c>
      <c r="M5" s="12">
        <v>1.5</v>
      </c>
    </row>
    <row r="6" spans="1:15" ht="14.45" x14ac:dyDescent="0.3">
      <c r="A6" s="96">
        <f t="shared" ref="A6:A15" si="4">B6-$B$3</f>
        <v>11</v>
      </c>
      <c r="B6" s="183">
        <v>28</v>
      </c>
      <c r="C6" s="191" t="s">
        <v>82</v>
      </c>
      <c r="D6" s="191"/>
      <c r="E6" s="187">
        <f>E5</f>
        <v>0</v>
      </c>
      <c r="F6" s="206">
        <f>F5</f>
        <v>4</v>
      </c>
      <c r="G6" s="98">
        <f t="shared" ref="G6:I6" si="5">G5</f>
        <v>4</v>
      </c>
      <c r="H6" s="98">
        <f t="shared" si="5"/>
        <v>15</v>
      </c>
      <c r="I6" s="99">
        <f t="shared" si="5"/>
        <v>15</v>
      </c>
      <c r="J6" s="10">
        <f t="shared" si="0"/>
        <v>0</v>
      </c>
      <c r="K6" s="10">
        <f t="shared" si="1"/>
        <v>4.6674445740956818</v>
      </c>
      <c r="L6" s="10">
        <f t="shared" si="2"/>
        <v>30.76923076923077</v>
      </c>
      <c r="M6" s="12">
        <v>1.5</v>
      </c>
    </row>
    <row r="7" spans="1:15" ht="14.45" x14ac:dyDescent="0.3">
      <c r="A7" s="92">
        <f t="shared" si="4"/>
        <v>11</v>
      </c>
      <c r="B7" s="184">
        <v>28</v>
      </c>
      <c r="C7" s="204" t="s">
        <v>82</v>
      </c>
      <c r="D7" s="204"/>
      <c r="E7" s="188">
        <v>868403.10077519389</v>
      </c>
      <c r="F7" s="101">
        <v>4</v>
      </c>
      <c r="G7" s="101">
        <v>16</v>
      </c>
      <c r="H7" s="101">
        <v>35</v>
      </c>
      <c r="I7" s="102">
        <v>55</v>
      </c>
      <c r="J7" s="10">
        <f t="shared" si="0"/>
        <v>30.604179372462166</v>
      </c>
      <c r="K7" s="10">
        <f t="shared" si="1"/>
        <v>4.6674445740956818</v>
      </c>
      <c r="L7" s="10">
        <f t="shared" si="2"/>
        <v>123.07692307692308</v>
      </c>
      <c r="M7" s="12">
        <v>1.5</v>
      </c>
    </row>
    <row r="8" spans="1:15" ht="14.45" x14ac:dyDescent="0.3">
      <c r="A8" s="200">
        <f t="shared" si="4"/>
        <v>19</v>
      </c>
      <c r="B8" s="183">
        <v>36</v>
      </c>
      <c r="C8" s="204" t="s">
        <v>82</v>
      </c>
      <c r="D8" s="204"/>
      <c r="E8" s="189">
        <f>E7</f>
        <v>868403.10077519389</v>
      </c>
      <c r="F8" s="184">
        <f>F7</f>
        <v>4</v>
      </c>
      <c r="G8" s="104">
        <f t="shared" ref="G8:I14" si="6">G7</f>
        <v>16</v>
      </c>
      <c r="H8" s="104">
        <f t="shared" si="6"/>
        <v>35</v>
      </c>
      <c r="I8" s="105">
        <f t="shared" si="6"/>
        <v>55</v>
      </c>
      <c r="J8" s="10">
        <f t="shared" si="0"/>
        <v>30.604179372462166</v>
      </c>
      <c r="K8" s="10">
        <f t="shared" si="1"/>
        <v>4.6674445740956818</v>
      </c>
      <c r="L8" s="10">
        <f t="shared" si="2"/>
        <v>123.07692307692308</v>
      </c>
      <c r="M8" s="12">
        <v>1.5</v>
      </c>
    </row>
    <row r="9" spans="1:15" ht="14.45" x14ac:dyDescent="0.3">
      <c r="A9" s="201">
        <f t="shared" si="4"/>
        <v>11</v>
      </c>
      <c r="B9" s="184">
        <v>28</v>
      </c>
      <c r="C9" s="204" t="s">
        <v>81</v>
      </c>
      <c r="D9" s="204"/>
      <c r="E9" s="188">
        <f>IFERROR(D9*E8/D8,0)</f>
        <v>0</v>
      </c>
      <c r="F9" s="183">
        <v>10</v>
      </c>
      <c r="G9" s="101">
        <v>8</v>
      </c>
      <c r="H9" s="101">
        <v>30</v>
      </c>
      <c r="I9" s="102">
        <v>30</v>
      </c>
      <c r="J9" s="10">
        <f t="shared" si="0"/>
        <v>0</v>
      </c>
      <c r="K9" s="10">
        <f t="shared" si="1"/>
        <v>11.668611435239207</v>
      </c>
      <c r="L9" s="10">
        <f t="shared" si="2"/>
        <v>61.53846153846154</v>
      </c>
      <c r="M9" s="12">
        <v>1.5</v>
      </c>
    </row>
    <row r="10" spans="1:15" ht="14.45" x14ac:dyDescent="0.3">
      <c r="A10" s="96">
        <f t="shared" si="4"/>
        <v>16</v>
      </c>
      <c r="B10" s="183">
        <v>33</v>
      </c>
      <c r="C10" s="204" t="s">
        <v>81</v>
      </c>
      <c r="D10" s="204"/>
      <c r="E10" s="189">
        <f>E9</f>
        <v>0</v>
      </c>
      <c r="F10" s="184">
        <f>F9</f>
        <v>10</v>
      </c>
      <c r="G10" s="104">
        <f t="shared" si="6"/>
        <v>8</v>
      </c>
      <c r="H10" s="104">
        <f t="shared" si="6"/>
        <v>30</v>
      </c>
      <c r="I10" s="105">
        <f t="shared" si="6"/>
        <v>30</v>
      </c>
      <c r="J10" s="10">
        <f t="shared" si="0"/>
        <v>0</v>
      </c>
      <c r="K10" s="10">
        <f t="shared" si="1"/>
        <v>11.668611435239207</v>
      </c>
      <c r="L10" s="10">
        <f t="shared" si="2"/>
        <v>61.53846153846154</v>
      </c>
      <c r="M10" s="12">
        <v>1.5</v>
      </c>
    </row>
    <row r="11" spans="1:15" ht="14.45" x14ac:dyDescent="0.3">
      <c r="A11" s="92">
        <f t="shared" si="4"/>
        <v>16</v>
      </c>
      <c r="B11" s="184">
        <v>33</v>
      </c>
      <c r="C11" s="204" t="s">
        <v>82</v>
      </c>
      <c r="D11" s="204"/>
      <c r="E11" s="188">
        <f>IFERROR(D11*E10/D10,0)</f>
        <v>0</v>
      </c>
      <c r="F11" s="183">
        <v>4</v>
      </c>
      <c r="G11" s="101">
        <v>20</v>
      </c>
      <c r="H11" s="101">
        <v>40</v>
      </c>
      <c r="I11" s="102">
        <v>60</v>
      </c>
      <c r="J11" s="10">
        <f t="shared" si="0"/>
        <v>0</v>
      </c>
      <c r="K11" s="10">
        <f t="shared" si="1"/>
        <v>4.6674445740956818</v>
      </c>
      <c r="L11" s="10">
        <f t="shared" si="2"/>
        <v>153.84615384615387</v>
      </c>
      <c r="M11" s="12">
        <v>1.5</v>
      </c>
    </row>
    <row r="12" spans="1:15" ht="14.45" x14ac:dyDescent="0.3">
      <c r="A12" s="96">
        <f t="shared" si="4"/>
        <v>19</v>
      </c>
      <c r="B12" s="183">
        <v>36</v>
      </c>
      <c r="C12" s="204" t="s">
        <v>87</v>
      </c>
      <c r="D12" s="204"/>
      <c r="E12" s="189">
        <f>E11</f>
        <v>0</v>
      </c>
      <c r="F12" s="184">
        <f>F11</f>
        <v>4</v>
      </c>
      <c r="G12" s="104">
        <f t="shared" si="6"/>
        <v>20</v>
      </c>
      <c r="H12" s="104">
        <f t="shared" si="6"/>
        <v>40</v>
      </c>
      <c r="I12" s="105">
        <f t="shared" si="6"/>
        <v>60</v>
      </c>
      <c r="J12" s="10">
        <f t="shared" si="0"/>
        <v>0</v>
      </c>
      <c r="K12" s="10">
        <f t="shared" si="1"/>
        <v>4.6674445740956818</v>
      </c>
      <c r="L12" s="10">
        <f t="shared" si="2"/>
        <v>153.84615384615387</v>
      </c>
      <c r="M12" s="12">
        <v>1.5</v>
      </c>
    </row>
    <row r="13" spans="1:15" ht="14.45" x14ac:dyDescent="0.3">
      <c r="A13" s="92">
        <f t="shared" si="4"/>
        <v>23</v>
      </c>
      <c r="B13" s="184">
        <v>40</v>
      </c>
      <c r="C13" s="191" t="s">
        <v>67</v>
      </c>
      <c r="D13" s="191">
        <v>0</v>
      </c>
      <c r="E13" s="188">
        <f>IFERROR(D13*E12/D12,0)</f>
        <v>0</v>
      </c>
      <c r="F13" s="183">
        <v>10</v>
      </c>
      <c r="G13" s="101">
        <v>30</v>
      </c>
      <c r="H13" s="101">
        <v>50</v>
      </c>
      <c r="I13" s="102">
        <v>80</v>
      </c>
      <c r="J13" s="10">
        <f t="shared" si="0"/>
        <v>0</v>
      </c>
      <c r="K13" s="10">
        <f t="shared" si="1"/>
        <v>11.668611435239207</v>
      </c>
      <c r="L13" s="10">
        <f t="shared" si="2"/>
        <v>230.76923076923077</v>
      </c>
      <c r="M13" s="12">
        <v>1.5</v>
      </c>
    </row>
    <row r="14" spans="1:15" ht="14.45" x14ac:dyDescent="0.3">
      <c r="A14" s="96">
        <f t="shared" si="4"/>
        <v>27</v>
      </c>
      <c r="B14" s="183">
        <v>44</v>
      </c>
      <c r="C14" s="191" t="s">
        <v>67</v>
      </c>
      <c r="D14" s="191">
        <v>0</v>
      </c>
      <c r="E14" s="189">
        <f>E13</f>
        <v>0</v>
      </c>
      <c r="F14" s="184">
        <f>F13</f>
        <v>10</v>
      </c>
      <c r="G14" s="104">
        <f t="shared" si="6"/>
        <v>30</v>
      </c>
      <c r="H14" s="104">
        <f t="shared" si="6"/>
        <v>50</v>
      </c>
      <c r="I14" s="105">
        <f t="shared" si="6"/>
        <v>80</v>
      </c>
      <c r="J14" s="10">
        <f t="shared" si="0"/>
        <v>0</v>
      </c>
      <c r="K14" s="10">
        <f t="shared" si="1"/>
        <v>11.668611435239207</v>
      </c>
      <c r="L14" s="10">
        <f t="shared" si="2"/>
        <v>230.76923076923077</v>
      </c>
      <c r="M14" s="12">
        <v>1.5</v>
      </c>
    </row>
    <row r="15" spans="1:15" thickBot="1" x14ac:dyDescent="0.35">
      <c r="A15" s="92">
        <f t="shared" si="4"/>
        <v>27</v>
      </c>
      <c r="B15" s="184">
        <v>44</v>
      </c>
      <c r="C15" s="191" t="s">
        <v>67</v>
      </c>
      <c r="D15" s="191">
        <v>0</v>
      </c>
      <c r="E15" s="11">
        <f>IFERROR(D15*E14/D14,0)</f>
        <v>0</v>
      </c>
      <c r="F15" s="6">
        <v>12</v>
      </c>
      <c r="G15" s="6">
        <v>34</v>
      </c>
      <c r="H15" s="6">
        <v>70</v>
      </c>
      <c r="I15" s="6">
        <v>80</v>
      </c>
      <c r="J15" s="7">
        <f t="shared" si="0"/>
        <v>0</v>
      </c>
      <c r="K15" s="7">
        <f t="shared" si="1"/>
        <v>14.002333722287048</v>
      </c>
      <c r="L15" s="7">
        <f t="shared" si="2"/>
        <v>261.53846153846155</v>
      </c>
      <c r="M15" s="13">
        <v>1.5</v>
      </c>
    </row>
    <row r="16" spans="1:15" thickBot="1" x14ac:dyDescent="0.35">
      <c r="D16" s="9"/>
      <c r="I16" s="10"/>
      <c r="J16" s="10"/>
      <c r="K16" s="10"/>
    </row>
    <row r="17" spans="1:18" ht="15.75" thickBot="1" x14ac:dyDescent="0.3">
      <c r="A17" s="261" t="s">
        <v>25</v>
      </c>
      <c r="B17" s="261"/>
      <c r="C17" s="261"/>
      <c r="D17" s="191" t="s">
        <v>68</v>
      </c>
      <c r="E17" s="191" t="s">
        <v>69</v>
      </c>
      <c r="F17" s="163" t="s">
        <v>145</v>
      </c>
      <c r="G17" s="256" t="s">
        <v>41</v>
      </c>
      <c r="H17" s="257"/>
      <c r="I17" s="134"/>
      <c r="J17" t="s">
        <v>149</v>
      </c>
      <c r="K17" s="218"/>
      <c r="L17" s="10"/>
      <c r="M17" s="10"/>
    </row>
    <row r="18" spans="1:18" x14ac:dyDescent="0.25">
      <c r="A18" s="191"/>
      <c r="B18" s="191" t="s">
        <v>23</v>
      </c>
      <c r="C18" s="191" t="s">
        <v>24</v>
      </c>
      <c r="D18" s="222">
        <f>MAX(E3:E15)*1.6E-19</f>
        <v>1.3894449612403101E-13</v>
      </c>
      <c r="E18" s="223">
        <f>D18*1000000000</f>
        <v>1.3894449612403099E-4</v>
      </c>
      <c r="F18" s="223">
        <f>E18*2</f>
        <v>2.7788899224806199E-4</v>
      </c>
      <c r="G18" s="8" t="s">
        <v>39</v>
      </c>
      <c r="H18" s="208">
        <v>1</v>
      </c>
      <c r="I18" s="128"/>
      <c r="J18" t="s">
        <v>150</v>
      </c>
      <c r="K18" s="212"/>
      <c r="L18" s="10"/>
      <c r="M18" s="10"/>
    </row>
    <row r="19" spans="1:18" x14ac:dyDescent="0.25">
      <c r="A19" s="191" t="s">
        <v>22</v>
      </c>
      <c r="B19" s="165">
        <v>12.3962</v>
      </c>
      <c r="C19" s="165">
        <v>10.4824</v>
      </c>
      <c r="D19" s="182"/>
      <c r="E19" s="182"/>
      <c r="F19" s="9"/>
      <c r="G19" s="18" t="s">
        <v>40</v>
      </c>
      <c r="H19" s="207">
        <v>5.9</v>
      </c>
      <c r="I19" s="81"/>
      <c r="J19" t="s">
        <v>151</v>
      </c>
      <c r="K19" s="212"/>
      <c r="L19" s="10"/>
      <c r="M19" s="10"/>
    </row>
    <row r="20" spans="1:18" ht="15.75" thickBot="1" x14ac:dyDescent="0.3">
      <c r="A20" s="191" t="s">
        <v>174</v>
      </c>
      <c r="B20" s="165">
        <v>42</v>
      </c>
      <c r="C20" s="165">
        <v>164</v>
      </c>
      <c r="D20" s="182"/>
      <c r="E20" s="182"/>
      <c r="F20" s="9"/>
      <c r="G20" s="19" t="s">
        <v>45</v>
      </c>
      <c r="H20" s="209">
        <v>-6.9390000000000001</v>
      </c>
      <c r="I20" s="135"/>
      <c r="J20" t="s">
        <v>152</v>
      </c>
      <c r="K20" s="10"/>
      <c r="L20" s="10"/>
      <c r="M20" s="214"/>
      <c r="N20" s="182"/>
      <c r="O20" s="182"/>
      <c r="P20" s="216"/>
      <c r="Q20" s="216"/>
      <c r="R20" s="152"/>
    </row>
    <row r="21" spans="1:18" x14ac:dyDescent="0.25">
      <c r="A21" s="96" t="s">
        <v>21</v>
      </c>
      <c r="B21" s="225">
        <f>B20/1000</f>
        <v>4.2000000000000003E-2</v>
      </c>
      <c r="C21" s="225">
        <f>C20/1000</f>
        <v>0.16400000000000001</v>
      </c>
      <c r="I21" s="136"/>
      <c r="J21" t="s">
        <v>153</v>
      </c>
      <c r="M21" s="182"/>
      <c r="N21" s="152"/>
      <c r="O21" s="217"/>
      <c r="P21" s="217"/>
      <c r="Q21" s="182"/>
      <c r="R21" s="182"/>
    </row>
    <row r="22" spans="1:18" x14ac:dyDescent="0.25">
      <c r="A22" s="261" t="s">
        <v>183</v>
      </c>
      <c r="B22" s="261"/>
      <c r="C22" s="261"/>
      <c r="D22" s="261"/>
      <c r="E22" s="261"/>
      <c r="F22" s="261"/>
      <c r="G22" s="191"/>
      <c r="H22" s="213"/>
      <c r="M22" s="182"/>
      <c r="N22" s="152"/>
      <c r="O22" s="152"/>
      <c r="P22" s="152"/>
      <c r="Q22" s="182"/>
      <c r="R22" s="182"/>
    </row>
    <row r="23" spans="1:18" x14ac:dyDescent="0.25">
      <c r="A23" s="175" t="s">
        <v>20</v>
      </c>
      <c r="B23" s="175" t="s">
        <v>190</v>
      </c>
      <c r="C23" s="175" t="s">
        <v>191</v>
      </c>
      <c r="D23" s="175" t="s">
        <v>192</v>
      </c>
      <c r="E23" s="175" t="s">
        <v>193</v>
      </c>
      <c r="F23" s="175" t="s">
        <v>194</v>
      </c>
      <c r="G23" s="175" t="s">
        <v>197</v>
      </c>
      <c r="H23" s="175" t="s">
        <v>196</v>
      </c>
      <c r="I23" s="175" t="s">
        <v>198</v>
      </c>
      <c r="J23" s="175" t="s">
        <v>199</v>
      </c>
      <c r="K23" s="175" t="s">
        <v>200</v>
      </c>
      <c r="L23" s="175" t="s">
        <v>201</v>
      </c>
      <c r="M23" s="175" t="s">
        <v>202</v>
      </c>
      <c r="N23" s="175" t="s">
        <v>203</v>
      </c>
      <c r="O23" s="175" t="s">
        <v>204</v>
      </c>
      <c r="P23" s="175" t="s">
        <v>205</v>
      </c>
      <c r="Q23" s="175" t="s">
        <v>195</v>
      </c>
      <c r="R23" s="175" t="s">
        <v>206</v>
      </c>
    </row>
    <row r="24" spans="1:18" x14ac:dyDescent="0.25">
      <c r="A24" s="175" t="s">
        <v>17</v>
      </c>
      <c r="B24" s="175">
        <v>256</v>
      </c>
      <c r="C24" s="175">
        <v>512</v>
      </c>
      <c r="D24" s="175">
        <v>1024</v>
      </c>
      <c r="E24" s="175">
        <v>2048</v>
      </c>
      <c r="F24" s="175">
        <v>512</v>
      </c>
      <c r="G24" s="175">
        <v>512</v>
      </c>
      <c r="H24" s="175">
        <v>512</v>
      </c>
      <c r="I24" s="175">
        <v>512</v>
      </c>
      <c r="J24" s="175">
        <v>512</v>
      </c>
      <c r="K24" s="175">
        <v>512</v>
      </c>
      <c r="L24" s="175">
        <v>512</v>
      </c>
      <c r="M24" s="175">
        <v>512</v>
      </c>
      <c r="N24" s="175">
        <v>512</v>
      </c>
      <c r="O24" s="175">
        <v>512</v>
      </c>
      <c r="P24" s="175">
        <v>512</v>
      </c>
      <c r="Q24" s="175">
        <v>512</v>
      </c>
      <c r="R24" s="175">
        <v>512</v>
      </c>
    </row>
    <row r="25" spans="1:18" x14ac:dyDescent="0.25">
      <c r="A25" s="224" t="s">
        <v>179</v>
      </c>
      <c r="B25" s="211">
        <f t="shared" ref="B25:R25" si="7">MAX($E$3:$E$15)*2</f>
        <v>1736806.2015503878</v>
      </c>
      <c r="C25" s="211">
        <f t="shared" si="7"/>
        <v>1736806.2015503878</v>
      </c>
      <c r="D25" s="211">
        <f t="shared" si="7"/>
        <v>1736806.2015503878</v>
      </c>
      <c r="E25" s="211">
        <f t="shared" si="7"/>
        <v>1736806.2015503878</v>
      </c>
      <c r="F25" s="211">
        <f t="shared" si="7"/>
        <v>1736806.2015503878</v>
      </c>
      <c r="G25" s="211">
        <f t="shared" si="7"/>
        <v>1736806.2015503878</v>
      </c>
      <c r="H25" s="211">
        <f t="shared" si="7"/>
        <v>1736806.2015503878</v>
      </c>
      <c r="I25" s="211">
        <f t="shared" si="7"/>
        <v>1736806.2015503878</v>
      </c>
      <c r="J25" s="211">
        <f t="shared" si="7"/>
        <v>1736806.2015503878</v>
      </c>
      <c r="K25" s="211">
        <f t="shared" si="7"/>
        <v>1736806.2015503878</v>
      </c>
      <c r="L25" s="211">
        <f t="shared" si="7"/>
        <v>1736806.2015503878</v>
      </c>
      <c r="M25" s="211">
        <f t="shared" si="7"/>
        <v>1736806.2015503878</v>
      </c>
      <c r="N25" s="211">
        <f t="shared" si="7"/>
        <v>1736806.2015503878</v>
      </c>
      <c r="O25" s="211">
        <f t="shared" si="7"/>
        <v>1736806.2015503878</v>
      </c>
      <c r="P25" s="211">
        <f t="shared" si="7"/>
        <v>1736806.2015503878</v>
      </c>
      <c r="Q25" s="211">
        <f t="shared" si="7"/>
        <v>1736806.2015503878</v>
      </c>
      <c r="R25" s="211">
        <f t="shared" si="7"/>
        <v>1736806.2015503878</v>
      </c>
    </row>
    <row r="26" spans="1:18" x14ac:dyDescent="0.25">
      <c r="A26" s="175" t="s">
        <v>156</v>
      </c>
      <c r="B26" s="238">
        <v>400000</v>
      </c>
      <c r="C26" s="238">
        <v>400000</v>
      </c>
      <c r="D26" s="238">
        <v>400000</v>
      </c>
      <c r="E26" s="238">
        <v>400000</v>
      </c>
      <c r="F26" s="238">
        <v>400000</v>
      </c>
      <c r="G26" s="238">
        <v>500000</v>
      </c>
      <c r="H26" s="238">
        <v>450000</v>
      </c>
      <c r="I26" s="238">
        <v>400000</v>
      </c>
      <c r="J26" s="238">
        <v>350000</v>
      </c>
      <c r="K26" s="238">
        <v>300000</v>
      </c>
      <c r="L26" s="238">
        <v>250000</v>
      </c>
      <c r="M26" s="238">
        <v>200000</v>
      </c>
      <c r="N26" s="238">
        <v>150000</v>
      </c>
      <c r="O26" s="238">
        <v>100000</v>
      </c>
      <c r="P26" s="238">
        <v>50000</v>
      </c>
      <c r="Q26" s="238">
        <v>400000</v>
      </c>
      <c r="R26" s="238">
        <v>400000</v>
      </c>
    </row>
    <row r="27" spans="1:18" x14ac:dyDescent="0.25">
      <c r="A27" s="191" t="s">
        <v>158</v>
      </c>
      <c r="B27" s="211">
        <f t="shared" ref="B27:G27" si="8">B25/B26</f>
        <v>4.3420155038759694</v>
      </c>
      <c r="C27" s="211">
        <f t="shared" si="8"/>
        <v>4.3420155038759694</v>
      </c>
      <c r="D27" s="211">
        <f t="shared" si="8"/>
        <v>4.3420155038759694</v>
      </c>
      <c r="E27" s="211">
        <f t="shared" si="8"/>
        <v>4.3420155038759694</v>
      </c>
      <c r="F27" s="211">
        <f t="shared" si="8"/>
        <v>4.3420155038759694</v>
      </c>
      <c r="G27" s="211">
        <f t="shared" si="8"/>
        <v>3.4736124031007756</v>
      </c>
      <c r="H27" s="211">
        <f t="shared" ref="H27" si="9">H25/H26</f>
        <v>3.8595693367786397</v>
      </c>
      <c r="I27" s="211">
        <f t="shared" ref="I27" si="10">I25/I26</f>
        <v>4.3420155038759694</v>
      </c>
      <c r="J27" s="211">
        <f t="shared" ref="J27" si="11">J25/J26</f>
        <v>4.9623034330011082</v>
      </c>
      <c r="K27" s="211">
        <f t="shared" ref="K27" si="12">K25/K26</f>
        <v>5.7893540051679588</v>
      </c>
      <c r="L27" s="211">
        <f t="shared" ref="L27" si="13">L25/L26</f>
        <v>6.9472248062015511</v>
      </c>
      <c r="M27" s="211">
        <f t="shared" ref="M27" si="14">M25/M26</f>
        <v>8.6840310077519387</v>
      </c>
      <c r="N27" s="211">
        <f t="shared" ref="N27" si="15">N25/N26</f>
        <v>11.578708010335918</v>
      </c>
      <c r="O27" s="211">
        <f t="shared" ref="O27" si="16">O25/O26</f>
        <v>17.368062015503877</v>
      </c>
      <c r="P27" s="211">
        <f t="shared" ref="P27:R27" si="17">P25/P26</f>
        <v>34.736124031007755</v>
      </c>
      <c r="Q27" s="211">
        <f>Q25/Q26</f>
        <v>4.3420155038759694</v>
      </c>
      <c r="R27" s="211">
        <f t="shared" si="17"/>
        <v>4.3420155038759694</v>
      </c>
    </row>
    <row r="28" spans="1:18" x14ac:dyDescent="0.25">
      <c r="A28" s="191" t="s">
        <v>157</v>
      </c>
      <c r="B28" s="211">
        <f t="shared" ref="B28:G28" si="18">B27/1000</f>
        <v>4.342015503875969E-3</v>
      </c>
      <c r="C28" s="211">
        <f t="shared" si="18"/>
        <v>4.342015503875969E-3</v>
      </c>
      <c r="D28" s="211">
        <f t="shared" si="18"/>
        <v>4.342015503875969E-3</v>
      </c>
      <c r="E28" s="211">
        <f t="shared" si="18"/>
        <v>4.342015503875969E-3</v>
      </c>
      <c r="F28" s="211">
        <f t="shared" si="18"/>
        <v>4.342015503875969E-3</v>
      </c>
      <c r="G28" s="211">
        <f t="shared" si="18"/>
        <v>3.4736124031007755E-3</v>
      </c>
      <c r="H28" s="211">
        <f t="shared" ref="H28" si="19">H27/1000</f>
        <v>3.8595693367786395E-3</v>
      </c>
      <c r="I28" s="211">
        <f t="shared" ref="I28" si="20">I27/1000</f>
        <v>4.342015503875969E-3</v>
      </c>
      <c r="J28" s="211">
        <f t="shared" ref="J28" si="21">J27/1000</f>
        <v>4.9623034330011084E-3</v>
      </c>
      <c r="K28" s="211">
        <f t="shared" ref="K28" si="22">K27/1000</f>
        <v>5.789354005167959E-3</v>
      </c>
      <c r="L28" s="211">
        <f t="shared" ref="L28" si="23">L27/1000</f>
        <v>6.9472248062015509E-3</v>
      </c>
      <c r="M28" s="211">
        <f t="shared" ref="M28" si="24">M27/1000</f>
        <v>8.684031007751938E-3</v>
      </c>
      <c r="N28" s="211">
        <f t="shared" ref="N28" si="25">N27/1000</f>
        <v>1.1578708010335918E-2</v>
      </c>
      <c r="O28" s="211">
        <f t="shared" ref="O28" si="26">O27/1000</f>
        <v>1.7368062015503876E-2</v>
      </c>
      <c r="P28" s="211">
        <f t="shared" ref="P28:R28" si="27">P27/1000</f>
        <v>3.4736124031007752E-2</v>
      </c>
      <c r="Q28" s="211">
        <f>Q27/1000</f>
        <v>4.342015503875969E-3</v>
      </c>
      <c r="R28" s="211">
        <f t="shared" si="27"/>
        <v>4.342015503875969E-3</v>
      </c>
    </row>
    <row r="29" spans="1:18" x14ac:dyDescent="0.25">
      <c r="A29" s="165" t="s">
        <v>178</v>
      </c>
      <c r="B29" s="175">
        <v>0</v>
      </c>
      <c r="C29" s="175">
        <v>0</v>
      </c>
      <c r="D29" s="175">
        <v>0</v>
      </c>
      <c r="E29" s="175">
        <v>0</v>
      </c>
      <c r="F29" s="175">
        <v>0</v>
      </c>
      <c r="G29" s="175">
        <v>0</v>
      </c>
      <c r="H29" s="175">
        <v>0</v>
      </c>
      <c r="I29" s="175">
        <v>0</v>
      </c>
      <c r="J29" s="175">
        <v>0</v>
      </c>
      <c r="K29" s="175">
        <v>0</v>
      </c>
      <c r="L29" s="175">
        <v>0</v>
      </c>
      <c r="M29" s="175">
        <v>0</v>
      </c>
      <c r="N29" s="175">
        <v>0</v>
      </c>
      <c r="O29" s="175">
        <v>0</v>
      </c>
      <c r="P29" s="175">
        <v>0</v>
      </c>
      <c r="Q29" s="175">
        <v>0</v>
      </c>
      <c r="R29" s="175">
        <v>0</v>
      </c>
    </row>
    <row r="30" spans="1:18" x14ac:dyDescent="0.25">
      <c r="A30" s="204" t="s">
        <v>180</v>
      </c>
      <c r="B30" s="191">
        <f>$B$19/B24/1000</f>
        <v>4.8422656249999998E-5</v>
      </c>
      <c r="C30" s="210">
        <f t="shared" ref="C30:R30" si="28">$B$19/C24/1000</f>
        <v>2.4211328124999999E-5</v>
      </c>
      <c r="D30" s="210">
        <f t="shared" si="28"/>
        <v>1.21056640625E-5</v>
      </c>
      <c r="E30" s="210">
        <f t="shared" si="28"/>
        <v>6.0528320312499998E-6</v>
      </c>
      <c r="F30" s="210">
        <f t="shared" si="28"/>
        <v>2.4211328124999999E-5</v>
      </c>
      <c r="G30" s="210">
        <f t="shared" si="28"/>
        <v>2.4211328124999999E-5</v>
      </c>
      <c r="H30" s="210">
        <f t="shared" si="28"/>
        <v>2.4211328124999999E-5</v>
      </c>
      <c r="I30" s="210">
        <f t="shared" si="28"/>
        <v>2.4211328124999999E-5</v>
      </c>
      <c r="J30" s="210">
        <f t="shared" si="28"/>
        <v>2.4211328124999999E-5</v>
      </c>
      <c r="K30" s="210">
        <f t="shared" si="28"/>
        <v>2.4211328124999999E-5</v>
      </c>
      <c r="L30" s="210">
        <f t="shared" si="28"/>
        <v>2.4211328124999999E-5</v>
      </c>
      <c r="M30" s="210">
        <f t="shared" si="28"/>
        <v>2.4211328124999999E-5</v>
      </c>
      <c r="N30" s="210">
        <f t="shared" si="28"/>
        <v>2.4211328124999999E-5</v>
      </c>
      <c r="O30" s="210">
        <f t="shared" si="28"/>
        <v>2.4211328124999999E-5</v>
      </c>
      <c r="P30" s="210">
        <f t="shared" si="28"/>
        <v>2.4211328124999999E-5</v>
      </c>
      <c r="Q30" s="210">
        <f t="shared" si="28"/>
        <v>2.4211328124999999E-5</v>
      </c>
      <c r="R30" s="210">
        <f t="shared" si="28"/>
        <v>2.4211328124999999E-5</v>
      </c>
    </row>
    <row r="31" spans="1:18" x14ac:dyDescent="0.25">
      <c r="A31" s="204" t="s">
        <v>181</v>
      </c>
      <c r="B31" s="191">
        <f>$C$19/B24/1000</f>
        <v>4.0946874999999997E-5</v>
      </c>
      <c r="C31" s="210">
        <f t="shared" ref="C31:R31" si="29">$C$19/C24/1000</f>
        <v>2.0473437499999999E-5</v>
      </c>
      <c r="D31" s="210">
        <f t="shared" si="29"/>
        <v>1.0236718749999999E-5</v>
      </c>
      <c r="E31" s="210">
        <f t="shared" si="29"/>
        <v>5.1183593749999997E-6</v>
      </c>
      <c r="F31" s="210">
        <f t="shared" si="29"/>
        <v>2.0473437499999999E-5</v>
      </c>
      <c r="G31" s="210">
        <f t="shared" si="29"/>
        <v>2.0473437499999999E-5</v>
      </c>
      <c r="H31" s="210">
        <f t="shared" si="29"/>
        <v>2.0473437499999999E-5</v>
      </c>
      <c r="I31" s="210">
        <f t="shared" si="29"/>
        <v>2.0473437499999999E-5</v>
      </c>
      <c r="J31" s="210">
        <f t="shared" si="29"/>
        <v>2.0473437499999999E-5</v>
      </c>
      <c r="K31" s="210">
        <f t="shared" si="29"/>
        <v>2.0473437499999999E-5</v>
      </c>
      <c r="L31" s="210">
        <f t="shared" si="29"/>
        <v>2.0473437499999999E-5</v>
      </c>
      <c r="M31" s="210">
        <f t="shared" si="29"/>
        <v>2.0473437499999999E-5</v>
      </c>
      <c r="N31" s="210">
        <f t="shared" si="29"/>
        <v>2.0473437499999999E-5</v>
      </c>
      <c r="O31" s="210">
        <f t="shared" si="29"/>
        <v>2.0473437499999999E-5</v>
      </c>
      <c r="P31" s="210">
        <f t="shared" si="29"/>
        <v>2.0473437499999999E-5</v>
      </c>
      <c r="Q31" s="210">
        <f t="shared" si="29"/>
        <v>2.0473437499999999E-5</v>
      </c>
      <c r="R31" s="210">
        <f t="shared" si="29"/>
        <v>2.0473437499999999E-5</v>
      </c>
    </row>
    <row r="32" spans="1:18" x14ac:dyDescent="0.25">
      <c r="A32" s="203" t="s">
        <v>182</v>
      </c>
      <c r="B32" s="240">
        <f t="shared" ref="B32:G32" si="30">B28/IF(B29,B30,B31)</f>
        <v>106.04021683891553</v>
      </c>
      <c r="C32" s="240">
        <f t="shared" si="30"/>
        <v>212.08043367783105</v>
      </c>
      <c r="D32" s="240">
        <f t="shared" si="30"/>
        <v>424.16086735566211</v>
      </c>
      <c r="E32" s="240">
        <f t="shared" si="30"/>
        <v>848.32173471132421</v>
      </c>
      <c r="F32" s="240">
        <f t="shared" si="30"/>
        <v>212.08043367783105</v>
      </c>
      <c r="G32" s="240">
        <f t="shared" si="30"/>
        <v>169.66434694226487</v>
      </c>
      <c r="H32" s="240">
        <f t="shared" ref="H32" si="31">H28/IF(H29,H30,H31)</f>
        <v>188.51594104696096</v>
      </c>
      <c r="I32" s="240">
        <f t="shared" ref="I32" si="32">I28/IF(I29,I30,I31)</f>
        <v>212.08043367783105</v>
      </c>
      <c r="J32" s="240">
        <f t="shared" ref="J32" si="33">J28/IF(J29,J30,J31)</f>
        <v>242.37763848894983</v>
      </c>
      <c r="K32" s="240">
        <f t="shared" ref="K32" si="34">K28/IF(K29,K30,K31)</f>
        <v>282.77391157044144</v>
      </c>
      <c r="L32" s="240">
        <f t="shared" ref="L32" si="35">L28/IF(L29,L30,L31)</f>
        <v>339.32869388452974</v>
      </c>
      <c r="M32" s="240">
        <f t="shared" ref="M32" si="36">M28/IF(M29,M30,M31)</f>
        <v>424.16086735566211</v>
      </c>
      <c r="N32" s="240">
        <f t="shared" ref="N32" si="37">N28/IF(N29,N30,N31)</f>
        <v>565.54782314088288</v>
      </c>
      <c r="O32" s="240">
        <f t="shared" ref="O32" si="38">O28/IF(O29,O30,O31)</f>
        <v>848.32173471132421</v>
      </c>
      <c r="P32" s="240">
        <f t="shared" ref="P32:R32" si="39">P28/IF(P29,P30,P31)</f>
        <v>1696.6434694226484</v>
      </c>
      <c r="Q32" s="240">
        <f>Q28/IF(Q29,Q30,Q31)</f>
        <v>212.08043367783105</v>
      </c>
      <c r="R32" s="240">
        <f t="shared" si="39"/>
        <v>212.08043367783105</v>
      </c>
    </row>
    <row r="33" spans="1:18" x14ac:dyDescent="0.25">
      <c r="A33" s="191" t="s">
        <v>18</v>
      </c>
      <c r="B33" s="215">
        <f t="shared" ref="B33:G33" si="40">1/B32</f>
        <v>9.4303843372848667E-3</v>
      </c>
      <c r="C33" s="215">
        <f t="shared" si="40"/>
        <v>4.7151921686424333E-3</v>
      </c>
      <c r="D33" s="215">
        <f t="shared" si="40"/>
        <v>2.3575960843212167E-3</v>
      </c>
      <c r="E33" s="215">
        <f t="shared" si="40"/>
        <v>1.1787980421606083E-3</v>
      </c>
      <c r="F33" s="215">
        <f t="shared" si="40"/>
        <v>4.7151921686424333E-3</v>
      </c>
      <c r="G33" s="215">
        <f t="shared" si="40"/>
        <v>5.8939902108030408E-3</v>
      </c>
      <c r="H33" s="215">
        <f t="shared" ref="H33" si="41">1/H32</f>
        <v>5.3045911897227366E-3</v>
      </c>
      <c r="I33" s="215">
        <f t="shared" ref="I33" si="42">1/I32</f>
        <v>4.7151921686424333E-3</v>
      </c>
      <c r="J33" s="215">
        <f t="shared" ref="J33" si="43">1/J32</f>
        <v>4.1257931475621283E-3</v>
      </c>
      <c r="K33" s="215">
        <f t="shared" ref="K33" si="44">1/K32</f>
        <v>3.5363941264818246E-3</v>
      </c>
      <c r="L33" s="215">
        <f t="shared" ref="L33" si="45">1/L32</f>
        <v>2.9469951054015204E-3</v>
      </c>
      <c r="M33" s="215">
        <f t="shared" ref="M33" si="46">1/M32</f>
        <v>2.3575960843212167E-3</v>
      </c>
      <c r="N33" s="215">
        <f t="shared" ref="N33" si="47">1/N32</f>
        <v>1.7681970632409123E-3</v>
      </c>
      <c r="O33" s="215">
        <f t="shared" ref="O33" si="48">1/O32</f>
        <v>1.1787980421606083E-3</v>
      </c>
      <c r="P33" s="215">
        <f t="shared" ref="P33:R33" si="49">1/P32</f>
        <v>5.8939902108030417E-4</v>
      </c>
      <c r="Q33" s="215">
        <f>1/Q32</f>
        <v>4.7151921686424333E-3</v>
      </c>
      <c r="R33" s="215">
        <f t="shared" si="49"/>
        <v>4.7151921686424333E-3</v>
      </c>
    </row>
    <row r="34" spans="1:18" x14ac:dyDescent="0.25">
      <c r="A34" s="175" t="s">
        <v>4</v>
      </c>
      <c r="B34" s="175">
        <v>0</v>
      </c>
      <c r="C34" s="175">
        <v>512</v>
      </c>
      <c r="D34" s="175">
        <v>1024</v>
      </c>
      <c r="E34" s="175">
        <f>E24</f>
        <v>2048</v>
      </c>
      <c r="F34" s="175">
        <v>7678</v>
      </c>
      <c r="G34" s="175">
        <v>512</v>
      </c>
      <c r="H34" s="175">
        <v>512</v>
      </c>
      <c r="I34" s="175">
        <v>512</v>
      </c>
      <c r="J34" s="175">
        <v>512</v>
      </c>
      <c r="K34" s="175">
        <v>512</v>
      </c>
      <c r="L34" s="175">
        <v>512</v>
      </c>
      <c r="M34" s="175">
        <v>512</v>
      </c>
      <c r="N34" s="175">
        <v>512</v>
      </c>
      <c r="O34" s="175">
        <v>512</v>
      </c>
      <c r="P34" s="175">
        <v>512</v>
      </c>
      <c r="Q34" s="175">
        <v>2559</v>
      </c>
      <c r="R34" s="175">
        <v>512</v>
      </c>
    </row>
    <row r="35" spans="1:18" x14ac:dyDescent="0.25">
      <c r="A35" s="175" t="s">
        <v>5</v>
      </c>
      <c r="B35" s="175">
        <v>0</v>
      </c>
      <c r="C35" s="175">
        <v>511</v>
      </c>
      <c r="D35" s="175">
        <v>1023</v>
      </c>
      <c r="E35" s="175">
        <v>2051</v>
      </c>
      <c r="F35" s="175">
        <v>4009</v>
      </c>
      <c r="G35" s="175">
        <v>511</v>
      </c>
      <c r="H35" s="175">
        <v>511</v>
      </c>
      <c r="I35" s="175">
        <v>511</v>
      </c>
      <c r="J35" s="175">
        <v>511</v>
      </c>
      <c r="K35" s="175">
        <v>511</v>
      </c>
      <c r="L35" s="175">
        <v>511</v>
      </c>
      <c r="M35" s="175">
        <v>511</v>
      </c>
      <c r="N35" s="175">
        <v>511</v>
      </c>
      <c r="O35" s="175">
        <v>511</v>
      </c>
      <c r="P35" s="175">
        <v>511</v>
      </c>
      <c r="Q35" s="175">
        <v>2870</v>
      </c>
      <c r="R35" s="175">
        <v>511</v>
      </c>
    </row>
    <row r="36" spans="1:18" x14ac:dyDescent="0.25">
      <c r="A36" s="203" t="s">
        <v>19</v>
      </c>
      <c r="B36" s="215">
        <f t="shared" ref="B36:G36" si="50">B33*(B34+B35)</f>
        <v>0</v>
      </c>
      <c r="C36" s="215">
        <f t="shared" si="50"/>
        <v>4.8236415885212089</v>
      </c>
      <c r="D36" s="215">
        <f t="shared" si="50"/>
        <v>4.8259991846055303</v>
      </c>
      <c r="E36" s="215">
        <f t="shared" si="50"/>
        <v>4.8318931748163338</v>
      </c>
      <c r="F36" s="215">
        <f t="shared" si="50"/>
        <v>55.106450874924121</v>
      </c>
      <c r="G36" s="215">
        <f t="shared" si="50"/>
        <v>6.0295519856515112</v>
      </c>
      <c r="H36" s="215">
        <f t="shared" ref="H36" si="51">H33*(H34+H35)</f>
        <v>5.4265967870863596</v>
      </c>
      <c r="I36" s="215">
        <f t="shared" ref="I36" si="52">I33*(I34+I35)</f>
        <v>4.8236415885212089</v>
      </c>
      <c r="J36" s="215">
        <f t="shared" ref="J36" si="53">J33*(J34+J35)</f>
        <v>4.2206863899560574</v>
      </c>
      <c r="K36" s="215">
        <f t="shared" ref="K36" si="54">K33*(K34+K35)</f>
        <v>3.6177311913909067</v>
      </c>
      <c r="L36" s="215">
        <f t="shared" ref="L36" si="55">L33*(L34+L35)</f>
        <v>3.0147759928257556</v>
      </c>
      <c r="M36" s="215">
        <f t="shared" ref="M36" si="56">M33*(M34+M35)</f>
        <v>2.4118207942606045</v>
      </c>
      <c r="N36" s="215">
        <f t="shared" ref="N36" si="57">N33*(N34+N35)</f>
        <v>1.8088655956954534</v>
      </c>
      <c r="O36" s="215">
        <f t="shared" ref="O36" si="58">O33*(O34+O35)</f>
        <v>1.2059103971303022</v>
      </c>
      <c r="P36" s="215">
        <f t="shared" ref="P36:R36" si="59">P33*(P34+P35)</f>
        <v>0.60295519856515112</v>
      </c>
      <c r="Q36" s="215">
        <f>Q33*(Q34+Q35)</f>
        <v>25.598778283559771</v>
      </c>
      <c r="R36" s="215">
        <f t="shared" si="59"/>
        <v>4.8236415885212089</v>
      </c>
    </row>
    <row r="37" spans="1:18" x14ac:dyDescent="0.25">
      <c r="A37" s="191" t="s">
        <v>30</v>
      </c>
      <c r="B37" s="215">
        <f t="shared" ref="B37:G37" si="60">B36/60</f>
        <v>0</v>
      </c>
      <c r="C37" s="215">
        <f t="shared" si="60"/>
        <v>8.0394026475353486E-2</v>
      </c>
      <c r="D37" s="215">
        <f t="shared" si="60"/>
        <v>8.0433319743425505E-2</v>
      </c>
      <c r="E37" s="215">
        <f t="shared" si="60"/>
        <v>8.0531552913605559E-2</v>
      </c>
      <c r="F37" s="215">
        <f t="shared" si="60"/>
        <v>0.91844084791540204</v>
      </c>
      <c r="G37" s="215">
        <f t="shared" si="60"/>
        <v>0.10049253309419186</v>
      </c>
      <c r="H37" s="215">
        <f t="shared" ref="H37" si="61">H36/60</f>
        <v>9.0443279784772665E-2</v>
      </c>
      <c r="I37" s="215">
        <f t="shared" ref="I37" si="62">I36/60</f>
        <v>8.0394026475353486E-2</v>
      </c>
      <c r="J37" s="215">
        <f t="shared" ref="J37" si="63">J36/60</f>
        <v>7.0344773165934293E-2</v>
      </c>
      <c r="K37" s="215">
        <f t="shared" ref="K37" si="64">K36/60</f>
        <v>6.0295519856515115E-2</v>
      </c>
      <c r="L37" s="215">
        <f t="shared" ref="L37" si="65">L36/60</f>
        <v>5.0246266547095929E-2</v>
      </c>
      <c r="M37" s="215">
        <f t="shared" ref="M37" si="66">M36/60</f>
        <v>4.0197013237676743E-2</v>
      </c>
      <c r="N37" s="215">
        <f t="shared" ref="N37" si="67">N36/60</f>
        <v>3.0147759928257557E-2</v>
      </c>
      <c r="O37" s="215">
        <f t="shared" ref="O37" si="68">O36/60</f>
        <v>2.0098506618838372E-2</v>
      </c>
      <c r="P37" s="215">
        <f t="shared" ref="P37:R37" si="69">P36/60</f>
        <v>1.0049253309419186E-2</v>
      </c>
      <c r="Q37" s="215">
        <f>Q36/60</f>
        <v>0.42664630472599618</v>
      </c>
      <c r="R37" s="215">
        <f t="shared" si="69"/>
        <v>8.0394026475353486E-2</v>
      </c>
    </row>
    <row r="38" spans="1:18" ht="15.75" thickBot="1" x14ac:dyDescent="0.3">
      <c r="A38" s="182"/>
      <c r="B38" s="214"/>
      <c r="C38" s="214"/>
      <c r="D38" s="214"/>
      <c r="E38" s="214"/>
      <c r="F38" s="214"/>
      <c r="G38" s="214"/>
      <c r="H38" s="182"/>
      <c r="K38" s="10"/>
      <c r="L38" s="10"/>
    </row>
    <row r="39" spans="1:18" ht="15.75" thickBot="1" x14ac:dyDescent="0.3">
      <c r="A39" s="258" t="s">
        <v>37</v>
      </c>
      <c r="B39" s="256"/>
      <c r="C39" s="256"/>
      <c r="D39" s="256"/>
      <c r="E39" s="256"/>
      <c r="F39" s="257"/>
      <c r="K39" s="10"/>
      <c r="M39" s="17"/>
      <c r="N39" s="1" t="s">
        <v>23</v>
      </c>
      <c r="O39" s="12" t="s">
        <v>24</v>
      </c>
    </row>
    <row r="40" spans="1:18" x14ac:dyDescent="0.25">
      <c r="A40" s="219" t="s">
        <v>32</v>
      </c>
      <c r="B40" s="220" t="s">
        <v>33</v>
      </c>
      <c r="C40" s="220" t="s">
        <v>3</v>
      </c>
      <c r="D40" s="220" t="s">
        <v>34</v>
      </c>
      <c r="E40" s="220" t="s">
        <v>35</v>
      </c>
      <c r="F40" s="221" t="s">
        <v>36</v>
      </c>
      <c r="G40" s="1" t="s">
        <v>73</v>
      </c>
      <c r="H40" s="1" t="s">
        <v>184</v>
      </c>
      <c r="J40" s="27" t="s">
        <v>185</v>
      </c>
      <c r="K40" s="27" t="s">
        <v>143</v>
      </c>
      <c r="M40" s="18" t="s">
        <v>22</v>
      </c>
      <c r="N40" s="1">
        <v>15</v>
      </c>
      <c r="O40" s="12">
        <v>15</v>
      </c>
    </row>
    <row r="41" spans="1:18" ht="15.75" thickBot="1" x14ac:dyDescent="0.3">
      <c r="A41" s="234">
        <f>$H$18+1</f>
        <v>2</v>
      </c>
      <c r="B41" s="242">
        <f>$H$19+0.005</f>
        <v>5.9050000000000002</v>
      </c>
      <c r="C41" s="243">
        <f>C32</f>
        <v>212.08043367783105</v>
      </c>
      <c r="D41" s="1">
        <v>10</v>
      </c>
      <c r="E41" s="1">
        <v>10</v>
      </c>
      <c r="F41" s="182" t="s">
        <v>208</v>
      </c>
      <c r="G41" s="1">
        <v>1</v>
      </c>
      <c r="H41" s="226">
        <v>4.8236415885212089</v>
      </c>
      <c r="I41" s="226"/>
      <c r="J41" s="226">
        <f>SUM(H41:H60)</f>
        <v>152.46750697011635</v>
      </c>
      <c r="K41" s="226">
        <f>J41/60</f>
        <v>2.5411251161686059</v>
      </c>
      <c r="M41" s="19" t="s">
        <v>21</v>
      </c>
      <c r="N41" s="6">
        <f>50/1000</f>
        <v>0.05</v>
      </c>
      <c r="O41" s="13">
        <f>300/1000</f>
        <v>0.3</v>
      </c>
      <c r="P41" s="4" t="s">
        <v>92</v>
      </c>
      <c r="R41" s="54"/>
    </row>
    <row r="42" spans="1:18" x14ac:dyDescent="0.25">
      <c r="A42" s="241">
        <f>A41+0.001</f>
        <v>2.0009999999999999</v>
      </c>
      <c r="B42" s="242">
        <f>B41</f>
        <v>5.9050000000000002</v>
      </c>
      <c r="C42" s="244">
        <f>D32</f>
        <v>424.16086735566211</v>
      </c>
      <c r="D42" s="1">
        <v>10</v>
      </c>
      <c r="E42" s="1">
        <v>10</v>
      </c>
      <c r="F42" s="182" t="s">
        <v>209</v>
      </c>
      <c r="G42" s="1">
        <f>G41+1</f>
        <v>2</v>
      </c>
      <c r="H42" s="226">
        <v>4.8259991846055303</v>
      </c>
      <c r="I42" s="226"/>
      <c r="J42" s="226"/>
      <c r="K42" s="226"/>
      <c r="M42" s="1" t="s">
        <v>91</v>
      </c>
      <c r="N42" s="1" t="s">
        <v>89</v>
      </c>
      <c r="O42" s="1" t="s">
        <v>90</v>
      </c>
      <c r="P42" s="1" t="s">
        <v>23</v>
      </c>
      <c r="Q42" s="1" t="s">
        <v>24</v>
      </c>
      <c r="R42" s="55" t="s">
        <v>93</v>
      </c>
    </row>
    <row r="43" spans="1:18" x14ac:dyDescent="0.25">
      <c r="A43" s="241">
        <f>A42+0.001</f>
        <v>2.0019999999999998</v>
      </c>
      <c r="B43" s="242">
        <f t="shared" ref="B43" si="70">B42</f>
        <v>5.9050000000000002</v>
      </c>
      <c r="C43" s="245">
        <f>E32</f>
        <v>848.32173471132421</v>
      </c>
      <c r="D43" s="1">
        <v>10</v>
      </c>
      <c r="E43" s="1">
        <v>10</v>
      </c>
      <c r="F43" s="182" t="s">
        <v>210</v>
      </c>
      <c r="G43" s="1">
        <f t="shared" ref="G43:G106" si="71">G42+1</f>
        <v>3</v>
      </c>
      <c r="H43" s="226">
        <v>4.8318931748163338</v>
      </c>
      <c r="I43" s="226"/>
      <c r="J43" s="226"/>
      <c r="K43" s="226"/>
      <c r="M43" s="1">
        <v>64</v>
      </c>
      <c r="N43" s="10">
        <f t="shared" ref="N43:N51" si="72">$N$40/M43*1000</f>
        <v>234.375</v>
      </c>
      <c r="O43" s="10">
        <f t="shared" ref="O43:O51" si="73">$O$40/M43*1000</f>
        <v>234.375</v>
      </c>
      <c r="P43" s="53">
        <f>1000/N43</f>
        <v>4.2666666666666666</v>
      </c>
      <c r="Q43" s="53">
        <f>1000/O43</f>
        <v>4.2666666666666666</v>
      </c>
      <c r="R43" s="10">
        <f>20000/M43</f>
        <v>312.5</v>
      </c>
    </row>
    <row r="44" spans="1:18" x14ac:dyDescent="0.25">
      <c r="A44" s="234">
        <f>A43+$B$19/1000</f>
        <v>2.0143961999999997</v>
      </c>
      <c r="B44" s="242">
        <f t="shared" ref="B44" si="74">B43</f>
        <v>5.9050000000000002</v>
      </c>
      <c r="C44" s="245">
        <f>F32</f>
        <v>212.08043367783105</v>
      </c>
      <c r="D44" s="56">
        <v>10</v>
      </c>
      <c r="E44" s="56">
        <v>10</v>
      </c>
      <c r="F44" s="182" t="s">
        <v>211</v>
      </c>
      <c r="G44" s="1">
        <f t="shared" si="71"/>
        <v>4</v>
      </c>
      <c r="H44" s="226">
        <v>55.106450874924121</v>
      </c>
      <c r="M44" s="1">
        <f>M43*2</f>
        <v>128</v>
      </c>
      <c r="N44" s="10">
        <f t="shared" si="72"/>
        <v>117.1875</v>
      </c>
      <c r="O44" s="10">
        <f t="shared" si="73"/>
        <v>117.1875</v>
      </c>
      <c r="P44" s="53">
        <f t="shared" ref="P44:Q51" si="75">1000/N44</f>
        <v>8.5333333333333332</v>
      </c>
      <c r="Q44" s="53">
        <f t="shared" si="75"/>
        <v>8.5333333333333332</v>
      </c>
      <c r="R44" s="10">
        <f t="shared" ref="R44:R51" si="76">20000/M44</f>
        <v>156.25</v>
      </c>
    </row>
    <row r="45" spans="1:18" x14ac:dyDescent="0.25">
      <c r="A45" s="234">
        <f>A44+$B$19/1000</f>
        <v>2.0267923999999997</v>
      </c>
      <c r="B45" s="242">
        <f t="shared" ref="B45" si="77">B44</f>
        <v>5.9050000000000002</v>
      </c>
      <c r="C45" s="245">
        <f>G32</f>
        <v>169.66434694226487</v>
      </c>
      <c r="D45" s="1">
        <v>10</v>
      </c>
      <c r="E45" s="1">
        <v>10</v>
      </c>
      <c r="F45" s="182" t="s">
        <v>208</v>
      </c>
      <c r="G45" s="1">
        <f t="shared" si="71"/>
        <v>5</v>
      </c>
      <c r="H45" s="226">
        <v>6.0295519856515112</v>
      </c>
      <c r="M45" s="1">
        <f t="shared" ref="M45:M51" si="78">M44*2</f>
        <v>256</v>
      </c>
      <c r="N45" s="10">
        <f t="shared" si="72"/>
        <v>58.59375</v>
      </c>
      <c r="O45" s="10">
        <f t="shared" si="73"/>
        <v>58.59375</v>
      </c>
      <c r="P45" s="53">
        <f t="shared" si="75"/>
        <v>17.066666666666666</v>
      </c>
      <c r="Q45" s="53">
        <f t="shared" si="75"/>
        <v>17.066666666666666</v>
      </c>
      <c r="R45" s="10">
        <f t="shared" si="76"/>
        <v>78.125</v>
      </c>
    </row>
    <row r="46" spans="1:18" x14ac:dyDescent="0.25">
      <c r="A46" s="241">
        <f>A45+0.001</f>
        <v>2.0277923999999996</v>
      </c>
      <c r="B46" s="242">
        <f t="shared" ref="B46" si="79">B45</f>
        <v>5.9050000000000002</v>
      </c>
      <c r="C46" s="245">
        <f>H32</f>
        <v>188.51594104696096</v>
      </c>
      <c r="D46" s="1">
        <v>10</v>
      </c>
      <c r="E46" s="1">
        <v>10</v>
      </c>
      <c r="F46" s="182" t="s">
        <v>208</v>
      </c>
      <c r="G46" s="1">
        <f t="shared" si="71"/>
        <v>6</v>
      </c>
      <c r="H46" s="226">
        <v>5.4265967870863596</v>
      </c>
      <c r="M46" s="1">
        <f t="shared" si="78"/>
        <v>512</v>
      </c>
      <c r="N46" s="10">
        <f t="shared" si="72"/>
        <v>29.296875</v>
      </c>
      <c r="O46" s="10">
        <f t="shared" si="73"/>
        <v>29.296875</v>
      </c>
      <c r="P46" s="53">
        <f t="shared" si="75"/>
        <v>34.133333333333333</v>
      </c>
      <c r="Q46" s="53">
        <f t="shared" si="75"/>
        <v>34.133333333333333</v>
      </c>
      <c r="R46" s="10">
        <f t="shared" si="76"/>
        <v>39.0625</v>
      </c>
    </row>
    <row r="47" spans="1:18" x14ac:dyDescent="0.25">
      <c r="A47" s="241">
        <f t="shared" ref="A47:A54" si="80">A46+0.001</f>
        <v>2.0287923999999995</v>
      </c>
      <c r="B47" s="242">
        <f t="shared" ref="B47" si="81">B46</f>
        <v>5.9050000000000002</v>
      </c>
      <c r="C47" s="245">
        <f>I32</f>
        <v>212.08043367783105</v>
      </c>
      <c r="D47" s="1">
        <v>10</v>
      </c>
      <c r="E47" s="1">
        <v>10</v>
      </c>
      <c r="F47" s="182" t="s">
        <v>208</v>
      </c>
      <c r="G47" s="1">
        <f t="shared" si="71"/>
        <v>7</v>
      </c>
      <c r="H47" s="226">
        <v>4.8236415885212089</v>
      </c>
      <c r="M47" s="1">
        <f t="shared" si="78"/>
        <v>1024</v>
      </c>
      <c r="N47" s="10">
        <f t="shared" si="72"/>
        <v>14.6484375</v>
      </c>
      <c r="O47" s="10">
        <f t="shared" si="73"/>
        <v>14.6484375</v>
      </c>
      <c r="P47" s="53">
        <f t="shared" si="75"/>
        <v>68.266666666666666</v>
      </c>
      <c r="Q47" s="53">
        <f t="shared" si="75"/>
        <v>68.266666666666666</v>
      </c>
      <c r="R47" s="10">
        <f t="shared" si="76"/>
        <v>19.53125</v>
      </c>
    </row>
    <row r="48" spans="1:18" x14ac:dyDescent="0.25">
      <c r="A48" s="241">
        <f t="shared" si="80"/>
        <v>2.0297923999999994</v>
      </c>
      <c r="B48" s="242">
        <f t="shared" ref="B48" si="82">B47</f>
        <v>5.9050000000000002</v>
      </c>
      <c r="C48" s="245">
        <f>J32</f>
        <v>242.37763848894983</v>
      </c>
      <c r="D48" s="56">
        <v>10</v>
      </c>
      <c r="E48" s="56">
        <v>10</v>
      </c>
      <c r="F48" s="182" t="s">
        <v>208</v>
      </c>
      <c r="G48" s="1">
        <f t="shared" si="71"/>
        <v>8</v>
      </c>
      <c r="H48" s="226">
        <v>4.2206863899560574</v>
      </c>
      <c r="M48" s="1">
        <f t="shared" si="78"/>
        <v>2048</v>
      </c>
      <c r="N48" s="10">
        <f t="shared" si="72"/>
        <v>7.32421875</v>
      </c>
      <c r="O48" s="10">
        <f t="shared" si="73"/>
        <v>7.32421875</v>
      </c>
      <c r="P48" s="53">
        <f t="shared" si="75"/>
        <v>136.53333333333333</v>
      </c>
      <c r="Q48" s="53">
        <f t="shared" si="75"/>
        <v>136.53333333333333</v>
      </c>
      <c r="R48" s="10">
        <f t="shared" si="76"/>
        <v>9.765625</v>
      </c>
    </row>
    <row r="49" spans="1:18" x14ac:dyDescent="0.25">
      <c r="A49" s="241">
        <f t="shared" si="80"/>
        <v>2.0307923999999993</v>
      </c>
      <c r="B49" s="242">
        <f t="shared" ref="B49" si="83">B48</f>
        <v>5.9050000000000002</v>
      </c>
      <c r="C49" s="245">
        <f>K32</f>
        <v>282.77391157044144</v>
      </c>
      <c r="D49" s="1">
        <v>10</v>
      </c>
      <c r="E49" s="1">
        <v>10</v>
      </c>
      <c r="F49" s="182" t="s">
        <v>208</v>
      </c>
      <c r="G49" s="1">
        <f t="shared" si="71"/>
        <v>9</v>
      </c>
      <c r="H49" s="226">
        <v>3.6177311913909067</v>
      </c>
      <c r="M49" s="1">
        <f t="shared" si="78"/>
        <v>4096</v>
      </c>
      <c r="N49" s="10">
        <f t="shared" si="72"/>
        <v>3.662109375</v>
      </c>
      <c r="O49" s="10">
        <f t="shared" si="73"/>
        <v>3.662109375</v>
      </c>
      <c r="P49" s="53">
        <f t="shared" si="75"/>
        <v>273.06666666666666</v>
      </c>
      <c r="Q49" s="53">
        <f t="shared" si="75"/>
        <v>273.06666666666666</v>
      </c>
      <c r="R49" s="10">
        <f t="shared" si="76"/>
        <v>4.8828125</v>
      </c>
    </row>
    <row r="50" spans="1:18" x14ac:dyDescent="0.25">
      <c r="A50" s="241">
        <f t="shared" si="80"/>
        <v>2.0317923999999992</v>
      </c>
      <c r="B50" s="242">
        <f t="shared" ref="B50" si="84">B49</f>
        <v>5.9050000000000002</v>
      </c>
      <c r="C50" s="245">
        <f>L32</f>
        <v>339.32869388452974</v>
      </c>
      <c r="D50" s="1">
        <v>10</v>
      </c>
      <c r="E50" s="1">
        <v>10</v>
      </c>
      <c r="F50" s="182" t="s">
        <v>208</v>
      </c>
      <c r="G50" s="1">
        <f t="shared" si="71"/>
        <v>10</v>
      </c>
      <c r="H50" s="226">
        <v>3.0147759928257556</v>
      </c>
      <c r="M50" s="1">
        <f t="shared" si="78"/>
        <v>8192</v>
      </c>
      <c r="N50" s="10">
        <f t="shared" si="72"/>
        <v>1.8310546875</v>
      </c>
      <c r="O50" s="10">
        <f t="shared" si="73"/>
        <v>1.8310546875</v>
      </c>
      <c r="P50" s="53">
        <f t="shared" si="75"/>
        <v>546.13333333333333</v>
      </c>
      <c r="Q50" s="53">
        <f t="shared" si="75"/>
        <v>546.13333333333333</v>
      </c>
      <c r="R50" s="10">
        <f t="shared" si="76"/>
        <v>2.44140625</v>
      </c>
    </row>
    <row r="51" spans="1:18" x14ac:dyDescent="0.25">
      <c r="A51" s="241">
        <f t="shared" si="80"/>
        <v>2.0327923999999991</v>
      </c>
      <c r="B51" s="242">
        <f t="shared" ref="B51" si="85">B50</f>
        <v>5.9050000000000002</v>
      </c>
      <c r="C51" s="245">
        <f>M32</f>
        <v>424.16086735566211</v>
      </c>
      <c r="D51" s="1">
        <v>10</v>
      </c>
      <c r="E51" s="1">
        <v>10</v>
      </c>
      <c r="F51" s="182" t="s">
        <v>208</v>
      </c>
      <c r="G51" s="1">
        <f t="shared" si="71"/>
        <v>11</v>
      </c>
      <c r="H51" s="226">
        <v>2.4118207942606045</v>
      </c>
      <c r="M51" s="1">
        <f t="shared" si="78"/>
        <v>16384</v>
      </c>
      <c r="N51" s="10">
        <f t="shared" si="72"/>
        <v>0.91552734375</v>
      </c>
      <c r="O51" s="10">
        <f t="shared" si="73"/>
        <v>0.91552734375</v>
      </c>
      <c r="P51" s="53">
        <f t="shared" si="75"/>
        <v>1092.2666666666667</v>
      </c>
      <c r="Q51" s="53">
        <f t="shared" si="75"/>
        <v>1092.2666666666667</v>
      </c>
      <c r="R51" s="10">
        <f t="shared" si="76"/>
        <v>1.220703125</v>
      </c>
    </row>
    <row r="52" spans="1:18" x14ac:dyDescent="0.25">
      <c r="A52" s="241">
        <f t="shared" si="80"/>
        <v>2.0337923999999989</v>
      </c>
      <c r="B52" s="242">
        <f t="shared" ref="B52" si="86">B51</f>
        <v>5.9050000000000002</v>
      </c>
      <c r="C52" s="245">
        <f>N32</f>
        <v>565.54782314088288</v>
      </c>
      <c r="D52" s="1">
        <v>10</v>
      </c>
      <c r="E52" s="1">
        <v>10</v>
      </c>
      <c r="F52" s="182" t="s">
        <v>208</v>
      </c>
      <c r="G52" s="1">
        <f t="shared" si="71"/>
        <v>12</v>
      </c>
      <c r="H52" s="226">
        <v>1.8088655956954534</v>
      </c>
    </row>
    <row r="53" spans="1:18" ht="15.75" thickBot="1" x14ac:dyDescent="0.3">
      <c r="A53" s="241">
        <f t="shared" si="80"/>
        <v>2.0347923999999988</v>
      </c>
      <c r="B53" s="242">
        <f t="shared" ref="B53" si="87">B52</f>
        <v>5.9050000000000002</v>
      </c>
      <c r="C53" s="245">
        <f>O32</f>
        <v>848.32173471132421</v>
      </c>
      <c r="D53" s="1">
        <v>10</v>
      </c>
      <c r="E53" s="1">
        <v>10</v>
      </c>
      <c r="F53" s="182" t="s">
        <v>208</v>
      </c>
      <c r="G53" s="1">
        <f t="shared" si="71"/>
        <v>13</v>
      </c>
      <c r="H53" s="226">
        <v>1.2059103971303022</v>
      </c>
    </row>
    <row r="54" spans="1:18" x14ac:dyDescent="0.25">
      <c r="A54" s="241">
        <f t="shared" si="80"/>
        <v>2.0357923999999987</v>
      </c>
      <c r="B54" s="242">
        <f t="shared" ref="B54" si="88">B53</f>
        <v>5.9050000000000002</v>
      </c>
      <c r="C54" s="245">
        <f>P32</f>
        <v>1696.6434694226484</v>
      </c>
      <c r="D54" s="1">
        <v>10</v>
      </c>
      <c r="E54" s="1">
        <v>10</v>
      </c>
      <c r="F54" s="182" t="s">
        <v>208</v>
      </c>
      <c r="G54" s="1">
        <f t="shared" si="71"/>
        <v>14</v>
      </c>
      <c r="H54" s="226">
        <v>0.60295519856515112</v>
      </c>
      <c r="M54" s="17"/>
      <c r="N54" s="1" t="s">
        <v>23</v>
      </c>
      <c r="O54" s="12" t="s">
        <v>24</v>
      </c>
    </row>
    <row r="55" spans="1:18" x14ac:dyDescent="0.25">
      <c r="A55" s="234">
        <f>A54+$B$19/1000</f>
        <v>2.0481885999999987</v>
      </c>
      <c r="B55" s="242">
        <f t="shared" ref="B55" si="89">B54</f>
        <v>5.9050000000000002</v>
      </c>
      <c r="C55" s="245">
        <f>Q32</f>
        <v>212.08043367783105</v>
      </c>
      <c r="D55" s="1">
        <v>10</v>
      </c>
      <c r="E55" s="1">
        <v>10</v>
      </c>
      <c r="F55" s="12" t="s">
        <v>212</v>
      </c>
      <c r="G55" s="1">
        <f t="shared" si="71"/>
        <v>15</v>
      </c>
      <c r="H55" s="226">
        <v>25.598778283559771</v>
      </c>
      <c r="M55" s="18" t="s">
        <v>22</v>
      </c>
      <c r="N55" s="1">
        <v>10</v>
      </c>
      <c r="O55" s="12">
        <v>10</v>
      </c>
    </row>
    <row r="56" spans="1:18" ht="15.75" thickBot="1" x14ac:dyDescent="0.3">
      <c r="A56" s="234">
        <f>A55+$B$19/1000</f>
        <v>2.0605847999999987</v>
      </c>
      <c r="B56" s="242">
        <f t="shared" ref="B56" si="90">B55</f>
        <v>5.9050000000000002</v>
      </c>
      <c r="C56" s="245">
        <f>R32</f>
        <v>212.08043367783105</v>
      </c>
      <c r="D56" s="1">
        <v>10</v>
      </c>
      <c r="E56" s="1">
        <v>10</v>
      </c>
      <c r="F56" s="182" t="s">
        <v>208</v>
      </c>
      <c r="G56" s="1">
        <f t="shared" si="71"/>
        <v>16</v>
      </c>
      <c r="H56" s="226">
        <v>4.8236415885212089</v>
      </c>
      <c r="M56" s="19" t="s">
        <v>21</v>
      </c>
      <c r="N56" s="6">
        <f>50/1000</f>
        <v>0.05</v>
      </c>
      <c r="O56" s="13">
        <f>300/1000</f>
        <v>0.3</v>
      </c>
      <c r="P56" s="4" t="s">
        <v>92</v>
      </c>
    </row>
    <row r="57" spans="1:18" x14ac:dyDescent="0.25">
      <c r="A57" s="241">
        <f>A56+0.001</f>
        <v>2.0615847999999986</v>
      </c>
      <c r="B57" s="242">
        <f t="shared" ref="B57" si="91">B56</f>
        <v>5.9050000000000002</v>
      </c>
      <c r="C57" s="245">
        <v>212.08043367783105</v>
      </c>
      <c r="D57" s="1">
        <v>10</v>
      </c>
      <c r="E57" s="1">
        <v>10</v>
      </c>
      <c r="F57" s="182" t="s">
        <v>208</v>
      </c>
      <c r="G57" s="1">
        <f t="shared" si="71"/>
        <v>17</v>
      </c>
      <c r="H57" s="226">
        <v>4.8236415885212089</v>
      </c>
      <c r="M57" s="1" t="s">
        <v>91</v>
      </c>
      <c r="N57" s="1" t="s">
        <v>89</v>
      </c>
      <c r="O57" s="1" t="s">
        <v>90</v>
      </c>
      <c r="P57" s="1" t="s">
        <v>23</v>
      </c>
      <c r="Q57" s="1" t="s">
        <v>24</v>
      </c>
    </row>
    <row r="58" spans="1:18" x14ac:dyDescent="0.25">
      <c r="A58" s="241">
        <f t="shared" ref="A58:A60" si="92">A57+0.001</f>
        <v>2.0625847999999984</v>
      </c>
      <c r="B58" s="242">
        <f t="shared" ref="B58" si="93">B57</f>
        <v>5.9050000000000002</v>
      </c>
      <c r="C58" s="245">
        <v>212.08043367783105</v>
      </c>
      <c r="D58" s="1">
        <v>10</v>
      </c>
      <c r="E58" s="1">
        <v>10</v>
      </c>
      <c r="F58" s="182" t="s">
        <v>208</v>
      </c>
      <c r="G58" s="1">
        <f t="shared" si="71"/>
        <v>18</v>
      </c>
      <c r="H58" s="226">
        <v>4.8236415885212089</v>
      </c>
      <c r="M58" s="1">
        <v>64</v>
      </c>
      <c r="N58" s="10">
        <f t="shared" ref="N58:N66" si="94">$N$55/M58*1000</f>
        <v>156.25</v>
      </c>
      <c r="O58" s="10">
        <f t="shared" ref="O58:O66" si="95">$O$55/M58*1000</f>
        <v>156.25</v>
      </c>
      <c r="P58" s="53">
        <f>1000/N58</f>
        <v>6.4</v>
      </c>
      <c r="Q58" s="53">
        <f>1000/O58</f>
        <v>6.4</v>
      </c>
    </row>
    <row r="59" spans="1:18" x14ac:dyDescent="0.25">
      <c r="A59" s="241">
        <f t="shared" si="92"/>
        <v>2.0635847999999983</v>
      </c>
      <c r="B59" s="242">
        <f t="shared" ref="B59" si="96">B58</f>
        <v>5.9050000000000002</v>
      </c>
      <c r="C59" s="245">
        <v>212.08043367783105</v>
      </c>
      <c r="D59" s="1">
        <v>10</v>
      </c>
      <c r="E59" s="1">
        <v>10</v>
      </c>
      <c r="F59" s="182" t="s">
        <v>208</v>
      </c>
      <c r="G59" s="1">
        <f t="shared" si="71"/>
        <v>19</v>
      </c>
      <c r="H59" s="226">
        <v>4.8236415885212089</v>
      </c>
      <c r="M59" s="1">
        <f>M58*2</f>
        <v>128</v>
      </c>
      <c r="N59" s="10">
        <f t="shared" si="94"/>
        <v>78.125</v>
      </c>
      <c r="O59" s="10">
        <f t="shared" si="95"/>
        <v>78.125</v>
      </c>
      <c r="P59" s="53">
        <f t="shared" ref="P59:Q66" si="97">1000/N59</f>
        <v>12.8</v>
      </c>
      <c r="Q59" s="53">
        <f t="shared" si="97"/>
        <v>12.8</v>
      </c>
    </row>
    <row r="60" spans="1:18" x14ac:dyDescent="0.25">
      <c r="A60" s="241">
        <f t="shared" si="92"/>
        <v>2.0645847999999982</v>
      </c>
      <c r="B60" s="242">
        <f t="shared" ref="B60" si="98">B59</f>
        <v>5.9050000000000002</v>
      </c>
      <c r="C60" s="245">
        <v>212.08043367783105</v>
      </c>
      <c r="D60" s="1">
        <v>10</v>
      </c>
      <c r="E60" s="1">
        <v>10</v>
      </c>
      <c r="F60" s="182" t="s">
        <v>208</v>
      </c>
      <c r="G60" s="1">
        <f t="shared" si="71"/>
        <v>20</v>
      </c>
      <c r="H60" s="226">
        <v>4.8236415885212089</v>
      </c>
      <c r="M60" s="1">
        <f t="shared" ref="M60:M66" si="99">M59*2</f>
        <v>256</v>
      </c>
      <c r="N60" s="10">
        <f t="shared" si="94"/>
        <v>39.0625</v>
      </c>
      <c r="O60" s="10">
        <f t="shared" si="95"/>
        <v>39.0625</v>
      </c>
      <c r="P60" s="53">
        <f t="shared" si="97"/>
        <v>25.6</v>
      </c>
      <c r="Q60" s="53">
        <f t="shared" si="97"/>
        <v>25.6</v>
      </c>
    </row>
    <row r="61" spans="1:18" x14ac:dyDescent="0.25">
      <c r="A61" s="234">
        <v>2</v>
      </c>
      <c r="B61" s="233">
        <f t="shared" ref="B61" si="100">B60</f>
        <v>5.9050000000000002</v>
      </c>
      <c r="C61" s="239">
        <v>467.17620794780987</v>
      </c>
      <c r="D61" s="1">
        <v>10</v>
      </c>
      <c r="E61" s="1">
        <v>10</v>
      </c>
      <c r="F61" s="12" t="s">
        <v>213</v>
      </c>
      <c r="G61" s="1">
        <f t="shared" si="71"/>
        <v>21</v>
      </c>
      <c r="H61" s="226">
        <v>227.51372649498018</v>
      </c>
      <c r="M61" s="1">
        <f t="shared" si="99"/>
        <v>512</v>
      </c>
      <c r="N61" s="10">
        <f t="shared" si="94"/>
        <v>19.53125</v>
      </c>
      <c r="O61" s="10">
        <f t="shared" si="95"/>
        <v>19.53125</v>
      </c>
      <c r="P61" s="53">
        <f t="shared" si="97"/>
        <v>51.2</v>
      </c>
      <c r="Q61" s="53">
        <f t="shared" si="97"/>
        <v>51.2</v>
      </c>
    </row>
    <row r="62" spans="1:18" x14ac:dyDescent="0.25">
      <c r="A62" s="234">
        <v>2.0143961999999997</v>
      </c>
      <c r="B62" s="233">
        <f t="shared" ref="B62" si="101">B61</f>
        <v>5.9050000000000002</v>
      </c>
      <c r="C62" s="239">
        <v>467.17620794780987</v>
      </c>
      <c r="D62" s="1">
        <v>10</v>
      </c>
      <c r="E62" s="1">
        <v>10</v>
      </c>
      <c r="F62" s="12" t="s">
        <v>213</v>
      </c>
      <c r="G62" s="1">
        <f t="shared" si="71"/>
        <v>22</v>
      </c>
      <c r="H62" s="226">
        <v>227.51372649498018</v>
      </c>
      <c r="M62" s="1">
        <f t="shared" si="99"/>
        <v>1024</v>
      </c>
      <c r="N62" s="10">
        <f t="shared" si="94"/>
        <v>9.765625</v>
      </c>
      <c r="O62" s="10">
        <f t="shared" si="95"/>
        <v>9.765625</v>
      </c>
      <c r="P62" s="53">
        <f t="shared" si="97"/>
        <v>102.4</v>
      </c>
      <c r="Q62" s="53">
        <f t="shared" si="97"/>
        <v>102.4</v>
      </c>
    </row>
    <row r="63" spans="1:18" x14ac:dyDescent="0.25">
      <c r="A63" s="234">
        <v>2.0267923999999997</v>
      </c>
      <c r="B63" s="233">
        <f t="shared" ref="B63" si="102">B62</f>
        <v>5.9050000000000002</v>
      </c>
      <c r="C63" s="239">
        <v>467.17620794780987</v>
      </c>
      <c r="D63" s="1">
        <v>10</v>
      </c>
      <c r="E63" s="1">
        <v>10</v>
      </c>
      <c r="F63" s="12" t="s">
        <v>213</v>
      </c>
      <c r="G63" s="1">
        <f t="shared" si="71"/>
        <v>23</v>
      </c>
      <c r="H63" s="226">
        <v>227.51372649498018</v>
      </c>
      <c r="M63" s="1">
        <f t="shared" si="99"/>
        <v>2048</v>
      </c>
      <c r="N63" s="10">
        <f t="shared" si="94"/>
        <v>4.8828125</v>
      </c>
      <c r="O63" s="10">
        <f t="shared" si="95"/>
        <v>4.8828125</v>
      </c>
      <c r="P63" s="53">
        <f t="shared" si="97"/>
        <v>204.8</v>
      </c>
      <c r="Q63" s="53">
        <f t="shared" si="97"/>
        <v>204.8</v>
      </c>
    </row>
    <row r="64" spans="1:18" x14ac:dyDescent="0.25">
      <c r="A64" s="234">
        <v>2.0481885999999987</v>
      </c>
      <c r="B64" s="233">
        <f t="shared" ref="B64" si="103">B63</f>
        <v>5.9050000000000002</v>
      </c>
      <c r="C64" s="239">
        <v>467.17620794780987</v>
      </c>
      <c r="D64" s="1">
        <v>10</v>
      </c>
      <c r="E64" s="1">
        <v>10</v>
      </c>
      <c r="F64" s="12" t="s">
        <v>213</v>
      </c>
      <c r="G64" s="1">
        <f t="shared" si="71"/>
        <v>24</v>
      </c>
      <c r="H64" s="226">
        <v>227.51372649498018</v>
      </c>
      <c r="M64" s="1">
        <f t="shared" si="99"/>
        <v>4096</v>
      </c>
      <c r="N64" s="10">
        <f t="shared" si="94"/>
        <v>2.44140625</v>
      </c>
      <c r="O64" s="10">
        <f t="shared" si="95"/>
        <v>2.44140625</v>
      </c>
      <c r="P64" s="53">
        <f t="shared" si="97"/>
        <v>409.6</v>
      </c>
      <c r="Q64" s="53">
        <f t="shared" si="97"/>
        <v>409.6</v>
      </c>
    </row>
    <row r="65" spans="1:17" x14ac:dyDescent="0.25">
      <c r="A65" s="234">
        <v>2.0605847999999987</v>
      </c>
      <c r="B65" s="233">
        <f t="shared" ref="B65" si="104">B64</f>
        <v>5.9050000000000002</v>
      </c>
      <c r="C65" s="239">
        <v>467.17620794780987</v>
      </c>
      <c r="D65" s="1">
        <v>10</v>
      </c>
      <c r="E65" s="1">
        <v>10</v>
      </c>
      <c r="F65" s="12" t="s">
        <v>213</v>
      </c>
      <c r="G65" s="1">
        <f t="shared" si="71"/>
        <v>25</v>
      </c>
      <c r="H65" s="226">
        <v>227.51372649498018</v>
      </c>
      <c r="M65" s="1">
        <f t="shared" si="99"/>
        <v>8192</v>
      </c>
      <c r="N65" s="10">
        <f t="shared" si="94"/>
        <v>1.220703125</v>
      </c>
      <c r="O65" s="10">
        <f t="shared" si="95"/>
        <v>1.220703125</v>
      </c>
      <c r="P65" s="53">
        <f t="shared" si="97"/>
        <v>819.2</v>
      </c>
      <c r="Q65" s="53">
        <f t="shared" si="97"/>
        <v>819.2</v>
      </c>
    </row>
    <row r="66" spans="1:17" x14ac:dyDescent="0.25">
      <c r="A66" s="4"/>
      <c r="C66" s="48"/>
      <c r="F66" s="12"/>
      <c r="G66" s="1">
        <f t="shared" si="71"/>
        <v>26</v>
      </c>
      <c r="H66" s="226"/>
      <c r="M66" s="1">
        <f t="shared" si="99"/>
        <v>16384</v>
      </c>
      <c r="N66" s="10">
        <f t="shared" si="94"/>
        <v>0.6103515625</v>
      </c>
      <c r="O66" s="10">
        <f t="shared" si="95"/>
        <v>0.6103515625</v>
      </c>
      <c r="P66" s="53">
        <f t="shared" si="97"/>
        <v>1638.4</v>
      </c>
      <c r="Q66" s="53">
        <f t="shared" si="97"/>
        <v>1638.4</v>
      </c>
    </row>
    <row r="67" spans="1:17" x14ac:dyDescent="0.25">
      <c r="A67" s="4"/>
      <c r="C67" s="48"/>
      <c r="D67" s="1">
        <v>10</v>
      </c>
      <c r="E67" s="1">
        <v>10</v>
      </c>
      <c r="F67" s="12"/>
      <c r="G67" s="1">
        <f t="shared" si="71"/>
        <v>27</v>
      </c>
      <c r="H67" s="226"/>
    </row>
    <row r="68" spans="1:17" ht="15.75" thickBot="1" x14ac:dyDescent="0.3">
      <c r="A68" s="4"/>
      <c r="C68" s="48"/>
      <c r="D68" s="1">
        <v>10</v>
      </c>
      <c r="E68" s="1">
        <v>10</v>
      </c>
      <c r="F68" s="12"/>
      <c r="G68" s="1">
        <f t="shared" si="71"/>
        <v>28</v>
      </c>
      <c r="H68" s="226"/>
    </row>
    <row r="69" spans="1:17" x14ac:dyDescent="0.25">
      <c r="A69" s="4"/>
      <c r="C69" s="48"/>
      <c r="D69" s="1">
        <v>10</v>
      </c>
      <c r="E69" s="1">
        <v>10</v>
      </c>
      <c r="F69" s="12"/>
      <c r="G69" s="1">
        <f t="shared" si="71"/>
        <v>29</v>
      </c>
      <c r="H69" s="226"/>
      <c r="M69" s="17"/>
      <c r="N69" s="1" t="s">
        <v>23</v>
      </c>
      <c r="O69" s="12" t="s">
        <v>24</v>
      </c>
    </row>
    <row r="70" spans="1:17" x14ac:dyDescent="0.25">
      <c r="A70" s="4"/>
      <c r="C70" s="48"/>
      <c r="D70" s="1">
        <v>10</v>
      </c>
      <c r="E70" s="1">
        <v>10</v>
      </c>
      <c r="F70" s="12"/>
      <c r="G70" s="1">
        <f t="shared" si="71"/>
        <v>30</v>
      </c>
      <c r="H70" s="226"/>
      <c r="M70" s="18" t="s">
        <v>22</v>
      </c>
      <c r="N70" s="1">
        <v>5</v>
      </c>
      <c r="O70" s="12">
        <v>5</v>
      </c>
    </row>
    <row r="71" spans="1:17" ht="15.75" thickBot="1" x14ac:dyDescent="0.3">
      <c r="A71" s="4"/>
      <c r="C71" s="48"/>
      <c r="D71" s="1">
        <v>10</v>
      </c>
      <c r="E71" s="1">
        <v>10</v>
      </c>
      <c r="F71" s="12"/>
      <c r="G71" s="1">
        <f t="shared" si="71"/>
        <v>31</v>
      </c>
      <c r="H71" s="226"/>
      <c r="M71" s="19" t="s">
        <v>21</v>
      </c>
      <c r="N71" s="6">
        <f>50/1000</f>
        <v>0.05</v>
      </c>
      <c r="O71" s="13">
        <f>300/1000</f>
        <v>0.3</v>
      </c>
      <c r="P71" s="4" t="s">
        <v>92</v>
      </c>
    </row>
    <row r="72" spans="1:17" x14ac:dyDescent="0.25">
      <c r="A72" s="4"/>
      <c r="C72" s="48"/>
      <c r="D72" s="1">
        <v>10</v>
      </c>
      <c r="E72" s="1">
        <v>10</v>
      </c>
      <c r="F72" s="12"/>
      <c r="G72" s="1">
        <f t="shared" si="71"/>
        <v>32</v>
      </c>
      <c r="H72" s="226"/>
      <c r="M72" s="1" t="s">
        <v>91</v>
      </c>
      <c r="N72" s="1" t="s">
        <v>89</v>
      </c>
      <c r="O72" s="1" t="s">
        <v>90</v>
      </c>
      <c r="P72" s="1" t="s">
        <v>23</v>
      </c>
      <c r="Q72" s="1" t="s">
        <v>24</v>
      </c>
    </row>
    <row r="73" spans="1:17" x14ac:dyDescent="0.25">
      <c r="A73" s="4"/>
      <c r="C73" s="48"/>
      <c r="D73" s="1">
        <v>10</v>
      </c>
      <c r="E73" s="1">
        <v>10</v>
      </c>
      <c r="F73" s="12"/>
      <c r="G73" s="1">
        <f t="shared" si="71"/>
        <v>33</v>
      </c>
      <c r="H73" s="226"/>
      <c r="M73" s="1">
        <v>64</v>
      </c>
      <c r="N73" s="10">
        <f t="shared" ref="N73:N81" si="105">$N$70/M73*1000</f>
        <v>78.125</v>
      </c>
      <c r="O73" s="10">
        <f t="shared" ref="O73:O81" si="106">$O$70/M73*1000</f>
        <v>78.125</v>
      </c>
      <c r="P73" s="53">
        <f>1000/N73</f>
        <v>12.8</v>
      </c>
      <c r="Q73" s="53">
        <f>1000/O73</f>
        <v>12.8</v>
      </c>
    </row>
    <row r="74" spans="1:17" x14ac:dyDescent="0.25">
      <c r="A74" s="4"/>
      <c r="C74" s="48"/>
      <c r="D74" s="1">
        <v>10</v>
      </c>
      <c r="E74" s="1">
        <v>10</v>
      </c>
      <c r="F74" s="12"/>
      <c r="G74" s="1">
        <f t="shared" si="71"/>
        <v>34</v>
      </c>
      <c r="H74" s="226"/>
      <c r="M74" s="1">
        <f>M73*2</f>
        <v>128</v>
      </c>
      <c r="N74" s="10">
        <f t="shared" si="105"/>
        <v>39.0625</v>
      </c>
      <c r="O74" s="10">
        <f t="shared" si="106"/>
        <v>39.0625</v>
      </c>
      <c r="P74" s="53">
        <f t="shared" ref="P74:Q81" si="107">1000/N74</f>
        <v>25.6</v>
      </c>
      <c r="Q74" s="53">
        <f t="shared" si="107"/>
        <v>25.6</v>
      </c>
    </row>
    <row r="75" spans="1:17" x14ac:dyDescent="0.25">
      <c r="A75" s="4"/>
      <c r="C75" s="48"/>
      <c r="D75" s="1">
        <v>10</v>
      </c>
      <c r="E75" s="1">
        <v>10</v>
      </c>
      <c r="F75" s="12"/>
      <c r="G75" s="1">
        <f t="shared" si="71"/>
        <v>35</v>
      </c>
      <c r="H75" s="226"/>
      <c r="M75" s="1">
        <f t="shared" ref="M75:M81" si="108">M74*2</f>
        <v>256</v>
      </c>
      <c r="N75" s="10">
        <f t="shared" si="105"/>
        <v>19.53125</v>
      </c>
      <c r="O75" s="10">
        <f t="shared" si="106"/>
        <v>19.53125</v>
      </c>
      <c r="P75" s="53">
        <f t="shared" si="107"/>
        <v>51.2</v>
      </c>
      <c r="Q75" s="53">
        <f t="shared" si="107"/>
        <v>51.2</v>
      </c>
    </row>
    <row r="76" spans="1:17" x14ac:dyDescent="0.25">
      <c r="A76" s="4"/>
      <c r="C76" s="48"/>
      <c r="D76" s="1">
        <v>10</v>
      </c>
      <c r="E76" s="1">
        <v>10</v>
      </c>
      <c r="F76" s="12"/>
      <c r="G76" s="1">
        <f t="shared" si="71"/>
        <v>36</v>
      </c>
      <c r="H76" s="226"/>
      <c r="M76" s="1">
        <f t="shared" si="108"/>
        <v>512</v>
      </c>
      <c r="N76" s="10">
        <f t="shared" si="105"/>
        <v>9.765625</v>
      </c>
      <c r="O76" s="10">
        <f t="shared" si="106"/>
        <v>9.765625</v>
      </c>
      <c r="P76" s="53">
        <f t="shared" si="107"/>
        <v>102.4</v>
      </c>
      <c r="Q76" s="53">
        <f t="shared" si="107"/>
        <v>102.4</v>
      </c>
    </row>
    <row r="77" spans="1:17" x14ac:dyDescent="0.25">
      <c r="A77" s="4"/>
      <c r="C77" s="48"/>
      <c r="D77" s="1">
        <v>10</v>
      </c>
      <c r="E77" s="1">
        <v>10</v>
      </c>
      <c r="F77" s="12"/>
      <c r="G77" s="1">
        <f t="shared" si="71"/>
        <v>37</v>
      </c>
      <c r="H77" s="226"/>
      <c r="M77" s="1">
        <f t="shared" si="108"/>
        <v>1024</v>
      </c>
      <c r="N77" s="10">
        <f t="shared" si="105"/>
        <v>4.8828125</v>
      </c>
      <c r="O77" s="10">
        <f t="shared" si="106"/>
        <v>4.8828125</v>
      </c>
      <c r="P77" s="53">
        <f t="shared" si="107"/>
        <v>204.8</v>
      </c>
      <c r="Q77" s="53">
        <f t="shared" si="107"/>
        <v>204.8</v>
      </c>
    </row>
    <row r="78" spans="1:17" x14ac:dyDescent="0.25">
      <c r="A78" s="4"/>
      <c r="C78" s="48"/>
      <c r="D78" s="1">
        <v>10</v>
      </c>
      <c r="E78" s="1">
        <v>10</v>
      </c>
      <c r="F78" s="12"/>
      <c r="G78" s="1">
        <f t="shared" si="71"/>
        <v>38</v>
      </c>
      <c r="H78" s="226"/>
      <c r="M78" s="1">
        <f t="shared" si="108"/>
        <v>2048</v>
      </c>
      <c r="N78" s="10">
        <f t="shared" si="105"/>
        <v>2.44140625</v>
      </c>
      <c r="O78" s="10">
        <f t="shared" si="106"/>
        <v>2.44140625</v>
      </c>
      <c r="P78" s="53">
        <f t="shared" si="107"/>
        <v>409.6</v>
      </c>
      <c r="Q78" s="53">
        <f t="shared" si="107"/>
        <v>409.6</v>
      </c>
    </row>
    <row r="79" spans="1:17" x14ac:dyDescent="0.25">
      <c r="A79" s="4"/>
      <c r="C79" s="48"/>
      <c r="D79" s="1">
        <v>10</v>
      </c>
      <c r="E79" s="1">
        <v>10</v>
      </c>
      <c r="F79" s="12"/>
      <c r="G79" s="1">
        <f t="shared" si="71"/>
        <v>39</v>
      </c>
      <c r="H79" s="226"/>
      <c r="M79" s="1">
        <f t="shared" si="108"/>
        <v>4096</v>
      </c>
      <c r="N79" s="10">
        <f t="shared" si="105"/>
        <v>1.220703125</v>
      </c>
      <c r="O79" s="10">
        <f t="shared" si="106"/>
        <v>1.220703125</v>
      </c>
      <c r="P79" s="53">
        <f t="shared" si="107"/>
        <v>819.2</v>
      </c>
      <c r="Q79" s="53">
        <f t="shared" si="107"/>
        <v>819.2</v>
      </c>
    </row>
    <row r="80" spans="1:17" x14ac:dyDescent="0.25">
      <c r="A80" s="4"/>
      <c r="C80" s="48"/>
      <c r="D80" s="1">
        <v>10</v>
      </c>
      <c r="E80" s="1">
        <v>10</v>
      </c>
      <c r="F80" s="12"/>
      <c r="G80" s="1">
        <f t="shared" si="71"/>
        <v>40</v>
      </c>
      <c r="H80" s="226"/>
      <c r="M80" s="1">
        <f t="shared" si="108"/>
        <v>8192</v>
      </c>
      <c r="N80" s="10">
        <f t="shared" si="105"/>
        <v>0.6103515625</v>
      </c>
      <c r="O80" s="10">
        <f t="shared" si="106"/>
        <v>0.6103515625</v>
      </c>
      <c r="P80" s="53">
        <f t="shared" si="107"/>
        <v>1638.4</v>
      </c>
      <c r="Q80" s="53">
        <f t="shared" si="107"/>
        <v>1638.4</v>
      </c>
    </row>
    <row r="81" spans="1:17" x14ac:dyDescent="0.25">
      <c r="A81" s="4"/>
      <c r="C81" s="48"/>
      <c r="D81" s="1">
        <v>10</v>
      </c>
      <c r="E81" s="1">
        <v>10</v>
      </c>
      <c r="F81" s="12"/>
      <c r="G81" s="1">
        <f t="shared" si="71"/>
        <v>41</v>
      </c>
      <c r="H81" s="226"/>
      <c r="M81" s="1">
        <f t="shared" si="108"/>
        <v>16384</v>
      </c>
      <c r="N81" s="10">
        <f t="shared" si="105"/>
        <v>0.30517578125</v>
      </c>
      <c r="O81" s="10">
        <f t="shared" si="106"/>
        <v>0.30517578125</v>
      </c>
      <c r="P81" s="53">
        <f t="shared" si="107"/>
        <v>3276.8</v>
      </c>
      <c r="Q81" s="53">
        <f t="shared" si="107"/>
        <v>3276.8</v>
      </c>
    </row>
    <row r="82" spans="1:17" x14ac:dyDescent="0.25">
      <c r="A82" s="4"/>
      <c r="C82" s="48"/>
      <c r="D82" s="1">
        <v>10</v>
      </c>
      <c r="E82" s="1">
        <v>10</v>
      </c>
      <c r="F82" s="12"/>
      <c r="G82" s="1">
        <f t="shared" si="71"/>
        <v>42</v>
      </c>
      <c r="H82" s="226"/>
    </row>
    <row r="83" spans="1:17" x14ac:dyDescent="0.25">
      <c r="A83" s="4"/>
      <c r="C83" s="48"/>
      <c r="D83" s="1">
        <v>10</v>
      </c>
      <c r="E83" s="1">
        <v>10</v>
      </c>
      <c r="F83" s="12"/>
      <c r="G83" s="1">
        <f t="shared" si="71"/>
        <v>43</v>
      </c>
      <c r="H83" s="226"/>
    </row>
    <row r="84" spans="1:17" x14ac:dyDescent="0.25">
      <c r="A84" s="4"/>
      <c r="C84" s="48"/>
      <c r="D84" s="1">
        <v>10</v>
      </c>
      <c r="E84" s="1">
        <v>10</v>
      </c>
      <c r="F84" s="12"/>
      <c r="G84" s="1">
        <f t="shared" si="71"/>
        <v>44</v>
      </c>
      <c r="H84" s="226"/>
    </row>
    <row r="85" spans="1:17" x14ac:dyDescent="0.25">
      <c r="A85" s="4"/>
      <c r="C85" s="48"/>
      <c r="D85" s="1">
        <v>10</v>
      </c>
      <c r="E85" s="1">
        <v>10</v>
      </c>
      <c r="F85" s="12"/>
      <c r="G85" s="1">
        <f t="shared" si="71"/>
        <v>45</v>
      </c>
      <c r="H85" s="226"/>
    </row>
    <row r="86" spans="1:17" x14ac:dyDescent="0.25">
      <c r="A86" s="4"/>
      <c r="C86" s="48"/>
      <c r="D86" s="1">
        <v>10</v>
      </c>
      <c r="E86" s="1">
        <v>10</v>
      </c>
      <c r="F86" s="12"/>
      <c r="G86" s="1">
        <f t="shared" si="71"/>
        <v>46</v>
      </c>
      <c r="H86" s="226"/>
    </row>
    <row r="87" spans="1:17" x14ac:dyDescent="0.25">
      <c r="A87" s="4"/>
      <c r="C87" s="48"/>
      <c r="D87" s="1">
        <v>10</v>
      </c>
      <c r="E87" s="1">
        <v>10</v>
      </c>
      <c r="F87" s="12"/>
      <c r="G87" s="1">
        <f t="shared" si="71"/>
        <v>47</v>
      </c>
      <c r="H87" s="226"/>
    </row>
    <row r="88" spans="1:17" x14ac:dyDescent="0.25">
      <c r="A88" s="4"/>
      <c r="C88" s="48"/>
      <c r="D88" s="1">
        <v>10</v>
      </c>
      <c r="E88" s="1">
        <v>10</v>
      </c>
      <c r="F88" s="12"/>
      <c r="G88" s="1">
        <f t="shared" si="71"/>
        <v>48</v>
      </c>
      <c r="H88" s="226"/>
    </row>
    <row r="89" spans="1:17" x14ac:dyDescent="0.25">
      <c r="A89" s="4"/>
      <c r="C89" s="48"/>
      <c r="D89" s="1">
        <v>10</v>
      </c>
      <c r="E89" s="1">
        <v>10</v>
      </c>
      <c r="F89" s="12"/>
      <c r="G89" s="1">
        <f t="shared" si="71"/>
        <v>49</v>
      </c>
      <c r="H89" s="226"/>
    </row>
    <row r="90" spans="1:17" x14ac:dyDescent="0.25">
      <c r="A90" s="4"/>
      <c r="C90" s="48"/>
      <c r="D90" s="1">
        <v>10</v>
      </c>
      <c r="E90" s="1">
        <v>10</v>
      </c>
      <c r="F90" s="12"/>
      <c r="G90" s="1">
        <f t="shared" si="71"/>
        <v>50</v>
      </c>
      <c r="H90" s="226"/>
    </row>
    <row r="91" spans="1:17" x14ac:dyDescent="0.25">
      <c r="A91" s="4"/>
      <c r="C91" s="48"/>
      <c r="D91" s="1">
        <v>10</v>
      </c>
      <c r="E91" s="1">
        <v>10</v>
      </c>
      <c r="F91" s="12"/>
      <c r="G91" s="1">
        <f t="shared" si="71"/>
        <v>51</v>
      </c>
      <c r="H91" s="226"/>
    </row>
    <row r="92" spans="1:17" x14ac:dyDescent="0.25">
      <c r="A92" s="4"/>
      <c r="C92" s="48"/>
      <c r="D92" s="1">
        <v>10</v>
      </c>
      <c r="E92" s="1">
        <v>10</v>
      </c>
      <c r="F92" s="12"/>
      <c r="G92" s="1">
        <f t="shared" si="71"/>
        <v>52</v>
      </c>
      <c r="H92" s="226"/>
    </row>
    <row r="93" spans="1:17" x14ac:dyDescent="0.25">
      <c r="A93" s="4"/>
      <c r="C93" s="48"/>
      <c r="D93" s="1">
        <v>10</v>
      </c>
      <c r="E93" s="1">
        <v>10</v>
      </c>
      <c r="F93" s="12"/>
      <c r="G93" s="1">
        <f t="shared" si="71"/>
        <v>53</v>
      </c>
      <c r="H93" s="226"/>
    </row>
    <row r="94" spans="1:17" x14ac:dyDescent="0.25">
      <c r="A94" s="4"/>
      <c r="C94" s="48"/>
      <c r="D94" s="1">
        <v>10</v>
      </c>
      <c r="E94" s="1">
        <v>10</v>
      </c>
      <c r="F94" s="12"/>
      <c r="G94" s="1">
        <f t="shared" si="71"/>
        <v>54</v>
      </c>
      <c r="H94" s="226"/>
    </row>
    <row r="95" spans="1:17" x14ac:dyDescent="0.25">
      <c r="A95" s="4"/>
      <c r="C95" s="48"/>
      <c r="D95" s="1">
        <v>10</v>
      </c>
      <c r="E95" s="1">
        <v>10</v>
      </c>
      <c r="F95" s="12"/>
      <c r="G95" s="1">
        <f t="shared" si="71"/>
        <v>55</v>
      </c>
      <c r="H95" s="226"/>
    </row>
    <row r="96" spans="1:17" x14ac:dyDescent="0.25">
      <c r="A96" s="4"/>
      <c r="C96" s="48"/>
      <c r="D96" s="1">
        <v>10</v>
      </c>
      <c r="E96" s="1">
        <v>10</v>
      </c>
      <c r="F96" s="12"/>
      <c r="G96" s="1">
        <f t="shared" si="71"/>
        <v>56</v>
      </c>
      <c r="H96" s="226"/>
    </row>
    <row r="97" spans="1:8" x14ac:dyDescent="0.25">
      <c r="A97" s="4"/>
      <c r="C97" s="48"/>
      <c r="D97" s="1">
        <v>10</v>
      </c>
      <c r="E97" s="1">
        <v>10</v>
      </c>
      <c r="F97" s="12"/>
      <c r="G97" s="1">
        <f t="shared" si="71"/>
        <v>57</v>
      </c>
      <c r="H97" s="226"/>
    </row>
    <row r="98" spans="1:8" x14ac:dyDescent="0.25">
      <c r="A98" s="4"/>
      <c r="C98" s="48"/>
      <c r="D98" s="1">
        <v>10</v>
      </c>
      <c r="E98" s="1">
        <v>10</v>
      </c>
      <c r="F98" s="12"/>
      <c r="G98" s="1">
        <f t="shared" si="71"/>
        <v>58</v>
      </c>
      <c r="H98" s="226"/>
    </row>
    <row r="99" spans="1:8" x14ac:dyDescent="0.25">
      <c r="A99" s="4"/>
      <c r="C99" s="48"/>
      <c r="D99" s="1">
        <v>10</v>
      </c>
      <c r="E99" s="1">
        <v>10</v>
      </c>
      <c r="F99" s="12"/>
      <c r="G99" s="1">
        <f t="shared" si="71"/>
        <v>59</v>
      </c>
      <c r="H99" s="226"/>
    </row>
    <row r="100" spans="1:8" x14ac:dyDescent="0.25">
      <c r="A100" s="4"/>
      <c r="C100" s="48"/>
      <c r="D100" s="1">
        <v>10</v>
      </c>
      <c r="E100" s="1">
        <v>10</v>
      </c>
      <c r="F100" s="12"/>
      <c r="G100" s="1">
        <f t="shared" si="71"/>
        <v>60</v>
      </c>
      <c r="H100" s="226"/>
    </row>
    <row r="101" spans="1:8" x14ac:dyDescent="0.25">
      <c r="A101" s="4"/>
      <c r="C101" s="48"/>
      <c r="D101" s="1">
        <v>10</v>
      </c>
      <c r="E101" s="1">
        <v>10</v>
      </c>
      <c r="F101" s="12"/>
      <c r="G101" s="1">
        <f t="shared" si="71"/>
        <v>61</v>
      </c>
      <c r="H101" s="226"/>
    </row>
    <row r="102" spans="1:8" x14ac:dyDescent="0.25">
      <c r="A102" s="4"/>
      <c r="C102" s="48"/>
      <c r="D102" s="1">
        <v>10</v>
      </c>
      <c r="E102" s="1">
        <v>10</v>
      </c>
      <c r="F102" s="12"/>
      <c r="G102" s="1">
        <f t="shared" si="71"/>
        <v>62</v>
      </c>
      <c r="H102" s="226"/>
    </row>
    <row r="103" spans="1:8" x14ac:dyDescent="0.25">
      <c r="A103" s="4"/>
      <c r="C103" s="48"/>
      <c r="D103" s="1">
        <v>10</v>
      </c>
      <c r="E103" s="1">
        <v>10</v>
      </c>
      <c r="F103" s="12"/>
      <c r="G103" s="1">
        <f t="shared" si="71"/>
        <v>63</v>
      </c>
      <c r="H103" s="226"/>
    </row>
    <row r="104" spans="1:8" x14ac:dyDescent="0.25">
      <c r="A104" s="4"/>
      <c r="C104" s="48"/>
      <c r="D104" s="1">
        <v>10</v>
      </c>
      <c r="E104" s="1">
        <v>10</v>
      </c>
      <c r="F104" s="12"/>
      <c r="G104" s="1">
        <f t="shared" si="71"/>
        <v>64</v>
      </c>
      <c r="H104" s="226"/>
    </row>
    <row r="105" spans="1:8" x14ac:dyDescent="0.25">
      <c r="A105" s="4"/>
      <c r="C105" s="48"/>
      <c r="D105" s="1">
        <v>10</v>
      </c>
      <c r="E105" s="1">
        <v>10</v>
      </c>
      <c r="F105" s="12"/>
      <c r="G105" s="1">
        <f t="shared" si="71"/>
        <v>65</v>
      </c>
      <c r="H105" s="226"/>
    </row>
    <row r="106" spans="1:8" x14ac:dyDescent="0.25">
      <c r="A106" s="4"/>
      <c r="C106" s="48"/>
      <c r="D106" s="1">
        <v>10</v>
      </c>
      <c r="E106" s="1">
        <v>10</v>
      </c>
      <c r="F106" s="12"/>
      <c r="G106" s="1">
        <f t="shared" si="71"/>
        <v>66</v>
      </c>
      <c r="H106" s="226"/>
    </row>
    <row r="107" spans="1:8" x14ac:dyDescent="0.25">
      <c r="A107" s="4"/>
      <c r="C107" s="48"/>
      <c r="D107" s="1">
        <v>10</v>
      </c>
      <c r="E107" s="1">
        <v>10</v>
      </c>
      <c r="F107" s="12"/>
      <c r="G107" s="1">
        <f t="shared" ref="G107:G170" si="109">G106+1</f>
        <v>67</v>
      </c>
      <c r="H107" s="226"/>
    </row>
    <row r="108" spans="1:8" x14ac:dyDescent="0.25">
      <c r="A108" s="4"/>
      <c r="C108" s="48"/>
      <c r="D108" s="1">
        <v>10</v>
      </c>
      <c r="E108" s="1">
        <v>10</v>
      </c>
      <c r="F108" s="12"/>
      <c r="G108" s="1">
        <f t="shared" si="109"/>
        <v>68</v>
      </c>
      <c r="H108" s="226"/>
    </row>
    <row r="109" spans="1:8" x14ac:dyDescent="0.25">
      <c r="A109" s="4"/>
      <c r="C109" s="48"/>
      <c r="D109" s="1">
        <v>10</v>
      </c>
      <c r="E109" s="1">
        <v>10</v>
      </c>
      <c r="F109" s="12"/>
      <c r="G109" s="1">
        <f t="shared" si="109"/>
        <v>69</v>
      </c>
      <c r="H109" s="226"/>
    </row>
    <row r="110" spans="1:8" x14ac:dyDescent="0.25">
      <c r="A110" s="4"/>
      <c r="C110" s="48"/>
      <c r="D110" s="1">
        <v>10</v>
      </c>
      <c r="E110" s="1">
        <v>10</v>
      </c>
      <c r="F110" s="12"/>
      <c r="G110" s="1">
        <f t="shared" si="109"/>
        <v>70</v>
      </c>
      <c r="H110" s="226"/>
    </row>
    <row r="111" spans="1:8" x14ac:dyDescent="0.25">
      <c r="A111" s="4"/>
      <c r="C111" s="48"/>
      <c r="D111" s="1">
        <v>10</v>
      </c>
      <c r="E111" s="1">
        <v>10</v>
      </c>
      <c r="F111" s="12"/>
      <c r="G111" s="1">
        <f t="shared" si="109"/>
        <v>71</v>
      </c>
      <c r="H111" s="226"/>
    </row>
    <row r="112" spans="1:8" x14ac:dyDescent="0.25">
      <c r="A112" s="4"/>
      <c r="C112" s="48"/>
      <c r="D112" s="1">
        <v>10</v>
      </c>
      <c r="E112" s="1">
        <v>10</v>
      </c>
      <c r="F112" s="12"/>
      <c r="G112" s="1">
        <f t="shared" si="109"/>
        <v>72</v>
      </c>
      <c r="H112" s="226"/>
    </row>
    <row r="113" spans="1:8" x14ac:dyDescent="0.25">
      <c r="A113" s="4"/>
      <c r="C113" s="48"/>
      <c r="D113" s="1">
        <v>10</v>
      </c>
      <c r="E113" s="1">
        <v>10</v>
      </c>
      <c r="F113" s="12"/>
      <c r="G113" s="1">
        <f t="shared" si="109"/>
        <v>73</v>
      </c>
      <c r="H113" s="226"/>
    </row>
    <row r="114" spans="1:8" x14ac:dyDescent="0.25">
      <c r="A114" s="4"/>
      <c r="C114" s="48"/>
      <c r="D114" s="1">
        <v>10</v>
      </c>
      <c r="E114" s="1">
        <v>10</v>
      </c>
      <c r="F114" s="12"/>
      <c r="G114" s="1">
        <f t="shared" si="109"/>
        <v>74</v>
      </c>
      <c r="H114" s="226"/>
    </row>
    <row r="115" spans="1:8" x14ac:dyDescent="0.25">
      <c r="A115" s="4"/>
      <c r="C115" s="48"/>
      <c r="D115" s="1">
        <v>10</v>
      </c>
      <c r="E115" s="1">
        <v>10</v>
      </c>
      <c r="F115" s="12"/>
      <c r="G115" s="1">
        <f t="shared" si="109"/>
        <v>75</v>
      </c>
      <c r="H115" s="226"/>
    </row>
    <row r="116" spans="1:8" x14ac:dyDescent="0.25">
      <c r="A116" s="4"/>
      <c r="C116" s="48"/>
      <c r="D116" s="1">
        <v>10</v>
      </c>
      <c r="E116" s="1">
        <v>10</v>
      </c>
      <c r="F116" s="12"/>
      <c r="G116" s="1">
        <f t="shared" si="109"/>
        <v>76</v>
      </c>
      <c r="H116" s="226"/>
    </row>
    <row r="117" spans="1:8" x14ac:dyDescent="0.25">
      <c r="A117" s="4"/>
      <c r="C117" s="48"/>
      <c r="D117" s="1">
        <v>10</v>
      </c>
      <c r="E117" s="1">
        <v>10</v>
      </c>
      <c r="F117" s="12"/>
      <c r="G117" s="1">
        <f t="shared" si="109"/>
        <v>77</v>
      </c>
      <c r="H117" s="226"/>
    </row>
    <row r="118" spans="1:8" x14ac:dyDescent="0.25">
      <c r="A118" s="4"/>
      <c r="C118" s="48"/>
      <c r="D118" s="1">
        <v>10</v>
      </c>
      <c r="E118" s="1">
        <v>10</v>
      </c>
      <c r="F118" s="12"/>
      <c r="G118" s="1">
        <f t="shared" si="109"/>
        <v>78</v>
      </c>
      <c r="H118" s="226"/>
    </row>
    <row r="119" spans="1:8" x14ac:dyDescent="0.25">
      <c r="A119" s="4"/>
      <c r="C119" s="48"/>
      <c r="D119" s="1">
        <v>10</v>
      </c>
      <c r="E119" s="1">
        <v>10</v>
      </c>
      <c r="F119" s="12"/>
      <c r="G119" s="1">
        <f t="shared" si="109"/>
        <v>79</v>
      </c>
      <c r="H119" s="226"/>
    </row>
    <row r="120" spans="1:8" x14ac:dyDescent="0.25">
      <c r="A120" s="4"/>
      <c r="C120" s="48"/>
      <c r="D120" s="1">
        <v>10</v>
      </c>
      <c r="E120" s="1">
        <v>10</v>
      </c>
      <c r="F120" s="12"/>
      <c r="G120" s="1">
        <f t="shared" si="109"/>
        <v>80</v>
      </c>
      <c r="H120" s="226"/>
    </row>
    <row r="121" spans="1:8" x14ac:dyDescent="0.25">
      <c r="A121" s="4"/>
      <c r="C121" s="48"/>
      <c r="D121" s="1">
        <v>10</v>
      </c>
      <c r="E121" s="1">
        <v>10</v>
      </c>
      <c r="F121" s="12"/>
      <c r="G121" s="1">
        <f t="shared" si="109"/>
        <v>81</v>
      </c>
      <c r="H121" s="226"/>
    </row>
    <row r="122" spans="1:8" x14ac:dyDescent="0.25">
      <c r="A122" s="4"/>
      <c r="C122" s="48"/>
      <c r="D122" s="1">
        <v>10</v>
      </c>
      <c r="E122" s="1">
        <v>10</v>
      </c>
      <c r="F122" s="12"/>
      <c r="G122" s="1">
        <f t="shared" si="109"/>
        <v>82</v>
      </c>
      <c r="H122" s="226"/>
    </row>
    <row r="123" spans="1:8" x14ac:dyDescent="0.25">
      <c r="A123" s="4"/>
      <c r="C123" s="48"/>
      <c r="D123" s="1">
        <v>10</v>
      </c>
      <c r="E123" s="1">
        <v>10</v>
      </c>
      <c r="F123" s="12"/>
      <c r="G123" s="1">
        <f t="shared" si="109"/>
        <v>83</v>
      </c>
      <c r="H123" s="226"/>
    </row>
    <row r="124" spans="1:8" x14ac:dyDescent="0.25">
      <c r="A124" s="4"/>
      <c r="C124" s="48"/>
      <c r="D124" s="1">
        <v>10</v>
      </c>
      <c r="E124" s="1">
        <v>10</v>
      </c>
      <c r="F124" s="12"/>
      <c r="G124" s="1">
        <f t="shared" si="109"/>
        <v>84</v>
      </c>
      <c r="H124" s="226"/>
    </row>
    <row r="125" spans="1:8" x14ac:dyDescent="0.25">
      <c r="A125" s="4"/>
      <c r="C125" s="48"/>
      <c r="D125" s="1">
        <v>10</v>
      </c>
      <c r="E125" s="1">
        <v>10</v>
      </c>
      <c r="F125" s="12"/>
      <c r="G125" s="1">
        <f t="shared" si="109"/>
        <v>85</v>
      </c>
      <c r="H125" s="226"/>
    </row>
    <row r="126" spans="1:8" x14ac:dyDescent="0.25">
      <c r="A126" s="4"/>
      <c r="C126" s="48"/>
      <c r="D126" s="1">
        <v>10</v>
      </c>
      <c r="E126" s="1">
        <v>10</v>
      </c>
      <c r="F126" s="12"/>
      <c r="G126" s="1">
        <f t="shared" si="109"/>
        <v>86</v>
      </c>
      <c r="H126" s="226"/>
    </row>
    <row r="127" spans="1:8" x14ac:dyDescent="0.25">
      <c r="A127" s="4"/>
      <c r="C127" s="48"/>
      <c r="D127" s="1">
        <v>10</v>
      </c>
      <c r="E127" s="1">
        <v>10</v>
      </c>
      <c r="F127" s="12"/>
      <c r="G127" s="1">
        <f t="shared" si="109"/>
        <v>87</v>
      </c>
      <c r="H127" s="226"/>
    </row>
    <row r="128" spans="1:8" x14ac:dyDescent="0.25">
      <c r="A128" s="4"/>
      <c r="C128" s="48"/>
      <c r="D128" s="1">
        <v>10</v>
      </c>
      <c r="E128" s="1">
        <v>10</v>
      </c>
      <c r="F128" s="12"/>
      <c r="G128" s="1">
        <f t="shared" si="109"/>
        <v>88</v>
      </c>
      <c r="H128" s="226"/>
    </row>
    <row r="129" spans="1:8" x14ac:dyDescent="0.25">
      <c r="A129" s="4"/>
      <c r="C129" s="48"/>
      <c r="D129" s="1">
        <v>10</v>
      </c>
      <c r="E129" s="1">
        <v>10</v>
      </c>
      <c r="F129" s="12"/>
      <c r="G129" s="1">
        <f t="shared" si="109"/>
        <v>89</v>
      </c>
      <c r="H129" s="226"/>
    </row>
    <row r="130" spans="1:8" x14ac:dyDescent="0.25">
      <c r="A130" s="4"/>
      <c r="C130" s="48"/>
      <c r="D130" s="1">
        <v>10</v>
      </c>
      <c r="E130" s="1">
        <v>10</v>
      </c>
      <c r="F130" s="12"/>
      <c r="G130" s="1">
        <f t="shared" si="109"/>
        <v>90</v>
      </c>
      <c r="H130" s="226"/>
    </row>
    <row r="131" spans="1:8" x14ac:dyDescent="0.25">
      <c r="A131" s="4"/>
      <c r="C131" s="48"/>
      <c r="D131" s="1">
        <v>10</v>
      </c>
      <c r="E131" s="1">
        <v>10</v>
      </c>
      <c r="F131" s="12"/>
      <c r="G131" s="1">
        <f t="shared" si="109"/>
        <v>91</v>
      </c>
      <c r="H131" s="226"/>
    </row>
    <row r="132" spans="1:8" x14ac:dyDescent="0.25">
      <c r="A132" s="4"/>
      <c r="C132" s="48"/>
      <c r="D132" s="1">
        <v>10</v>
      </c>
      <c r="E132" s="1">
        <v>10</v>
      </c>
      <c r="F132" s="12"/>
      <c r="G132" s="1">
        <f t="shared" si="109"/>
        <v>92</v>
      </c>
      <c r="H132" s="226"/>
    </row>
    <row r="133" spans="1:8" x14ac:dyDescent="0.25">
      <c r="A133" s="4"/>
      <c r="C133" s="48"/>
      <c r="D133" s="1">
        <v>10</v>
      </c>
      <c r="E133" s="1">
        <v>10</v>
      </c>
      <c r="F133" s="12"/>
      <c r="G133" s="1">
        <f t="shared" si="109"/>
        <v>93</v>
      </c>
      <c r="H133" s="226"/>
    </row>
    <row r="134" spans="1:8" x14ac:dyDescent="0.25">
      <c r="A134" s="4"/>
      <c r="C134" s="48"/>
      <c r="D134" s="1">
        <v>10</v>
      </c>
      <c r="E134" s="1">
        <v>10</v>
      </c>
      <c r="F134" s="12"/>
      <c r="G134" s="1">
        <f t="shared" si="109"/>
        <v>94</v>
      </c>
      <c r="H134" s="226"/>
    </row>
    <row r="135" spans="1:8" x14ac:dyDescent="0.25">
      <c r="A135" s="4"/>
      <c r="C135" s="48"/>
      <c r="D135" s="1">
        <v>10</v>
      </c>
      <c r="E135" s="1">
        <v>10</v>
      </c>
      <c r="F135" s="12"/>
      <c r="G135" s="1">
        <f t="shared" si="109"/>
        <v>95</v>
      </c>
      <c r="H135" s="226"/>
    </row>
    <row r="136" spans="1:8" x14ac:dyDescent="0.25">
      <c r="A136" s="4"/>
      <c r="C136" s="48"/>
      <c r="D136" s="1">
        <v>10</v>
      </c>
      <c r="E136" s="1">
        <v>10</v>
      </c>
      <c r="F136" s="12"/>
      <c r="G136" s="1">
        <f t="shared" si="109"/>
        <v>96</v>
      </c>
      <c r="H136" s="226"/>
    </row>
    <row r="137" spans="1:8" x14ac:dyDescent="0.25">
      <c r="A137" s="4"/>
      <c r="C137" s="48"/>
      <c r="D137" s="1">
        <v>10</v>
      </c>
      <c r="E137" s="1">
        <v>10</v>
      </c>
      <c r="F137" s="12"/>
      <c r="G137" s="1">
        <f t="shared" si="109"/>
        <v>97</v>
      </c>
      <c r="H137" s="226"/>
    </row>
    <row r="138" spans="1:8" x14ac:dyDescent="0.25">
      <c r="A138" s="4"/>
      <c r="C138" s="48"/>
      <c r="D138" s="1">
        <v>10</v>
      </c>
      <c r="E138" s="1">
        <v>10</v>
      </c>
      <c r="F138" s="12"/>
      <c r="G138" s="1">
        <f t="shared" si="109"/>
        <v>98</v>
      </c>
      <c r="H138" s="226"/>
    </row>
    <row r="139" spans="1:8" x14ac:dyDescent="0.25">
      <c r="A139" s="4"/>
      <c r="C139" s="48"/>
      <c r="D139" s="1">
        <v>10</v>
      </c>
      <c r="E139" s="1">
        <v>10</v>
      </c>
      <c r="F139" s="12"/>
      <c r="G139" s="1">
        <f t="shared" si="109"/>
        <v>99</v>
      </c>
      <c r="H139" s="226"/>
    </row>
    <row r="140" spans="1:8" x14ac:dyDescent="0.25">
      <c r="A140" s="4"/>
      <c r="C140" s="48"/>
      <c r="D140" s="1">
        <v>10</v>
      </c>
      <c r="E140" s="1">
        <v>10</v>
      </c>
      <c r="F140" s="12"/>
      <c r="G140" s="1">
        <f t="shared" si="109"/>
        <v>100</v>
      </c>
      <c r="H140" s="226"/>
    </row>
    <row r="141" spans="1:8" x14ac:dyDescent="0.25">
      <c r="A141" s="4"/>
      <c r="C141" s="48"/>
      <c r="D141" s="1">
        <v>10</v>
      </c>
      <c r="E141" s="1">
        <v>10</v>
      </c>
      <c r="F141" s="12"/>
      <c r="G141" s="1">
        <f t="shared" si="109"/>
        <v>101</v>
      </c>
      <c r="H141" s="226"/>
    </row>
    <row r="142" spans="1:8" x14ac:dyDescent="0.25">
      <c r="A142" s="4"/>
      <c r="C142" s="48"/>
      <c r="D142" s="1">
        <v>10</v>
      </c>
      <c r="E142" s="1">
        <v>10</v>
      </c>
      <c r="F142" s="12"/>
      <c r="G142" s="1">
        <f t="shared" si="109"/>
        <v>102</v>
      </c>
      <c r="H142" s="226"/>
    </row>
    <row r="143" spans="1:8" x14ac:dyDescent="0.25">
      <c r="A143" s="4"/>
      <c r="C143" s="48"/>
      <c r="D143" s="1">
        <v>10</v>
      </c>
      <c r="E143" s="1">
        <v>10</v>
      </c>
      <c r="F143" s="12"/>
      <c r="G143" s="1">
        <f t="shared" si="109"/>
        <v>103</v>
      </c>
      <c r="H143" s="226"/>
    </row>
    <row r="144" spans="1:8" x14ac:dyDescent="0.25">
      <c r="A144" s="4"/>
      <c r="C144" s="48"/>
      <c r="D144" s="1">
        <v>10</v>
      </c>
      <c r="E144" s="1">
        <v>10</v>
      </c>
      <c r="F144" s="12"/>
      <c r="G144" s="1">
        <f t="shared" si="109"/>
        <v>104</v>
      </c>
      <c r="H144" s="226"/>
    </row>
    <row r="145" spans="1:8" x14ac:dyDescent="0.25">
      <c r="A145" s="4"/>
      <c r="C145" s="48"/>
      <c r="D145" s="1">
        <v>10</v>
      </c>
      <c r="E145" s="1">
        <v>10</v>
      </c>
      <c r="F145" s="12"/>
      <c r="G145" s="1">
        <f t="shared" si="109"/>
        <v>105</v>
      </c>
      <c r="H145" s="226"/>
    </row>
    <row r="146" spans="1:8" x14ac:dyDescent="0.25">
      <c r="A146" s="4"/>
      <c r="C146" s="48"/>
      <c r="D146" s="1">
        <v>10</v>
      </c>
      <c r="E146" s="1">
        <v>10</v>
      </c>
      <c r="F146" s="12"/>
      <c r="G146" s="1">
        <f t="shared" si="109"/>
        <v>106</v>
      </c>
      <c r="H146" s="226"/>
    </row>
    <row r="147" spans="1:8" x14ac:dyDescent="0.25">
      <c r="A147" s="4"/>
      <c r="C147" s="48"/>
      <c r="D147" s="1">
        <v>10</v>
      </c>
      <c r="E147" s="1">
        <v>10</v>
      </c>
      <c r="F147" s="12"/>
      <c r="G147" s="1">
        <f t="shared" si="109"/>
        <v>107</v>
      </c>
      <c r="H147" s="226"/>
    </row>
    <row r="148" spans="1:8" x14ac:dyDescent="0.25">
      <c r="A148" s="4"/>
      <c r="C148" s="48"/>
      <c r="D148" s="1">
        <v>10</v>
      </c>
      <c r="E148" s="1">
        <v>10</v>
      </c>
      <c r="F148" s="12"/>
      <c r="G148" s="1">
        <f t="shared" si="109"/>
        <v>108</v>
      </c>
      <c r="H148" s="226"/>
    </row>
    <row r="149" spans="1:8" x14ac:dyDescent="0.25">
      <c r="A149" s="4"/>
      <c r="C149" s="48"/>
      <c r="D149" s="1">
        <v>10</v>
      </c>
      <c r="E149" s="1">
        <v>10</v>
      </c>
      <c r="F149" s="12"/>
      <c r="G149" s="1">
        <f t="shared" si="109"/>
        <v>109</v>
      </c>
      <c r="H149" s="226"/>
    </row>
    <row r="150" spans="1:8" x14ac:dyDescent="0.25">
      <c r="A150" s="4"/>
      <c r="C150" s="48"/>
      <c r="D150" s="1">
        <v>10</v>
      </c>
      <c r="E150" s="1">
        <v>10</v>
      </c>
      <c r="F150" s="12"/>
      <c r="G150" s="1">
        <f t="shared" si="109"/>
        <v>110</v>
      </c>
      <c r="H150" s="226"/>
    </row>
    <row r="151" spans="1:8" x14ac:dyDescent="0.25">
      <c r="A151" s="4"/>
      <c r="C151" s="48"/>
      <c r="D151" s="1">
        <v>10</v>
      </c>
      <c r="E151" s="1">
        <v>10</v>
      </c>
      <c r="F151" s="12"/>
      <c r="G151" s="1">
        <f t="shared" si="109"/>
        <v>111</v>
      </c>
      <c r="H151" s="226"/>
    </row>
    <row r="152" spans="1:8" x14ac:dyDescent="0.25">
      <c r="A152" s="4"/>
      <c r="C152" s="48"/>
      <c r="D152" s="1">
        <v>10</v>
      </c>
      <c r="E152" s="1">
        <v>10</v>
      </c>
      <c r="F152" s="12"/>
      <c r="G152" s="1">
        <f t="shared" si="109"/>
        <v>112</v>
      </c>
      <c r="H152" s="226"/>
    </row>
    <row r="153" spans="1:8" x14ac:dyDescent="0.25">
      <c r="A153" s="4"/>
      <c r="C153" s="48"/>
      <c r="D153" s="1">
        <v>10</v>
      </c>
      <c r="E153" s="1">
        <v>10</v>
      </c>
      <c r="F153" s="12"/>
      <c r="G153" s="1">
        <f t="shared" si="109"/>
        <v>113</v>
      </c>
      <c r="H153" s="226"/>
    </row>
    <row r="154" spans="1:8" x14ac:dyDescent="0.25">
      <c r="A154" s="4"/>
      <c r="C154" s="48"/>
      <c r="D154" s="1">
        <v>10</v>
      </c>
      <c r="E154" s="1">
        <v>10</v>
      </c>
      <c r="F154" s="12"/>
      <c r="G154" s="1">
        <f t="shared" si="109"/>
        <v>114</v>
      </c>
      <c r="H154" s="226"/>
    </row>
    <row r="155" spans="1:8" x14ac:dyDescent="0.25">
      <c r="A155" s="4"/>
      <c r="C155" s="48"/>
      <c r="D155" s="1">
        <v>10</v>
      </c>
      <c r="E155" s="1">
        <v>10</v>
      </c>
      <c r="F155" s="12"/>
      <c r="G155" s="1">
        <f t="shared" si="109"/>
        <v>115</v>
      </c>
      <c r="H155" s="226"/>
    </row>
    <row r="156" spans="1:8" x14ac:dyDescent="0.25">
      <c r="A156" s="4"/>
      <c r="C156" s="48"/>
      <c r="D156" s="1">
        <v>10</v>
      </c>
      <c r="E156" s="1">
        <v>10</v>
      </c>
      <c r="F156" s="12"/>
      <c r="G156" s="1">
        <f t="shared" si="109"/>
        <v>116</v>
      </c>
      <c r="H156" s="226"/>
    </row>
    <row r="157" spans="1:8" x14ac:dyDescent="0.25">
      <c r="A157" s="4"/>
      <c r="C157" s="48"/>
      <c r="D157" s="1">
        <v>10</v>
      </c>
      <c r="E157" s="1">
        <v>10</v>
      </c>
      <c r="F157" s="12"/>
      <c r="G157" s="1">
        <f t="shared" si="109"/>
        <v>117</v>
      </c>
      <c r="H157" s="226"/>
    </row>
    <row r="158" spans="1:8" x14ac:dyDescent="0.25">
      <c r="A158" s="4"/>
      <c r="C158" s="48"/>
      <c r="D158" s="1">
        <v>10</v>
      </c>
      <c r="E158" s="1">
        <v>10</v>
      </c>
      <c r="F158" s="12"/>
      <c r="G158" s="1">
        <f t="shared" si="109"/>
        <v>118</v>
      </c>
      <c r="H158" s="226"/>
    </row>
    <row r="159" spans="1:8" x14ac:dyDescent="0.25">
      <c r="A159" s="4"/>
      <c r="C159" s="48"/>
      <c r="D159" s="1">
        <v>10</v>
      </c>
      <c r="E159" s="1">
        <v>10</v>
      </c>
      <c r="F159" s="12"/>
      <c r="G159" s="1">
        <f t="shared" si="109"/>
        <v>119</v>
      </c>
      <c r="H159" s="226"/>
    </row>
    <row r="160" spans="1:8" x14ac:dyDescent="0.25">
      <c r="A160" s="4"/>
      <c r="C160" s="48"/>
      <c r="D160" s="1">
        <v>10</v>
      </c>
      <c r="E160" s="1">
        <v>10</v>
      </c>
      <c r="F160" s="12"/>
      <c r="G160" s="1">
        <f t="shared" si="109"/>
        <v>120</v>
      </c>
      <c r="H160" s="226"/>
    </row>
    <row r="161" spans="1:8" x14ac:dyDescent="0.25">
      <c r="A161" s="4"/>
      <c r="C161" s="48"/>
      <c r="D161" s="1">
        <v>10</v>
      </c>
      <c r="E161" s="1">
        <v>10</v>
      </c>
      <c r="F161" s="12"/>
      <c r="G161" s="1">
        <f t="shared" si="109"/>
        <v>121</v>
      </c>
      <c r="H161" s="226"/>
    </row>
    <row r="162" spans="1:8" x14ac:dyDescent="0.25">
      <c r="A162" s="4"/>
      <c r="C162" s="48"/>
      <c r="D162" s="1">
        <v>10</v>
      </c>
      <c r="E162" s="1">
        <v>10</v>
      </c>
      <c r="F162" s="12"/>
      <c r="G162" s="1">
        <f t="shared" si="109"/>
        <v>122</v>
      </c>
      <c r="H162" s="226"/>
    </row>
    <row r="163" spans="1:8" x14ac:dyDescent="0.25">
      <c r="A163" s="4"/>
      <c r="C163" s="48"/>
      <c r="D163" s="1">
        <v>10</v>
      </c>
      <c r="E163" s="1">
        <v>10</v>
      </c>
      <c r="F163" s="12"/>
      <c r="G163" s="1">
        <f t="shared" si="109"/>
        <v>123</v>
      </c>
      <c r="H163" s="226"/>
    </row>
    <row r="164" spans="1:8" x14ac:dyDescent="0.25">
      <c r="A164" s="4"/>
      <c r="C164" s="48"/>
      <c r="D164" s="1">
        <v>10</v>
      </c>
      <c r="E164" s="1">
        <v>10</v>
      </c>
      <c r="F164" s="12"/>
      <c r="G164" s="1">
        <f t="shared" si="109"/>
        <v>124</v>
      </c>
      <c r="H164" s="226"/>
    </row>
    <row r="165" spans="1:8" x14ac:dyDescent="0.25">
      <c r="A165" s="4"/>
      <c r="C165" s="48"/>
      <c r="D165" s="1">
        <v>10</v>
      </c>
      <c r="E165" s="1">
        <v>10</v>
      </c>
      <c r="F165" s="12"/>
      <c r="G165" s="1">
        <f t="shared" si="109"/>
        <v>125</v>
      </c>
      <c r="H165" s="226"/>
    </row>
    <row r="166" spans="1:8" x14ac:dyDescent="0.25">
      <c r="A166" s="4"/>
      <c r="C166" s="48"/>
      <c r="D166" s="1">
        <v>10</v>
      </c>
      <c r="E166" s="1">
        <v>10</v>
      </c>
      <c r="F166" s="12"/>
      <c r="G166" s="1">
        <f t="shared" si="109"/>
        <v>126</v>
      </c>
      <c r="H166" s="226"/>
    </row>
    <row r="167" spans="1:8" x14ac:dyDescent="0.25">
      <c r="A167" s="4"/>
      <c r="C167" s="48"/>
      <c r="D167" s="1">
        <v>10</v>
      </c>
      <c r="E167" s="1">
        <v>10</v>
      </c>
      <c r="F167" s="12"/>
      <c r="G167" s="1">
        <f t="shared" si="109"/>
        <v>127</v>
      </c>
      <c r="H167" s="226"/>
    </row>
    <row r="168" spans="1:8" x14ac:dyDescent="0.25">
      <c r="A168" s="4"/>
      <c r="C168" s="48"/>
      <c r="D168" s="1">
        <v>10</v>
      </c>
      <c r="E168" s="1">
        <v>10</v>
      </c>
      <c r="F168" s="12"/>
      <c r="G168" s="1">
        <f t="shared" si="109"/>
        <v>128</v>
      </c>
      <c r="H168" s="226"/>
    </row>
    <row r="169" spans="1:8" x14ac:dyDescent="0.25">
      <c r="A169" s="4"/>
      <c r="C169" s="48"/>
      <c r="D169" s="1">
        <v>10</v>
      </c>
      <c r="E169" s="1">
        <v>10</v>
      </c>
      <c r="F169" s="12"/>
      <c r="G169" s="1">
        <f t="shared" si="109"/>
        <v>129</v>
      </c>
      <c r="H169" s="226"/>
    </row>
    <row r="170" spans="1:8" x14ac:dyDescent="0.25">
      <c r="A170" s="4"/>
      <c r="C170" s="48"/>
      <c r="D170" s="1">
        <v>10</v>
      </c>
      <c r="E170" s="1">
        <v>10</v>
      </c>
      <c r="F170" s="12"/>
      <c r="G170" s="1">
        <f t="shared" si="109"/>
        <v>130</v>
      </c>
      <c r="H170" s="226"/>
    </row>
    <row r="171" spans="1:8" x14ac:dyDescent="0.25">
      <c r="A171" s="4"/>
      <c r="C171" s="48"/>
      <c r="D171" s="1">
        <v>10</v>
      </c>
      <c r="E171" s="1">
        <v>10</v>
      </c>
      <c r="F171" s="12"/>
      <c r="G171" s="1">
        <f t="shared" ref="G171:G190" si="110">G170+1</f>
        <v>131</v>
      </c>
      <c r="H171" s="226"/>
    </row>
    <row r="172" spans="1:8" x14ac:dyDescent="0.25">
      <c r="A172" s="4"/>
      <c r="C172" s="48"/>
      <c r="D172" s="1">
        <v>10</v>
      </c>
      <c r="E172" s="1">
        <v>10</v>
      </c>
      <c r="F172" s="12"/>
      <c r="G172" s="1">
        <f t="shared" si="110"/>
        <v>132</v>
      </c>
      <c r="H172" s="226"/>
    </row>
    <row r="173" spans="1:8" x14ac:dyDescent="0.25">
      <c r="A173" s="4"/>
      <c r="C173" s="48"/>
      <c r="D173" s="1">
        <v>10</v>
      </c>
      <c r="E173" s="1">
        <v>10</v>
      </c>
      <c r="F173" s="12"/>
      <c r="G173" s="1">
        <f t="shared" si="110"/>
        <v>133</v>
      </c>
      <c r="H173" s="226"/>
    </row>
    <row r="174" spans="1:8" x14ac:dyDescent="0.25">
      <c r="A174" s="4"/>
      <c r="C174" s="48"/>
      <c r="D174" s="1">
        <v>10</v>
      </c>
      <c r="E174" s="1">
        <v>10</v>
      </c>
      <c r="F174" s="12"/>
      <c r="G174" s="1">
        <f t="shared" si="110"/>
        <v>134</v>
      </c>
      <c r="H174" s="226"/>
    </row>
    <row r="175" spans="1:8" x14ac:dyDescent="0.25">
      <c r="A175" s="4"/>
      <c r="C175" s="48"/>
      <c r="D175" s="1">
        <v>10</v>
      </c>
      <c r="E175" s="1">
        <v>10</v>
      </c>
      <c r="F175" s="12"/>
      <c r="G175" s="1">
        <f t="shared" si="110"/>
        <v>135</v>
      </c>
      <c r="H175" s="226"/>
    </row>
    <row r="176" spans="1:8" x14ac:dyDescent="0.25">
      <c r="A176" s="4"/>
      <c r="C176" s="48"/>
      <c r="D176" s="1">
        <v>10</v>
      </c>
      <c r="E176" s="1">
        <v>10</v>
      </c>
      <c r="F176" s="12"/>
      <c r="G176" s="1">
        <f t="shared" si="110"/>
        <v>136</v>
      </c>
      <c r="H176" s="226"/>
    </row>
    <row r="177" spans="1:16" x14ac:dyDescent="0.25">
      <c r="A177" s="4"/>
      <c r="C177" s="48"/>
      <c r="D177" s="1">
        <v>10</v>
      </c>
      <c r="E177" s="1">
        <v>10</v>
      </c>
      <c r="F177" s="12"/>
      <c r="G177" s="1">
        <f t="shared" si="110"/>
        <v>137</v>
      </c>
      <c r="H177" s="226"/>
    </row>
    <row r="178" spans="1:16" x14ac:dyDescent="0.25">
      <c r="A178" s="4"/>
      <c r="C178" s="48"/>
      <c r="D178" s="1">
        <v>10</v>
      </c>
      <c r="E178" s="1">
        <v>10</v>
      </c>
      <c r="F178" s="12"/>
      <c r="G178" s="1">
        <f t="shared" si="110"/>
        <v>138</v>
      </c>
      <c r="H178" s="226"/>
    </row>
    <row r="179" spans="1:16" x14ac:dyDescent="0.25">
      <c r="A179" s="4"/>
      <c r="C179" s="48"/>
      <c r="D179" s="1">
        <v>10</v>
      </c>
      <c r="E179" s="1">
        <v>10</v>
      </c>
      <c r="F179" s="12"/>
      <c r="G179" s="1">
        <f t="shared" si="110"/>
        <v>139</v>
      </c>
      <c r="H179" s="226"/>
    </row>
    <row r="180" spans="1:16" x14ac:dyDescent="0.25">
      <c r="A180" s="4"/>
      <c r="C180" s="48"/>
      <c r="D180" s="1">
        <v>10</v>
      </c>
      <c r="E180" s="1">
        <v>10</v>
      </c>
      <c r="F180" s="12"/>
      <c r="G180" s="1">
        <f t="shared" si="110"/>
        <v>140</v>
      </c>
      <c r="H180" s="226"/>
    </row>
    <row r="181" spans="1:16" x14ac:dyDescent="0.25">
      <c r="A181" s="4"/>
      <c r="C181" s="48"/>
      <c r="D181" s="1">
        <v>10</v>
      </c>
      <c r="E181" s="1">
        <v>10</v>
      </c>
      <c r="F181" s="12"/>
      <c r="G181" s="1">
        <f t="shared" si="110"/>
        <v>141</v>
      </c>
      <c r="H181" s="226"/>
    </row>
    <row r="182" spans="1:16" x14ac:dyDescent="0.25">
      <c r="A182" s="4"/>
      <c r="C182" s="48"/>
      <c r="D182" s="1">
        <v>10</v>
      </c>
      <c r="E182" s="1">
        <v>10</v>
      </c>
      <c r="F182" s="12"/>
      <c r="G182" s="1">
        <f t="shared" si="110"/>
        <v>142</v>
      </c>
      <c r="H182" s="226"/>
    </row>
    <row r="183" spans="1:16" x14ac:dyDescent="0.25">
      <c r="A183" s="4"/>
      <c r="C183" s="48"/>
      <c r="D183" s="1">
        <v>10</v>
      </c>
      <c r="E183" s="1">
        <v>10</v>
      </c>
      <c r="F183" s="12"/>
      <c r="G183" s="1">
        <f t="shared" si="110"/>
        <v>143</v>
      </c>
      <c r="H183" s="226"/>
    </row>
    <row r="184" spans="1:16" x14ac:dyDescent="0.25">
      <c r="A184" s="4"/>
      <c r="C184" s="48"/>
      <c r="D184" s="1">
        <v>10</v>
      </c>
      <c r="E184" s="1">
        <v>10</v>
      </c>
      <c r="F184" s="12"/>
      <c r="G184" s="1">
        <f t="shared" si="110"/>
        <v>144</v>
      </c>
      <c r="H184" s="226"/>
    </row>
    <row r="185" spans="1:16" x14ac:dyDescent="0.25">
      <c r="A185" s="4"/>
      <c r="C185" s="48"/>
      <c r="D185" s="1">
        <v>10</v>
      </c>
      <c r="E185" s="1">
        <v>10</v>
      </c>
      <c r="F185" s="12"/>
      <c r="G185" s="1">
        <f t="shared" si="110"/>
        <v>145</v>
      </c>
      <c r="H185" s="226"/>
    </row>
    <row r="186" spans="1:16" x14ac:dyDescent="0.25">
      <c r="A186" s="4"/>
      <c r="C186" s="48"/>
      <c r="D186" s="1">
        <v>10</v>
      </c>
      <c r="E186" s="1">
        <v>10</v>
      </c>
      <c r="F186" s="12"/>
      <c r="G186" s="1">
        <f t="shared" si="110"/>
        <v>146</v>
      </c>
      <c r="H186" s="226"/>
    </row>
    <row r="187" spans="1:16" x14ac:dyDescent="0.25">
      <c r="A187" s="4"/>
      <c r="C187" s="48"/>
      <c r="D187" s="1">
        <v>10</v>
      </c>
      <c r="E187" s="1">
        <v>10</v>
      </c>
      <c r="F187" s="12"/>
      <c r="G187" s="1">
        <f t="shared" si="110"/>
        <v>147</v>
      </c>
      <c r="H187" s="226"/>
    </row>
    <row r="188" spans="1:16" x14ac:dyDescent="0.25">
      <c r="A188" s="4"/>
      <c r="C188" s="48"/>
      <c r="D188" s="1">
        <v>10</v>
      </c>
      <c r="E188" s="1">
        <v>10</v>
      </c>
      <c r="F188" s="12"/>
      <c r="G188" s="1">
        <f t="shared" si="110"/>
        <v>148</v>
      </c>
      <c r="H188" s="226"/>
    </row>
    <row r="189" spans="1:16" x14ac:dyDescent="0.25">
      <c r="A189" s="4"/>
      <c r="C189" s="48"/>
      <c r="D189" s="1">
        <v>10</v>
      </c>
      <c r="E189" s="1">
        <v>10</v>
      </c>
      <c r="F189" s="12"/>
      <c r="G189" s="1">
        <f t="shared" si="110"/>
        <v>149</v>
      </c>
      <c r="H189" s="226"/>
    </row>
    <row r="190" spans="1:16" x14ac:dyDescent="0.25">
      <c r="A190" s="4"/>
      <c r="C190" s="48"/>
      <c r="D190" s="1">
        <v>10</v>
      </c>
      <c r="E190" s="1">
        <v>10</v>
      </c>
      <c r="F190" s="12"/>
      <c r="G190" s="1">
        <f t="shared" si="110"/>
        <v>150</v>
      </c>
      <c r="H190" s="226"/>
    </row>
    <row r="191" spans="1:16" x14ac:dyDescent="0.25">
      <c r="I191"/>
      <c r="J191"/>
      <c r="K191"/>
      <c r="L191"/>
      <c r="M191"/>
      <c r="N191"/>
      <c r="O191"/>
      <c r="P191"/>
    </row>
    <row r="192" spans="1:16" ht="15.75" thickBot="1" x14ac:dyDescent="0.3">
      <c r="A192" s="26" t="s">
        <v>46</v>
      </c>
      <c r="B192"/>
      <c r="C192"/>
      <c r="D192" s="27"/>
      <c r="E192"/>
      <c r="F192"/>
      <c r="G192"/>
      <c r="H192"/>
      <c r="I192" s="32"/>
      <c r="J192" s="33"/>
      <c r="K192" s="32"/>
      <c r="L192" s="32"/>
      <c r="M192" s="32"/>
      <c r="N192" s="32"/>
      <c r="O192" s="32"/>
      <c r="P192" s="34"/>
    </row>
    <row r="193" spans="1:19" ht="15.75" thickTop="1" x14ac:dyDescent="0.25">
      <c r="A193" s="163"/>
      <c r="B193" s="167" t="s">
        <v>47</v>
      </c>
      <c r="C193" s="167" t="s">
        <v>48</v>
      </c>
      <c r="D193" s="168" t="s">
        <v>49</v>
      </c>
      <c r="E193" s="168" t="s">
        <v>50</v>
      </c>
      <c r="F193" s="168" t="s">
        <v>51</v>
      </c>
      <c r="G193" s="168" t="s">
        <v>3</v>
      </c>
      <c r="H193" s="169" t="s">
        <v>52</v>
      </c>
      <c r="I193" s="164" t="s">
        <v>53</v>
      </c>
      <c r="J193" s="163" t="s">
        <v>54</v>
      </c>
      <c r="K193" s="164" t="s">
        <v>55</v>
      </c>
      <c r="L193" s="164" t="s">
        <v>56</v>
      </c>
      <c r="M193" s="164" t="s">
        <v>57</v>
      </c>
      <c r="N193" s="164" t="s">
        <v>58</v>
      </c>
      <c r="O193" s="164" t="s">
        <v>59</v>
      </c>
      <c r="P193" s="176" t="s">
        <v>60</v>
      </c>
      <c r="Q193"/>
      <c r="R193" s="27" t="s">
        <v>142</v>
      </c>
      <c r="S193" s="27" t="s">
        <v>143</v>
      </c>
    </row>
    <row r="194" spans="1:19" x14ac:dyDescent="0.25">
      <c r="A194" s="163">
        <v>1</v>
      </c>
      <c r="B194" s="163">
        <v>0</v>
      </c>
      <c r="C194" s="180">
        <f>H18-0.1</f>
        <v>0.9</v>
      </c>
      <c r="D194" s="163">
        <f>$H$19+0.1-(K194/2)+($C$21/2000)</f>
        <v>5.9750819999999996</v>
      </c>
      <c r="E194" s="172">
        <f>P194</f>
        <v>4.6314832041343678E-5</v>
      </c>
      <c r="F194" s="163" t="e">
        <f>IF($B194,$C194,$D194)+$K194-IF($B194,$N$23/1000,$O$23/1000)</f>
        <v>#VALUE!</v>
      </c>
      <c r="G194" s="163">
        <v>50000</v>
      </c>
      <c r="H194" s="163">
        <f>(I194-IF(B194,$C$21,$B$21))/(IF(B194,$C$19,$B$19)-IF(B194,$C$21,$B$21))*10</f>
        <v>8.0604167003933878</v>
      </c>
      <c r="I194" s="173">
        <v>10</v>
      </c>
      <c r="J194" s="165">
        <v>600</v>
      </c>
      <c r="K194" s="163">
        <v>0.05</v>
      </c>
      <c r="L194" s="163">
        <f>I194*0.001*K194</f>
        <v>5.0000000000000001E-4</v>
      </c>
      <c r="M194" s="163">
        <f>L194*J194*(0.000000001)/(1.6E-19)</f>
        <v>1875000000</v>
      </c>
      <c r="N194" s="164">
        <f>MAX($E$3:$E$15)*2</f>
        <v>1736806.2015503878</v>
      </c>
      <c r="O194" s="178">
        <f>M194/N194</f>
        <v>1079.5677711918872</v>
      </c>
      <c r="P194" s="172">
        <f>K194/O194</f>
        <v>4.6314832041343678E-5</v>
      </c>
      <c r="Q194"/>
      <c r="R194" s="40">
        <f>SUM(O194:O291)</f>
        <v>4318.2710847675489</v>
      </c>
      <c r="S194" s="63">
        <f>R194/60</f>
        <v>71.971184746125815</v>
      </c>
    </row>
    <row r="195" spans="1:19" x14ac:dyDescent="0.25">
      <c r="A195" s="163">
        <f>A194+1</f>
        <v>2</v>
      </c>
      <c r="B195" s="163">
        <v>1</v>
      </c>
      <c r="C195" s="180">
        <f>C194-(K195/2)+($B$21/2000)</f>
        <v>0.87502100000000005</v>
      </c>
      <c r="D195" s="172">
        <f>$H$19+0.1</f>
        <v>6</v>
      </c>
      <c r="E195" s="172">
        <f t="shared" ref="E195" si="111">P195</f>
        <v>4.6314832041343678E-5</v>
      </c>
      <c r="F195" s="163" t="e">
        <f>IF($B195,$C195,$D195)+$K195-IF($B195,$N$23/1000,$O$23/1000)</f>
        <v>#VALUE!</v>
      </c>
      <c r="G195" s="163">
        <v>50000</v>
      </c>
      <c r="H195" s="163">
        <f t="shared" ref="H195:H197" si="112">(I195-IF(B195,$C$21,$B$21))/(IF(B195,$C$19,$B$19)-IF(B195,$C$21,$B$21))*10</f>
        <v>9.5324856566909606</v>
      </c>
      <c r="I195" s="173">
        <v>10</v>
      </c>
      <c r="J195" s="165">
        <v>600</v>
      </c>
      <c r="K195" s="163">
        <v>0.05</v>
      </c>
      <c r="L195" s="163">
        <f t="shared" ref="L195" si="113">I195*0.001*K195</f>
        <v>5.0000000000000001E-4</v>
      </c>
      <c r="M195" s="163">
        <f t="shared" ref="M195" si="114">L195*J195*(0.000000001)/(1.6E-19)</f>
        <v>1875000000</v>
      </c>
      <c r="N195" s="164">
        <f t="shared" ref="N195:N197" si="115">MAX($E$3:$E$15)*2</f>
        <v>1736806.2015503878</v>
      </c>
      <c r="O195" s="178">
        <f t="shared" ref="O195" si="116">M195/N195</f>
        <v>1079.5677711918872</v>
      </c>
      <c r="P195" s="172">
        <f t="shared" ref="P195" si="117">K195/O195</f>
        <v>4.6314832041343678E-5</v>
      </c>
      <c r="Q195"/>
      <c r="R195"/>
      <c r="S195"/>
    </row>
    <row r="196" spans="1:19" x14ac:dyDescent="0.25">
      <c r="A196" s="163">
        <f>A195+1</f>
        <v>3</v>
      </c>
      <c r="B196" s="163">
        <v>0</v>
      </c>
      <c r="C196" s="180">
        <f>A190+0.1</f>
        <v>0.1</v>
      </c>
      <c r="D196" s="163">
        <f>D194</f>
        <v>5.9750819999999996</v>
      </c>
      <c r="E196" s="172">
        <f>P196</f>
        <v>4.6314832041343678E-5</v>
      </c>
      <c r="F196" s="163" t="e">
        <f>IF($B196,$C196,$D196)+$K196-IF($B196,$N$23/1000,$O$23/1000)</f>
        <v>#VALUE!</v>
      </c>
      <c r="G196" s="163">
        <v>50000</v>
      </c>
      <c r="H196" s="163">
        <f t="shared" si="112"/>
        <v>8.0604167003933878</v>
      </c>
      <c r="I196" s="173">
        <v>10</v>
      </c>
      <c r="J196" s="165">
        <v>600</v>
      </c>
      <c r="K196" s="163">
        <v>0.05</v>
      </c>
      <c r="L196" s="163">
        <f>I196*0.001*K196</f>
        <v>5.0000000000000001E-4</v>
      </c>
      <c r="M196" s="163">
        <f>L196*J196*(0.000000001)/(1.6E-19)</f>
        <v>1875000000</v>
      </c>
      <c r="N196" s="164">
        <f t="shared" si="115"/>
        <v>1736806.2015503878</v>
      </c>
      <c r="O196" s="178">
        <f>M196/N196</f>
        <v>1079.5677711918872</v>
      </c>
      <c r="P196" s="172">
        <f>K196/O196</f>
        <v>4.6314832041343678E-5</v>
      </c>
      <c r="Q196"/>
      <c r="R196" s="40"/>
      <c r="S196"/>
    </row>
    <row r="197" spans="1:19" x14ac:dyDescent="0.25">
      <c r="A197" s="163">
        <f>A196+1</f>
        <v>4</v>
      </c>
      <c r="B197" s="163">
        <v>1</v>
      </c>
      <c r="C197" s="163">
        <f>C196-(K197/2)+($B$21/2000)</f>
        <v>7.5021000000000004E-2</v>
      </c>
      <c r="D197" s="172">
        <f>D195</f>
        <v>6</v>
      </c>
      <c r="E197" s="172">
        <f t="shared" ref="E197" si="118">P197</f>
        <v>4.6314832041343678E-5</v>
      </c>
      <c r="F197" s="163" t="e">
        <f>IF($B197,$C197,$D197)+$K197-IF($B197,$N$23/1000,$O$23/1000)</f>
        <v>#VALUE!</v>
      </c>
      <c r="G197" s="163">
        <v>50000</v>
      </c>
      <c r="H197" s="163">
        <f t="shared" si="112"/>
        <v>9.5324856566909606</v>
      </c>
      <c r="I197" s="173">
        <v>10</v>
      </c>
      <c r="J197" s="165">
        <v>600</v>
      </c>
      <c r="K197" s="163">
        <v>0.05</v>
      </c>
      <c r="L197" s="163">
        <f t="shared" ref="L197" si="119">I197*0.001*K197</f>
        <v>5.0000000000000001E-4</v>
      </c>
      <c r="M197" s="163">
        <f t="shared" ref="M197" si="120">L197*J197*(0.000000001)/(1.6E-19)</f>
        <v>1875000000</v>
      </c>
      <c r="N197" s="164">
        <f t="shared" si="115"/>
        <v>1736806.2015503878</v>
      </c>
      <c r="O197" s="178">
        <f t="shared" ref="O197" si="121">M197/N197</f>
        <v>1079.5677711918872</v>
      </c>
      <c r="P197" s="172">
        <f t="shared" ref="P197" si="122">K197/O197</f>
        <v>4.6314832041343678E-5</v>
      </c>
      <c r="Q197"/>
      <c r="R197"/>
      <c r="S197"/>
    </row>
  </sheetData>
  <mergeCells count="5">
    <mergeCell ref="A39:F39"/>
    <mergeCell ref="A1:L1"/>
    <mergeCell ref="A17:C17"/>
    <mergeCell ref="G17:H17"/>
    <mergeCell ref="A22:F2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CB9A70ABD934AB75DB6E64DCC563E" ma:contentTypeVersion="18" ma:contentTypeDescription="Create a new document." ma:contentTypeScope="" ma:versionID="b103aadd9e0d28d197bc1ad67ab4e9c0">
  <xsd:schema xmlns:xsd="http://www.w3.org/2001/XMLSchema" xmlns:xs="http://www.w3.org/2001/XMLSchema" xmlns:p="http://schemas.microsoft.com/office/2006/metadata/properties" xmlns:ns2="d57804ca-f4b6-4d1a-bc7b-09e1480f5f77" xmlns:ns3="a67a9ec7-d99c-4343-a116-3e51ba2009d6" targetNamespace="http://schemas.microsoft.com/office/2006/metadata/properties" ma:root="true" ma:fieldsID="9496d44b7f5f862f97ee48cd8870d7be" ns2:_="" ns3:_="">
    <xsd:import namespace="d57804ca-f4b6-4d1a-bc7b-09e1480f5f77"/>
    <xsd:import namespace="a67a9ec7-d99c-4343-a116-3e51ba200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804ca-f4b6-4d1a-bc7b-09e1480f5f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a9ec7-d99c-4343-a116-3e51ba200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d9742c-e832-40f1-814f-5ece4a5cce65}" ma:internalName="TaxCatchAll" ma:showField="CatchAllData" ma:web="a67a9ec7-d99c-4343-a116-3e51ba200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7a9ec7-d99c-4343-a116-3e51ba2009d6" xsi:nil="true"/>
    <lcf76f155ced4ddcb4097134ff3c332f xmlns="d57804ca-f4b6-4d1a-bc7b-09e1480f5f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2271F6-A3A0-432E-957C-AE022C31D788}"/>
</file>

<file path=customXml/itemProps2.xml><?xml version="1.0" encoding="utf-8"?>
<ds:datastoreItem xmlns:ds="http://schemas.openxmlformats.org/officeDocument/2006/customXml" ds:itemID="{B4912A23-68A7-4760-86B6-AAD174A5056E}"/>
</file>

<file path=customXml/itemProps3.xml><?xml version="1.0" encoding="utf-8"?>
<ds:datastoreItem xmlns:ds="http://schemas.openxmlformats.org/officeDocument/2006/customXml" ds:itemID="{005B9C9E-37F2-46F0-85E9-438E1E61F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Beam scan</vt:lpstr>
      <vt:lpstr>Stage scan</vt:lpstr>
      <vt:lpstr>Stage scan v2</vt:lpstr>
      <vt:lpstr>legend</vt:lpstr>
      <vt:lpstr>Stage scan new</vt:lpstr>
      <vt:lpstr>Beam scan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Chuan Jie</dc:creator>
  <cp:lastModifiedBy>adminnus</cp:lastModifiedBy>
  <dcterms:created xsi:type="dcterms:W3CDTF">2022-07-06T09:44:57Z</dcterms:created>
  <dcterms:modified xsi:type="dcterms:W3CDTF">2025-09-08T13:01:30Z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0x010100CE0CB9A70ABD934AB75DB6E64DCC563E</vt:lpwstr>
  </property>
</Properties>
</file>